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arl/Downloads/"/>
    </mc:Choice>
  </mc:AlternateContent>
  <xr:revisionPtr revIDLastSave="0" documentId="13_ncr:1_{CB70A52E-2394-884F-8E44-F44078AC7D66}" xr6:coauthVersionLast="47" xr6:coauthVersionMax="47" xr10:uidLastSave="{00000000-0000-0000-0000-000000000000}"/>
  <bookViews>
    <workbookView xWindow="0" yWindow="460" windowWidth="28800" windowHeight="15720" activeTab="9" xr2:uid="{00000000-000D-0000-FFFF-FFFF00000000}"/>
  </bookViews>
  <sheets>
    <sheet name="Some data" sheetId="6" r:id="rId1"/>
    <sheet name="Comp Group" sheetId="7" r:id="rId2"/>
    <sheet name="More Comp Group" sheetId="10" r:id="rId3"/>
    <sheet name="Long Term Debt" sheetId="8" r:id="rId4"/>
    <sheet name="First Draft" sheetId="2" r:id="rId5"/>
    <sheet name="Final Variables" sheetId="3" r:id="rId6"/>
    <sheet name="Shareholder Funds (t-2)" sheetId="16" r:id="rId7"/>
    <sheet name="Shareholder funds" sheetId="17" r:id="rId8"/>
    <sheet name="Solving Block One" sheetId="13" r:id="rId9"/>
    <sheet name="STATA input" sheetId="1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34" i="13" l="1"/>
  <c r="AL163" i="13"/>
  <c r="F53" i="17"/>
  <c r="AN53" i="13"/>
  <c r="AN52" i="13"/>
  <c r="F149" i="17"/>
  <c r="F148" i="17"/>
  <c r="F147" i="17"/>
  <c r="F146" i="17"/>
  <c r="F145" i="17"/>
  <c r="F144" i="17"/>
  <c r="F143" i="17"/>
  <c r="AV143" i="13" s="1"/>
  <c r="AN143" i="13" s="1"/>
  <c r="F142" i="17"/>
  <c r="AV142" i="13" s="1"/>
  <c r="AN142" i="13" s="1"/>
  <c r="AL300" i="13" s="1"/>
  <c r="F141" i="17"/>
  <c r="AV141" i="13" s="1"/>
  <c r="AN141" i="13" s="1"/>
  <c r="AL299" i="13" s="1"/>
  <c r="F140" i="17"/>
  <c r="AV140" i="13" s="1"/>
  <c r="AN140" i="13" s="1"/>
  <c r="AL298" i="13" s="1"/>
  <c r="F139" i="17"/>
  <c r="AV139" i="13" s="1"/>
  <c r="AN139" i="13" s="1"/>
  <c r="F138" i="17"/>
  <c r="AV138" i="13" s="1"/>
  <c r="AN138" i="13" s="1"/>
  <c r="AL296" i="13" s="1"/>
  <c r="F137" i="17"/>
  <c r="AV137" i="13" s="1"/>
  <c r="AN137" i="13" s="1"/>
  <c r="AL295" i="13" s="1"/>
  <c r="F136" i="17"/>
  <c r="F135" i="17"/>
  <c r="AV135" i="13" s="1"/>
  <c r="AN135" i="13" s="1"/>
  <c r="F134" i="17"/>
  <c r="AV134" i="13" s="1"/>
  <c r="AN134" i="13" s="1"/>
  <c r="F133" i="17"/>
  <c r="AV133" i="13" s="1"/>
  <c r="AN133" i="13" s="1"/>
  <c r="AK291" i="13" s="1"/>
  <c r="F132" i="17"/>
  <c r="AV132" i="13" s="1"/>
  <c r="AN132" i="13" s="1"/>
  <c r="AL290" i="13" s="1"/>
  <c r="F131" i="17"/>
  <c r="F130" i="17"/>
  <c r="AV130" i="13" s="1"/>
  <c r="AN130" i="13" s="1"/>
  <c r="AL288" i="13" s="1"/>
  <c r="F124" i="17"/>
  <c r="F129" i="17"/>
  <c r="F128" i="17"/>
  <c r="AV128" i="13" s="1"/>
  <c r="AN128" i="13" s="1"/>
  <c r="AL286" i="13" s="1"/>
  <c r="F127" i="17"/>
  <c r="AV127" i="13" s="1"/>
  <c r="AN127" i="13" s="1"/>
  <c r="F126" i="17"/>
  <c r="AV126" i="13" s="1"/>
  <c r="AN126" i="13" s="1"/>
  <c r="AL284" i="13" s="1"/>
  <c r="F125" i="17"/>
  <c r="AV129" i="13"/>
  <c r="AN129" i="13" s="1"/>
  <c r="AL287" i="13" s="1"/>
  <c r="F123" i="17"/>
  <c r="AV123" i="13" s="1"/>
  <c r="AN123" i="13" s="1"/>
  <c r="F122" i="17"/>
  <c r="F121" i="17"/>
  <c r="AV121" i="13" s="1"/>
  <c r="AN121" i="13" s="1"/>
  <c r="AK279" i="13" s="1"/>
  <c r="F120" i="17"/>
  <c r="F119" i="17"/>
  <c r="AN120" i="13"/>
  <c r="K120" i="13"/>
  <c r="AV52" i="13"/>
  <c r="AV53" i="13"/>
  <c r="AV54" i="13"/>
  <c r="AV55" i="13"/>
  <c r="AV56" i="13"/>
  <c r="AV57" i="13"/>
  <c r="AV58" i="13"/>
  <c r="AV59" i="13"/>
  <c r="AV60" i="13"/>
  <c r="AV61" i="13"/>
  <c r="AV62" i="13"/>
  <c r="AN62" i="13" s="1"/>
  <c r="AV63" i="13"/>
  <c r="AV64" i="13"/>
  <c r="AV65" i="13"/>
  <c r="AV66" i="13"/>
  <c r="AV67" i="13"/>
  <c r="AV68" i="13"/>
  <c r="AV69" i="13"/>
  <c r="AV70" i="13"/>
  <c r="AV71" i="13"/>
  <c r="AV72" i="13"/>
  <c r="AV73" i="13"/>
  <c r="AV74" i="13"/>
  <c r="AN74" i="13" s="1"/>
  <c r="AV75" i="13"/>
  <c r="AV76" i="13"/>
  <c r="AV77" i="13"/>
  <c r="AV78" i="13"/>
  <c r="AV79" i="13"/>
  <c r="AV80" i="13"/>
  <c r="AV81" i="13"/>
  <c r="AV82" i="13"/>
  <c r="AV83" i="13"/>
  <c r="AV84" i="13"/>
  <c r="AV85" i="13"/>
  <c r="AV86" i="13"/>
  <c r="AN86" i="13" s="1"/>
  <c r="AV87" i="13"/>
  <c r="AV88" i="13"/>
  <c r="AV89" i="13"/>
  <c r="AV90" i="13"/>
  <c r="AV91" i="13"/>
  <c r="AV92" i="13"/>
  <c r="AV93" i="13"/>
  <c r="AV94" i="13"/>
  <c r="AV95" i="13"/>
  <c r="AV96" i="13"/>
  <c r="AV97" i="13"/>
  <c r="AV98" i="13"/>
  <c r="AN98" i="13" s="1"/>
  <c r="AV99" i="13"/>
  <c r="AV100" i="13"/>
  <c r="AV101" i="13"/>
  <c r="AV102" i="13"/>
  <c r="AV103" i="13"/>
  <c r="AV104" i="13"/>
  <c r="AV105" i="13"/>
  <c r="AV106" i="13"/>
  <c r="AV107" i="13"/>
  <c r="AV108" i="13"/>
  <c r="AV109" i="13"/>
  <c r="AV110" i="13"/>
  <c r="AN110" i="13" s="1"/>
  <c r="AV111" i="13"/>
  <c r="AV112" i="13"/>
  <c r="AV113" i="13"/>
  <c r="AV114" i="13"/>
  <c r="AV115" i="13"/>
  <c r="AV116" i="13"/>
  <c r="AV117" i="13"/>
  <c r="AV118" i="13"/>
  <c r="AV119" i="13"/>
  <c r="AV120" i="13"/>
  <c r="AV122" i="13"/>
  <c r="AN122" i="13" s="1"/>
  <c r="AV124" i="13"/>
  <c r="AV125" i="13"/>
  <c r="AV131" i="13"/>
  <c r="AN131" i="13" s="1"/>
  <c r="AV136" i="13"/>
  <c r="AV144" i="13"/>
  <c r="AN144" i="13" s="1"/>
  <c r="AL302" i="13" s="1"/>
  <c r="AV145" i="13"/>
  <c r="AV146" i="13"/>
  <c r="AN146" i="13" s="1"/>
  <c r="AV147" i="13"/>
  <c r="AV148" i="13"/>
  <c r="AN148" i="13" s="1"/>
  <c r="AK306" i="13" s="1"/>
  <c r="AV149" i="13"/>
  <c r="AV51" i="13"/>
  <c r="AV29" i="13"/>
  <c r="AV30" i="13"/>
  <c r="AV31" i="13"/>
  <c r="AV32" i="13"/>
  <c r="AV33" i="13"/>
  <c r="AV34" i="13"/>
  <c r="AV35" i="13"/>
  <c r="AV36" i="13"/>
  <c r="AV37" i="13"/>
  <c r="AV38" i="13"/>
  <c r="AV39" i="13"/>
  <c r="AN39" i="13" s="1"/>
  <c r="AL199" i="13" s="1"/>
  <c r="AV40" i="13"/>
  <c r="AV41" i="13"/>
  <c r="AV42" i="13"/>
  <c r="AV43" i="13"/>
  <c r="AV44" i="13"/>
  <c r="AV45" i="13"/>
  <c r="AV46" i="13"/>
  <c r="AV11" i="13"/>
  <c r="AV12" i="13"/>
  <c r="AV13" i="13"/>
  <c r="AV14" i="13"/>
  <c r="AV15" i="13"/>
  <c r="AV16" i="13"/>
  <c r="AV17" i="13"/>
  <c r="AV18" i="13"/>
  <c r="AV19" i="13"/>
  <c r="AV20" i="13"/>
  <c r="AV21" i="13"/>
  <c r="AN21" i="13" s="1"/>
  <c r="AL181" i="13" s="1"/>
  <c r="AV22" i="13"/>
  <c r="AV23" i="13"/>
  <c r="AV24" i="13"/>
  <c r="AV25" i="13"/>
  <c r="AV26" i="13"/>
  <c r="AV27" i="13"/>
  <c r="AV28" i="13"/>
  <c r="AV9" i="13"/>
  <c r="AV10" i="13"/>
  <c r="F10" i="17"/>
  <c r="AV4" i="13"/>
  <c r="AV5" i="13"/>
  <c r="AV6" i="13"/>
  <c r="AV7" i="13"/>
  <c r="AN7" i="13" s="1"/>
  <c r="AL167" i="13" s="1"/>
  <c r="AV8" i="13"/>
  <c r="AV3" i="13"/>
  <c r="F118" i="17"/>
  <c r="F117" i="17"/>
  <c r="F116" i="17"/>
  <c r="F115" i="17"/>
  <c r="F114" i="17"/>
  <c r="F113" i="17"/>
  <c r="F112" i="17"/>
  <c r="F111" i="17"/>
  <c r="F110" i="17"/>
  <c r="F109" i="17"/>
  <c r="F106" i="17"/>
  <c r="F104" i="17"/>
  <c r="F103" i="17"/>
  <c r="F102" i="17"/>
  <c r="F101" i="17"/>
  <c r="F100" i="17"/>
  <c r="F99" i="17"/>
  <c r="F98" i="17"/>
  <c r="F96" i="17"/>
  <c r="F95" i="17"/>
  <c r="F94" i="17"/>
  <c r="F93" i="17"/>
  <c r="F91" i="17"/>
  <c r="F90" i="17"/>
  <c r="F84" i="17"/>
  <c r="F83" i="17"/>
  <c r="F82" i="17"/>
  <c r="F81" i="17"/>
  <c r="F80" i="17"/>
  <c r="F75" i="17"/>
  <c r="F74" i="17"/>
  <c r="F73" i="17"/>
  <c r="F72" i="17"/>
  <c r="F71" i="17"/>
  <c r="F70" i="17"/>
  <c r="F69" i="17"/>
  <c r="F68" i="17"/>
  <c r="F67" i="17"/>
  <c r="F66" i="17"/>
  <c r="F63" i="17"/>
  <c r="F61" i="17"/>
  <c r="F60" i="17"/>
  <c r="F59" i="17"/>
  <c r="F58" i="17"/>
  <c r="F57" i="17"/>
  <c r="F56" i="17"/>
  <c r="F55" i="17"/>
  <c r="F54" i="17"/>
  <c r="F52" i="17"/>
  <c r="F51" i="17"/>
  <c r="F46" i="17"/>
  <c r="F44" i="17"/>
  <c r="F43" i="17"/>
  <c r="F42" i="17"/>
  <c r="F38" i="17"/>
  <c r="F37" i="17"/>
  <c r="F36" i="17"/>
  <c r="F35" i="17"/>
  <c r="F34" i="17"/>
  <c r="F33" i="17"/>
  <c r="F32" i="17"/>
  <c r="F31" i="17"/>
  <c r="F30" i="17"/>
  <c r="F28" i="17"/>
  <c r="F27" i="17"/>
  <c r="F26" i="17"/>
  <c r="F25" i="17"/>
  <c r="F24" i="17"/>
  <c r="F23" i="17"/>
  <c r="F22" i="17"/>
  <c r="F20" i="17"/>
  <c r="F16" i="17"/>
  <c r="E153" i="17"/>
  <c r="F18" i="17"/>
  <c r="E155" i="17"/>
  <c r="P209" i="13"/>
  <c r="AN18" i="13"/>
  <c r="AL178" i="13" s="1"/>
  <c r="E4" i="16"/>
  <c r="AV205" i="13"/>
  <c r="U163" i="13"/>
  <c r="AP210" i="13"/>
  <c r="AP211" i="13"/>
  <c r="AP212" i="13"/>
  <c r="AP213" i="13"/>
  <c r="AP214" i="13"/>
  <c r="AP215" i="13"/>
  <c r="AP216" i="13"/>
  <c r="AP217" i="13"/>
  <c r="AP218" i="13"/>
  <c r="AP219" i="13"/>
  <c r="AP220" i="13"/>
  <c r="AP221" i="13"/>
  <c r="AP222" i="13"/>
  <c r="AP223" i="13"/>
  <c r="AP224" i="13"/>
  <c r="AP225" i="13"/>
  <c r="AP226" i="13"/>
  <c r="AP227" i="13"/>
  <c r="AP228" i="13"/>
  <c r="AP229" i="13"/>
  <c r="AP230" i="13"/>
  <c r="AP231" i="13"/>
  <c r="AP232" i="13"/>
  <c r="AP233" i="13"/>
  <c r="AP234" i="13"/>
  <c r="AP235" i="13"/>
  <c r="AP236" i="13"/>
  <c r="AP237" i="13"/>
  <c r="AP238" i="13"/>
  <c r="AP239" i="13"/>
  <c r="AP240" i="13"/>
  <c r="AP242" i="13"/>
  <c r="AP243" i="13"/>
  <c r="AP244" i="13"/>
  <c r="AP245" i="13"/>
  <c r="AP246" i="13"/>
  <c r="AP247" i="13"/>
  <c r="AP248" i="13"/>
  <c r="AP249" i="13"/>
  <c r="AP250" i="13"/>
  <c r="AP251" i="13"/>
  <c r="AP252" i="13"/>
  <c r="AP253" i="13"/>
  <c r="AP254" i="13"/>
  <c r="AP255" i="13"/>
  <c r="AP256" i="13"/>
  <c r="AP257" i="13"/>
  <c r="AP258" i="13"/>
  <c r="AP259" i="13"/>
  <c r="AP260" i="13"/>
  <c r="AP261" i="13"/>
  <c r="AP262" i="13"/>
  <c r="AP263" i="13"/>
  <c r="AP264" i="13"/>
  <c r="AP265" i="13"/>
  <c r="AP266" i="13"/>
  <c r="AP267" i="13"/>
  <c r="AP268" i="13"/>
  <c r="AP269" i="13"/>
  <c r="AP270" i="13"/>
  <c r="AP271" i="13"/>
  <c r="AP272" i="13"/>
  <c r="AP273" i="13"/>
  <c r="AP274" i="13"/>
  <c r="AP275" i="13"/>
  <c r="AP276" i="13"/>
  <c r="AP277" i="13"/>
  <c r="AP279" i="13"/>
  <c r="AP280" i="13"/>
  <c r="AP281" i="13"/>
  <c r="AP282" i="13"/>
  <c r="AP283" i="13"/>
  <c r="AP284" i="13"/>
  <c r="AP285" i="13"/>
  <c r="AP286" i="13"/>
  <c r="AP287" i="13"/>
  <c r="AP288" i="13"/>
  <c r="AP289" i="13"/>
  <c r="AP290" i="13"/>
  <c r="AP291" i="13"/>
  <c r="AP292" i="13"/>
  <c r="AP293" i="13"/>
  <c r="AP294" i="13"/>
  <c r="AP295" i="13"/>
  <c r="AP296" i="13"/>
  <c r="AP297" i="13"/>
  <c r="AP298" i="13"/>
  <c r="AP299" i="13"/>
  <c r="AP300" i="13"/>
  <c r="AP301" i="13"/>
  <c r="AP302" i="13"/>
  <c r="AP303" i="13"/>
  <c r="AP304" i="13"/>
  <c r="AP305" i="13"/>
  <c r="AP306" i="13"/>
  <c r="AP307" i="13"/>
  <c r="AP209" i="13"/>
  <c r="AO209" i="13"/>
  <c r="AP164" i="13"/>
  <c r="AP165" i="13"/>
  <c r="AP166" i="13"/>
  <c r="AP167" i="13"/>
  <c r="AP168" i="13"/>
  <c r="AP169" i="13"/>
  <c r="AP170" i="13"/>
  <c r="AP171" i="13"/>
  <c r="AP172" i="13"/>
  <c r="AP173" i="13"/>
  <c r="AP174" i="13"/>
  <c r="AP175" i="13"/>
  <c r="AP176" i="13"/>
  <c r="AP177" i="13"/>
  <c r="AP178" i="13"/>
  <c r="AP179" i="13"/>
  <c r="AP180" i="13"/>
  <c r="AP181" i="13"/>
  <c r="AP182" i="13"/>
  <c r="AP183" i="13"/>
  <c r="AP184" i="13"/>
  <c r="AP185" i="13"/>
  <c r="AP186" i="13"/>
  <c r="AP187" i="13"/>
  <c r="AP188" i="13"/>
  <c r="AP189" i="13"/>
  <c r="AP190" i="13"/>
  <c r="AP191" i="13"/>
  <c r="AP192" i="13"/>
  <c r="AP193" i="13"/>
  <c r="AP194" i="13"/>
  <c r="AP195" i="13"/>
  <c r="AP196" i="13"/>
  <c r="AP197" i="13"/>
  <c r="AP198" i="13"/>
  <c r="AP199" i="13"/>
  <c r="AP200" i="13"/>
  <c r="AP201" i="13"/>
  <c r="AP202" i="13"/>
  <c r="AP203" i="13"/>
  <c r="AP204" i="13"/>
  <c r="AP205" i="13"/>
  <c r="AP206" i="13"/>
  <c r="AP163" i="13"/>
  <c r="AO163" i="13"/>
  <c r="AN210" i="13"/>
  <c r="AN211" i="13"/>
  <c r="AN212" i="13"/>
  <c r="AN213" i="13"/>
  <c r="AN214" i="13"/>
  <c r="AN215" i="13"/>
  <c r="AN216" i="13"/>
  <c r="AN217" i="13"/>
  <c r="AN218" i="13"/>
  <c r="AN219" i="13"/>
  <c r="AN220" i="13"/>
  <c r="AN221" i="13"/>
  <c r="AN222" i="13"/>
  <c r="AN223" i="13"/>
  <c r="AN224" i="13"/>
  <c r="AN225" i="13"/>
  <c r="AN226" i="13"/>
  <c r="AN227" i="13"/>
  <c r="AN228" i="13"/>
  <c r="AN229" i="13"/>
  <c r="AN230" i="13"/>
  <c r="AN231" i="13"/>
  <c r="AN232" i="13"/>
  <c r="AN233" i="13"/>
  <c r="AN234" i="13"/>
  <c r="AN235" i="13"/>
  <c r="AN236" i="13"/>
  <c r="AN237" i="13"/>
  <c r="AN238" i="13"/>
  <c r="AN239" i="13"/>
  <c r="AN240" i="13"/>
  <c r="AN242" i="13"/>
  <c r="AN243" i="13"/>
  <c r="AN244" i="13"/>
  <c r="AN245" i="13"/>
  <c r="AN246" i="13"/>
  <c r="AN247" i="13"/>
  <c r="AN248" i="13"/>
  <c r="AN249" i="13"/>
  <c r="AN250" i="13"/>
  <c r="AN251" i="13"/>
  <c r="AN252" i="13"/>
  <c r="AN253" i="13"/>
  <c r="AN254" i="13"/>
  <c r="AN255" i="13"/>
  <c r="AN256" i="13"/>
  <c r="AN257" i="13"/>
  <c r="AN258" i="13"/>
  <c r="AN259" i="13"/>
  <c r="AN260" i="13"/>
  <c r="AN261" i="13"/>
  <c r="AN262" i="13"/>
  <c r="AN263" i="13"/>
  <c r="AN264" i="13"/>
  <c r="AN265" i="13"/>
  <c r="AN266" i="13"/>
  <c r="AN267" i="13"/>
  <c r="AN268" i="13"/>
  <c r="AN269" i="13"/>
  <c r="AN270" i="13"/>
  <c r="AN271" i="13"/>
  <c r="AN272" i="13"/>
  <c r="AN273" i="13"/>
  <c r="AN274" i="13"/>
  <c r="AN275" i="13"/>
  <c r="AN276" i="13"/>
  <c r="AN277" i="13"/>
  <c r="AN279" i="13"/>
  <c r="AN280" i="13"/>
  <c r="AN281" i="13"/>
  <c r="AN282" i="13"/>
  <c r="AN283" i="13"/>
  <c r="AN284" i="13"/>
  <c r="AN285" i="13"/>
  <c r="AN286" i="13"/>
  <c r="AN287" i="13"/>
  <c r="AN288" i="13"/>
  <c r="AN289" i="13"/>
  <c r="AN290" i="13"/>
  <c r="AN291" i="13"/>
  <c r="AN292" i="13"/>
  <c r="AN293" i="13"/>
  <c r="AN294" i="13"/>
  <c r="AN295" i="13"/>
  <c r="AN296" i="13"/>
  <c r="AN297" i="13"/>
  <c r="AN298" i="13"/>
  <c r="AN299" i="13"/>
  <c r="AN300" i="13"/>
  <c r="AN301" i="13"/>
  <c r="AN302" i="13"/>
  <c r="AN303" i="13"/>
  <c r="AN304" i="13"/>
  <c r="AN305" i="13"/>
  <c r="AN306" i="13"/>
  <c r="AN307" i="13"/>
  <c r="AN209" i="13"/>
  <c r="AN164" i="13"/>
  <c r="AN165" i="13"/>
  <c r="AN166" i="13"/>
  <c r="AN167" i="13"/>
  <c r="AN168" i="13"/>
  <c r="AN169" i="13"/>
  <c r="AN170" i="13"/>
  <c r="AN171" i="13"/>
  <c r="AN172" i="13"/>
  <c r="AN173" i="13"/>
  <c r="AN174" i="13"/>
  <c r="AN175" i="13"/>
  <c r="AN176" i="13"/>
  <c r="AN177" i="13"/>
  <c r="AN178" i="13"/>
  <c r="AN179" i="13"/>
  <c r="AN180" i="13"/>
  <c r="AN181" i="13"/>
  <c r="AN182" i="13"/>
  <c r="AN183" i="13"/>
  <c r="AN184" i="13"/>
  <c r="AN185" i="13"/>
  <c r="AN186" i="13"/>
  <c r="AN187" i="13"/>
  <c r="AN188" i="13"/>
  <c r="AN189" i="13"/>
  <c r="AN190" i="13"/>
  <c r="AN191" i="13"/>
  <c r="AN192" i="13"/>
  <c r="AN193" i="13"/>
  <c r="AN194" i="13"/>
  <c r="AN195" i="13"/>
  <c r="AN196" i="13"/>
  <c r="AN197" i="13"/>
  <c r="AN198" i="13"/>
  <c r="AN199" i="13"/>
  <c r="AN200" i="13"/>
  <c r="AN201" i="13"/>
  <c r="AN202" i="13"/>
  <c r="AN203" i="13"/>
  <c r="AN204" i="13"/>
  <c r="AN205" i="13"/>
  <c r="AN206" i="13"/>
  <c r="AN163" i="13"/>
  <c r="AM163" i="13"/>
  <c r="AO164" i="13"/>
  <c r="AO165" i="13"/>
  <c r="AO166" i="13"/>
  <c r="AO167" i="13"/>
  <c r="AO168" i="13"/>
  <c r="AO169" i="13"/>
  <c r="AO170" i="13"/>
  <c r="AO171" i="13"/>
  <c r="AO172" i="13"/>
  <c r="AO173" i="13"/>
  <c r="AO174" i="13"/>
  <c r="AO175" i="13"/>
  <c r="AO176" i="13"/>
  <c r="AO177" i="13"/>
  <c r="AO178" i="13"/>
  <c r="AO179" i="13"/>
  <c r="AO180" i="13"/>
  <c r="AO181" i="13"/>
  <c r="AO182" i="13"/>
  <c r="AO183" i="13"/>
  <c r="AO184" i="13"/>
  <c r="AO185" i="13"/>
  <c r="AO186" i="13"/>
  <c r="AO187" i="13"/>
  <c r="AO188" i="13"/>
  <c r="AO189" i="13"/>
  <c r="AO190" i="13"/>
  <c r="AO191" i="13"/>
  <c r="AO192" i="13"/>
  <c r="AO193" i="13"/>
  <c r="AO194" i="13"/>
  <c r="AO195" i="13"/>
  <c r="AO196" i="13"/>
  <c r="AO197" i="13"/>
  <c r="AO198" i="13"/>
  <c r="AO199" i="13"/>
  <c r="AO200" i="13"/>
  <c r="AO201" i="13"/>
  <c r="AO202" i="13"/>
  <c r="AO203" i="13"/>
  <c r="AO204" i="13"/>
  <c r="AO205" i="13"/>
  <c r="AO206" i="13"/>
  <c r="AO210" i="13"/>
  <c r="AO211" i="13"/>
  <c r="AO212" i="13"/>
  <c r="AO213" i="13"/>
  <c r="AO214" i="13"/>
  <c r="AO215" i="13"/>
  <c r="AO216" i="13"/>
  <c r="AO217" i="13"/>
  <c r="AO218" i="13"/>
  <c r="AO219" i="13"/>
  <c r="AO220" i="13"/>
  <c r="AO221" i="13"/>
  <c r="AO222" i="13"/>
  <c r="AO223" i="13"/>
  <c r="AO224" i="13"/>
  <c r="AO225" i="13"/>
  <c r="AO226" i="13"/>
  <c r="AO227" i="13"/>
  <c r="AO228" i="13"/>
  <c r="AO229" i="13"/>
  <c r="AO230" i="13"/>
  <c r="AO231" i="13"/>
  <c r="AO232" i="13"/>
  <c r="AO233" i="13"/>
  <c r="AO234" i="13"/>
  <c r="AO235" i="13"/>
  <c r="AO236" i="13"/>
  <c r="AO237" i="13"/>
  <c r="AO238" i="13"/>
  <c r="AO239" i="13"/>
  <c r="AO240" i="13"/>
  <c r="AO242" i="13"/>
  <c r="AO243" i="13"/>
  <c r="AO244" i="13"/>
  <c r="AO245" i="13"/>
  <c r="AO246" i="13"/>
  <c r="AO247" i="13"/>
  <c r="AO248" i="13"/>
  <c r="AO249" i="13"/>
  <c r="AO250" i="13"/>
  <c r="AO251" i="13"/>
  <c r="AO252" i="13"/>
  <c r="AO253" i="13"/>
  <c r="AO254" i="13"/>
  <c r="AO255" i="13"/>
  <c r="AO256" i="13"/>
  <c r="AO257" i="13"/>
  <c r="AO258" i="13"/>
  <c r="AO259" i="13"/>
  <c r="AO260" i="13"/>
  <c r="AO261" i="13"/>
  <c r="AO262" i="13"/>
  <c r="AO263" i="13"/>
  <c r="AO264" i="13"/>
  <c r="AO265" i="13"/>
  <c r="AO266" i="13"/>
  <c r="AO267" i="13"/>
  <c r="AO268" i="13"/>
  <c r="AO269" i="13"/>
  <c r="AO270" i="13"/>
  <c r="AO271" i="13"/>
  <c r="AO272" i="13"/>
  <c r="AO273" i="13"/>
  <c r="AO274" i="13"/>
  <c r="AO275" i="13"/>
  <c r="AO276" i="13"/>
  <c r="AO277" i="13"/>
  <c r="AO279" i="13"/>
  <c r="AO280" i="13"/>
  <c r="AO281" i="13"/>
  <c r="AO282" i="13"/>
  <c r="AO283" i="13"/>
  <c r="AO284" i="13"/>
  <c r="AO285" i="13"/>
  <c r="AO286" i="13"/>
  <c r="AO287" i="13"/>
  <c r="AO288" i="13"/>
  <c r="AO289" i="13"/>
  <c r="AO290" i="13"/>
  <c r="AO291" i="13"/>
  <c r="AO292" i="13"/>
  <c r="AO293" i="13"/>
  <c r="AO294" i="13"/>
  <c r="AO295" i="13"/>
  <c r="AO296" i="13"/>
  <c r="AO297" i="13"/>
  <c r="AO298" i="13"/>
  <c r="AO299" i="13"/>
  <c r="AO300" i="13"/>
  <c r="AO301" i="13"/>
  <c r="AO302" i="13"/>
  <c r="AO303" i="13"/>
  <c r="AO304" i="13"/>
  <c r="AO305" i="13"/>
  <c r="AO306" i="13"/>
  <c r="AO307" i="13"/>
  <c r="AM210" i="13"/>
  <c r="AM211" i="13"/>
  <c r="AM212" i="13"/>
  <c r="AM213" i="13"/>
  <c r="AM214" i="13"/>
  <c r="AM215" i="13"/>
  <c r="AM216" i="13"/>
  <c r="AM217" i="13"/>
  <c r="AM218" i="13"/>
  <c r="AM219" i="13"/>
  <c r="AM220" i="13"/>
  <c r="AM221" i="13"/>
  <c r="AM222" i="13"/>
  <c r="AM223" i="13"/>
  <c r="AM224" i="13"/>
  <c r="AM225" i="13"/>
  <c r="AM226" i="13"/>
  <c r="AM227" i="13"/>
  <c r="AM228" i="13"/>
  <c r="AM229" i="13"/>
  <c r="AM230" i="13"/>
  <c r="AM231" i="13"/>
  <c r="AM232" i="13"/>
  <c r="AM233" i="13"/>
  <c r="AM234" i="13"/>
  <c r="AM235" i="13"/>
  <c r="AM236" i="13"/>
  <c r="AM237" i="13"/>
  <c r="AM238" i="13"/>
  <c r="AM239" i="13"/>
  <c r="AM240" i="13"/>
  <c r="AM242" i="13"/>
  <c r="AM243" i="13"/>
  <c r="AM244" i="13"/>
  <c r="AM245" i="13"/>
  <c r="AM246" i="13"/>
  <c r="AM247" i="13"/>
  <c r="AM248" i="13"/>
  <c r="AM249" i="13"/>
  <c r="AM250" i="13"/>
  <c r="AM251" i="13"/>
  <c r="AM252" i="13"/>
  <c r="AM253" i="13"/>
  <c r="AM254" i="13"/>
  <c r="AM255" i="13"/>
  <c r="AM256" i="13"/>
  <c r="AM257" i="13"/>
  <c r="AM258" i="13"/>
  <c r="AM259" i="13"/>
  <c r="AM260" i="13"/>
  <c r="AM261" i="13"/>
  <c r="AM262" i="13"/>
  <c r="AM263" i="13"/>
  <c r="AM264" i="13"/>
  <c r="AM265" i="13"/>
  <c r="AM266" i="13"/>
  <c r="AM267" i="13"/>
  <c r="AM268" i="13"/>
  <c r="AM269" i="13"/>
  <c r="AM270" i="13"/>
  <c r="AM271" i="13"/>
  <c r="AM272" i="13"/>
  <c r="AM273" i="13"/>
  <c r="AM274" i="13"/>
  <c r="AM275" i="13"/>
  <c r="AM276" i="13"/>
  <c r="AM277" i="13"/>
  <c r="AM279" i="13"/>
  <c r="AM280" i="13"/>
  <c r="AM281" i="13"/>
  <c r="AM282" i="13"/>
  <c r="AM283" i="13"/>
  <c r="AM284" i="13"/>
  <c r="AM285" i="13"/>
  <c r="AM286" i="13"/>
  <c r="AM287" i="13"/>
  <c r="AM288" i="13"/>
  <c r="AM289" i="13"/>
  <c r="AM290" i="13"/>
  <c r="AM291" i="13"/>
  <c r="AM292" i="13"/>
  <c r="AM293" i="13"/>
  <c r="AM294" i="13"/>
  <c r="AM295" i="13"/>
  <c r="AM296" i="13"/>
  <c r="AM297" i="13"/>
  <c r="AM298" i="13"/>
  <c r="AM299" i="13"/>
  <c r="AM300" i="13"/>
  <c r="AM301" i="13"/>
  <c r="AM302" i="13"/>
  <c r="AM303" i="13"/>
  <c r="AM304" i="13"/>
  <c r="AM305" i="13"/>
  <c r="AM306" i="13"/>
  <c r="AM307" i="13"/>
  <c r="AM209" i="13"/>
  <c r="AM164" i="13"/>
  <c r="AM165" i="13"/>
  <c r="AM166" i="13"/>
  <c r="AM167" i="13"/>
  <c r="AM168" i="13"/>
  <c r="AM169" i="13"/>
  <c r="AM170" i="13"/>
  <c r="AM171" i="13"/>
  <c r="AM172" i="13"/>
  <c r="AM173" i="13"/>
  <c r="AM174" i="13"/>
  <c r="AM175" i="13"/>
  <c r="AM176" i="13"/>
  <c r="AM177" i="13"/>
  <c r="AM178" i="13"/>
  <c r="AM179" i="13"/>
  <c r="AM180" i="13"/>
  <c r="AM181" i="13"/>
  <c r="AM182" i="13"/>
  <c r="AM183" i="13"/>
  <c r="AM184" i="13"/>
  <c r="AM185" i="13"/>
  <c r="AM186" i="13"/>
  <c r="AM187" i="13"/>
  <c r="AM188" i="13"/>
  <c r="AM189" i="13"/>
  <c r="AM190" i="13"/>
  <c r="AM191" i="13"/>
  <c r="AM192" i="13"/>
  <c r="AM193" i="13"/>
  <c r="AM194" i="13"/>
  <c r="AM195" i="13"/>
  <c r="AM196" i="13"/>
  <c r="AM197" i="13"/>
  <c r="AM198" i="13"/>
  <c r="AM199" i="13"/>
  <c r="AM200" i="13"/>
  <c r="AM201" i="13"/>
  <c r="AM202" i="13"/>
  <c r="AM203" i="13"/>
  <c r="AM204" i="13"/>
  <c r="AM205" i="13"/>
  <c r="AM206" i="13"/>
  <c r="AL216" i="13"/>
  <c r="AL219" i="13"/>
  <c r="AL228" i="13"/>
  <c r="AL231" i="13"/>
  <c r="AL240" i="13"/>
  <c r="AL245" i="13"/>
  <c r="AL253" i="13"/>
  <c r="AL257" i="13"/>
  <c r="AL265" i="13"/>
  <c r="AL269" i="13"/>
  <c r="AL277" i="13"/>
  <c r="AL166" i="13"/>
  <c r="AL173" i="13"/>
  <c r="AL187" i="13"/>
  <c r="AL196" i="13"/>
  <c r="AG210" i="13"/>
  <c r="AG211" i="13"/>
  <c r="AG212" i="13"/>
  <c r="AG213" i="13"/>
  <c r="AG214" i="13"/>
  <c r="AG215" i="13"/>
  <c r="AG216" i="13"/>
  <c r="AG217" i="13"/>
  <c r="AG218" i="13"/>
  <c r="AG219" i="13"/>
  <c r="AG220" i="13"/>
  <c r="AG221" i="13"/>
  <c r="AG222" i="13"/>
  <c r="AG223" i="13"/>
  <c r="AG224" i="13"/>
  <c r="AG225" i="13"/>
  <c r="AG226" i="13"/>
  <c r="AG227" i="13"/>
  <c r="AG228" i="13"/>
  <c r="AG229" i="13"/>
  <c r="AG230" i="13"/>
  <c r="AG231" i="13"/>
  <c r="AG232" i="13"/>
  <c r="AG233" i="13"/>
  <c r="AG234" i="13"/>
  <c r="AG235" i="13"/>
  <c r="AG236" i="13"/>
  <c r="AG237" i="13"/>
  <c r="AG238" i="13"/>
  <c r="AG239" i="13"/>
  <c r="AG240" i="13"/>
  <c r="AG242" i="13"/>
  <c r="AG243" i="13"/>
  <c r="AG244" i="13"/>
  <c r="AG245" i="13"/>
  <c r="AG246" i="13"/>
  <c r="AG247" i="13"/>
  <c r="AG248" i="13"/>
  <c r="AG249" i="13"/>
  <c r="AG250" i="13"/>
  <c r="AG251" i="13"/>
  <c r="AG252" i="13"/>
  <c r="AG253" i="13"/>
  <c r="AG254" i="13"/>
  <c r="AG255" i="13"/>
  <c r="AG256" i="13"/>
  <c r="AG257" i="13"/>
  <c r="AG258" i="13"/>
  <c r="AG259" i="13"/>
  <c r="AG260" i="13"/>
  <c r="AG261" i="13"/>
  <c r="AG262" i="13"/>
  <c r="AG263" i="13"/>
  <c r="AG264" i="13"/>
  <c r="AG265" i="13"/>
  <c r="AG266" i="13"/>
  <c r="AG267" i="13"/>
  <c r="AG268" i="13"/>
  <c r="AG269" i="13"/>
  <c r="AG270" i="13"/>
  <c r="AG271" i="13"/>
  <c r="AG272" i="13"/>
  <c r="AG273" i="13"/>
  <c r="AG274" i="13"/>
  <c r="AG275" i="13"/>
  <c r="AG276" i="13"/>
  <c r="AG277" i="13"/>
  <c r="AG279" i="13"/>
  <c r="AG280" i="13"/>
  <c r="AG281" i="13"/>
  <c r="AG282" i="13"/>
  <c r="AG283" i="13"/>
  <c r="AG284" i="13"/>
  <c r="AG285" i="13"/>
  <c r="AG286" i="13"/>
  <c r="AG287" i="13"/>
  <c r="AG288" i="13"/>
  <c r="AG289" i="13"/>
  <c r="AG290" i="13"/>
  <c r="AG291" i="13"/>
  <c r="AG292" i="13"/>
  <c r="AG293" i="13"/>
  <c r="AG294" i="13"/>
  <c r="AG295" i="13"/>
  <c r="AG296" i="13"/>
  <c r="AG297" i="13"/>
  <c r="AG298" i="13"/>
  <c r="AG299" i="13"/>
  <c r="AG300" i="13"/>
  <c r="AG301" i="13"/>
  <c r="AG302" i="13"/>
  <c r="AG303" i="13"/>
  <c r="AG304" i="13"/>
  <c r="AG305" i="13"/>
  <c r="AG306" i="13"/>
  <c r="AG307" i="13"/>
  <c r="AG209" i="13"/>
  <c r="AG164" i="13"/>
  <c r="AG165" i="13"/>
  <c r="AG166" i="13"/>
  <c r="AG167" i="13"/>
  <c r="AG168" i="13"/>
  <c r="AG169" i="13"/>
  <c r="AG170" i="13"/>
  <c r="AG171" i="13"/>
  <c r="AG172" i="13"/>
  <c r="AG173" i="13"/>
  <c r="AG174" i="13"/>
  <c r="AG175" i="13"/>
  <c r="AG176" i="13"/>
  <c r="AG177" i="13"/>
  <c r="AG178" i="13"/>
  <c r="AG179" i="13"/>
  <c r="AG180" i="13"/>
  <c r="AG181" i="13"/>
  <c r="AG182" i="13"/>
  <c r="AG183" i="13"/>
  <c r="AG184" i="13"/>
  <c r="AG185" i="13"/>
  <c r="AG186" i="13"/>
  <c r="AG187" i="13"/>
  <c r="AG188" i="13"/>
  <c r="AG189" i="13"/>
  <c r="AG190" i="13"/>
  <c r="AG191" i="13"/>
  <c r="AG192" i="13"/>
  <c r="AG193" i="13"/>
  <c r="AG194" i="13"/>
  <c r="AG195" i="13"/>
  <c r="AG196" i="13"/>
  <c r="AG197" i="13"/>
  <c r="AG198" i="13"/>
  <c r="AG199" i="13"/>
  <c r="AG200" i="13"/>
  <c r="AG201" i="13"/>
  <c r="AG202" i="13"/>
  <c r="AG203" i="13"/>
  <c r="AG204" i="13"/>
  <c r="AG205" i="13"/>
  <c r="AG206" i="13"/>
  <c r="AG163" i="13"/>
  <c r="AK163" i="13"/>
  <c r="AK212" i="13"/>
  <c r="AK216" i="13"/>
  <c r="AK219" i="13"/>
  <c r="AK224" i="13"/>
  <c r="AK228" i="13"/>
  <c r="AK231" i="13"/>
  <c r="AK236" i="13"/>
  <c r="AK240" i="13"/>
  <c r="AK249" i="13"/>
  <c r="AK253" i="13"/>
  <c r="AK261" i="13"/>
  <c r="AK265" i="13"/>
  <c r="AK273" i="13"/>
  <c r="AK277" i="13"/>
  <c r="AF209" i="13"/>
  <c r="AL3" i="13"/>
  <c r="AF163" i="13"/>
  <c r="AJ3" i="13"/>
  <c r="AI188" i="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L210" i="13"/>
  <c r="AL211" i="13"/>
  <c r="AN54" i="13"/>
  <c r="AL212" i="13" s="1"/>
  <c r="AN55" i="13"/>
  <c r="AL213" i="13" s="1"/>
  <c r="AN56" i="13"/>
  <c r="AL214" i="13" s="1"/>
  <c r="AN57" i="13"/>
  <c r="AL215" i="13" s="1"/>
  <c r="AN58" i="13"/>
  <c r="AN59" i="13"/>
  <c r="AL217" i="13" s="1"/>
  <c r="AN60" i="13"/>
  <c r="AK218" i="13" s="1"/>
  <c r="AN61" i="13"/>
  <c r="AN63" i="13"/>
  <c r="AK221" i="13" s="1"/>
  <c r="AN64" i="13"/>
  <c r="AL222" i="13" s="1"/>
  <c r="AN65" i="13"/>
  <c r="AL223" i="13" s="1"/>
  <c r="AN66" i="13"/>
  <c r="AL224" i="13" s="1"/>
  <c r="AN67" i="13"/>
  <c r="AL225" i="13" s="1"/>
  <c r="AN68" i="13"/>
  <c r="AL226" i="13" s="1"/>
  <c r="AN69" i="13"/>
  <c r="AL227" i="13" s="1"/>
  <c r="AN70" i="13"/>
  <c r="AN71" i="13"/>
  <c r="AL229" i="13" s="1"/>
  <c r="AN72" i="13"/>
  <c r="AK230" i="13" s="1"/>
  <c r="AN73" i="13"/>
  <c r="AN75" i="13"/>
  <c r="AK233" i="13" s="1"/>
  <c r="AN76" i="13"/>
  <c r="AL234" i="13" s="1"/>
  <c r="AN77" i="13"/>
  <c r="AL235" i="13" s="1"/>
  <c r="AN78" i="13"/>
  <c r="AL236" i="13" s="1"/>
  <c r="AN79" i="13"/>
  <c r="AL237" i="13" s="1"/>
  <c r="AN80" i="13"/>
  <c r="AL238" i="13" s="1"/>
  <c r="AN81" i="13"/>
  <c r="AL239" i="13" s="1"/>
  <c r="AN82" i="13"/>
  <c r="AN84" i="13"/>
  <c r="AL242" i="13" s="1"/>
  <c r="AN85" i="13"/>
  <c r="AK243" i="13" s="1"/>
  <c r="AN87" i="13"/>
  <c r="AK245" i="13" s="1"/>
  <c r="AN88" i="13"/>
  <c r="AK246" i="13" s="1"/>
  <c r="AN89" i="13"/>
  <c r="AL247" i="13" s="1"/>
  <c r="AN90" i="13"/>
  <c r="AL248" i="13" s="1"/>
  <c r="AN91" i="13"/>
  <c r="AL249" i="13" s="1"/>
  <c r="AN92" i="13"/>
  <c r="AL250" i="13" s="1"/>
  <c r="AN93" i="13"/>
  <c r="AL251" i="13" s="1"/>
  <c r="AN94" i="13"/>
  <c r="AL252" i="13" s="1"/>
  <c r="AN95" i="13"/>
  <c r="AN96" i="13"/>
  <c r="AL254" i="13" s="1"/>
  <c r="AN97" i="13"/>
  <c r="AK255" i="13" s="1"/>
  <c r="AN99" i="13"/>
  <c r="AK257" i="13" s="1"/>
  <c r="AN100" i="13"/>
  <c r="AK258" i="13" s="1"/>
  <c r="AN101" i="13"/>
  <c r="AL259" i="13" s="1"/>
  <c r="AN102" i="13"/>
  <c r="AL260" i="13" s="1"/>
  <c r="AN103" i="13"/>
  <c r="AL261" i="13" s="1"/>
  <c r="AN104" i="13"/>
  <c r="AL262" i="13" s="1"/>
  <c r="AN105" i="13"/>
  <c r="AL263" i="13" s="1"/>
  <c r="AN106" i="13"/>
  <c r="AL264" i="13" s="1"/>
  <c r="AN107" i="13"/>
  <c r="AN108" i="13"/>
  <c r="AL266" i="13" s="1"/>
  <c r="AN109" i="13"/>
  <c r="AK267" i="13" s="1"/>
  <c r="AN111" i="13"/>
  <c r="AK269" i="13" s="1"/>
  <c r="AN112" i="13"/>
  <c r="AK270" i="13" s="1"/>
  <c r="AN113" i="13"/>
  <c r="AL271" i="13" s="1"/>
  <c r="AN114" i="13"/>
  <c r="AL272" i="13" s="1"/>
  <c r="AN115" i="13"/>
  <c r="AL273" i="13" s="1"/>
  <c r="AN116" i="13"/>
  <c r="AL274" i="13" s="1"/>
  <c r="AN117" i="13"/>
  <c r="AL275" i="13" s="1"/>
  <c r="AN118" i="13"/>
  <c r="AL276" i="13" s="1"/>
  <c r="AN119" i="13"/>
  <c r="AN124" i="13"/>
  <c r="AK282" i="13" s="1"/>
  <c r="AN125" i="13"/>
  <c r="AL283" i="13" s="1"/>
  <c r="AN136" i="13"/>
  <c r="AK294" i="13" s="1"/>
  <c r="AN145" i="13"/>
  <c r="AK303" i="13" s="1"/>
  <c r="AN147" i="13"/>
  <c r="AK305" i="13" s="1"/>
  <c r="AN149" i="13"/>
  <c r="AL307" i="13" s="1"/>
  <c r="AM52" i="13"/>
  <c r="AM53" i="13"/>
  <c r="AM54" i="13"/>
  <c r="AM55" i="13"/>
  <c r="AM56" i="13"/>
  <c r="AM57" i="13"/>
  <c r="AM58" i="13"/>
  <c r="AM59" i="13"/>
  <c r="AM60" i="13"/>
  <c r="AM61" i="13"/>
  <c r="AM62" i="13"/>
  <c r="AM63" i="13"/>
  <c r="AM64" i="13"/>
  <c r="AM65" i="13"/>
  <c r="AM66" i="13"/>
  <c r="AM67" i="13"/>
  <c r="AM68" i="13"/>
  <c r="AM69" i="13"/>
  <c r="AM70" i="13"/>
  <c r="AM71" i="13"/>
  <c r="AM72" i="13"/>
  <c r="AM73" i="13"/>
  <c r="AM74" i="13"/>
  <c r="AM75" i="13"/>
  <c r="AM76" i="13"/>
  <c r="AM77" i="13"/>
  <c r="AM78" i="13"/>
  <c r="AM79" i="13"/>
  <c r="AM80" i="13"/>
  <c r="AM81" i="13"/>
  <c r="AM82" i="13"/>
  <c r="AM84" i="13"/>
  <c r="AM85" i="13"/>
  <c r="AM86" i="13"/>
  <c r="AM87" i="13"/>
  <c r="AM88" i="13"/>
  <c r="AM89" i="13"/>
  <c r="AM90" i="13"/>
  <c r="AM91" i="13"/>
  <c r="AM92" i="13"/>
  <c r="AM93" i="13"/>
  <c r="AM94" i="13"/>
  <c r="AM95" i="13"/>
  <c r="AM96" i="13"/>
  <c r="AM97" i="13"/>
  <c r="AM98" i="13"/>
  <c r="AM99" i="13"/>
  <c r="AM100" i="13"/>
  <c r="AM101" i="13"/>
  <c r="AM102" i="13"/>
  <c r="AM103" i="13"/>
  <c r="AM104" i="13"/>
  <c r="AM105" i="13"/>
  <c r="AM106" i="13"/>
  <c r="AM107" i="13"/>
  <c r="AM108" i="13"/>
  <c r="AM109" i="13"/>
  <c r="AM110" i="13"/>
  <c r="AM111" i="13"/>
  <c r="AM112" i="13"/>
  <c r="AM113" i="13"/>
  <c r="AM114" i="13"/>
  <c r="AM115" i="13"/>
  <c r="AM116" i="13"/>
  <c r="AM117" i="13"/>
  <c r="AM118" i="13"/>
  <c r="AM119" i="13"/>
  <c r="AM121" i="13"/>
  <c r="AM122" i="13"/>
  <c r="AM123" i="13"/>
  <c r="AM124" i="13"/>
  <c r="AM125" i="13"/>
  <c r="AM126" i="13"/>
  <c r="AM127" i="13"/>
  <c r="AM128" i="13"/>
  <c r="AM129" i="13"/>
  <c r="AM130" i="13"/>
  <c r="AM131" i="13"/>
  <c r="AM132" i="13"/>
  <c r="AM133" i="13"/>
  <c r="AM134" i="13"/>
  <c r="AM135" i="13"/>
  <c r="AM136" i="13"/>
  <c r="AM137" i="13"/>
  <c r="AM138" i="13"/>
  <c r="AM139" i="13"/>
  <c r="AM140" i="13"/>
  <c r="AM141" i="13"/>
  <c r="AM142" i="13"/>
  <c r="AM143" i="13"/>
  <c r="AM144" i="13"/>
  <c r="AM145" i="13"/>
  <c r="AM146" i="13"/>
  <c r="AM147" i="13"/>
  <c r="AM148" i="13"/>
  <c r="AM149" i="13"/>
  <c r="AL52" i="13"/>
  <c r="AL53" i="13"/>
  <c r="AL54" i="13"/>
  <c r="AL55" i="13"/>
  <c r="AL56" i="13"/>
  <c r="AL57" i="13"/>
  <c r="AL58" i="13"/>
  <c r="AL59" i="13"/>
  <c r="AL60" i="13"/>
  <c r="AL61" i="13"/>
  <c r="AL62" i="13"/>
  <c r="AL63" i="13"/>
  <c r="AL64" i="13"/>
  <c r="AL65" i="13"/>
  <c r="AL66" i="13"/>
  <c r="AL67" i="13"/>
  <c r="AL68" i="13"/>
  <c r="AL69" i="13"/>
  <c r="AL70" i="13"/>
  <c r="AL71" i="13"/>
  <c r="AL72" i="13"/>
  <c r="AL73" i="13"/>
  <c r="AL74" i="13"/>
  <c r="AL75" i="13"/>
  <c r="AL76" i="13"/>
  <c r="AL77" i="13"/>
  <c r="AL78" i="13"/>
  <c r="AL79" i="13"/>
  <c r="AL80" i="13"/>
  <c r="AL81" i="13"/>
  <c r="AL82" i="13"/>
  <c r="AL84" i="13"/>
  <c r="AL85" i="13"/>
  <c r="AL86" i="13"/>
  <c r="AL87" i="13"/>
  <c r="AL88" i="13"/>
  <c r="AL89" i="13"/>
  <c r="AL90" i="13"/>
  <c r="AL91" i="13"/>
  <c r="AL92" i="13"/>
  <c r="AL93" i="13"/>
  <c r="AL94" i="13"/>
  <c r="AL95" i="13"/>
  <c r="AL96" i="13"/>
  <c r="AL97" i="13"/>
  <c r="AL98" i="13"/>
  <c r="AL99" i="13"/>
  <c r="AL100" i="13"/>
  <c r="AL101" i="13"/>
  <c r="AL102" i="13"/>
  <c r="AL103" i="13"/>
  <c r="AL104" i="13"/>
  <c r="AL105" i="13"/>
  <c r="AL106" i="13"/>
  <c r="AL107" i="13"/>
  <c r="AL108" i="13"/>
  <c r="AL109" i="13"/>
  <c r="AL110" i="13"/>
  <c r="AL111" i="13"/>
  <c r="AL112" i="13"/>
  <c r="AL113" i="13"/>
  <c r="AL114" i="13"/>
  <c r="AL115" i="13"/>
  <c r="AL116" i="13"/>
  <c r="AL117" i="13"/>
  <c r="AL118" i="13"/>
  <c r="AL119" i="13"/>
  <c r="AL121" i="13"/>
  <c r="AL122" i="13"/>
  <c r="AL123" i="13"/>
  <c r="AL124" i="13"/>
  <c r="AL125" i="13"/>
  <c r="AL126" i="13"/>
  <c r="AL127" i="13"/>
  <c r="AL128" i="13"/>
  <c r="AL129" i="13"/>
  <c r="AL130" i="13"/>
  <c r="AL131" i="13"/>
  <c r="AL132" i="13"/>
  <c r="AL133" i="13"/>
  <c r="AL134" i="13"/>
  <c r="AL135" i="13"/>
  <c r="AL136" i="13"/>
  <c r="AL137" i="13"/>
  <c r="AL138" i="13"/>
  <c r="AL139" i="13"/>
  <c r="AL140" i="13"/>
  <c r="AL141" i="13"/>
  <c r="AL142" i="13"/>
  <c r="AL143" i="13"/>
  <c r="AL144" i="13"/>
  <c r="AL145" i="13"/>
  <c r="AL146" i="13"/>
  <c r="AL147" i="13"/>
  <c r="AL148" i="13"/>
  <c r="AL149" i="13"/>
  <c r="AK52" i="13"/>
  <c r="AK53" i="13"/>
  <c r="AK54" i="13"/>
  <c r="AK55" i="13"/>
  <c r="AK56" i="13"/>
  <c r="AK57" i="13"/>
  <c r="AK58" i="13"/>
  <c r="AK59" i="13"/>
  <c r="AK60" i="13"/>
  <c r="AK61" i="13"/>
  <c r="AK62" i="13"/>
  <c r="AK63" i="13"/>
  <c r="AK64" i="13"/>
  <c r="AK65" i="13"/>
  <c r="AK66" i="13"/>
  <c r="AK67" i="13"/>
  <c r="AK68" i="13"/>
  <c r="AK69" i="13"/>
  <c r="AK70" i="13"/>
  <c r="AK71" i="13"/>
  <c r="AK72" i="13"/>
  <c r="AK73" i="13"/>
  <c r="AK74" i="13"/>
  <c r="AK75" i="13"/>
  <c r="AK76" i="13"/>
  <c r="AK77" i="13"/>
  <c r="AK78" i="13"/>
  <c r="AK79" i="13"/>
  <c r="AK80" i="13"/>
  <c r="AK81" i="13"/>
  <c r="AK82" i="13"/>
  <c r="AK84" i="13"/>
  <c r="AK85" i="13"/>
  <c r="AK86" i="13"/>
  <c r="AK87" i="13"/>
  <c r="AK88" i="13"/>
  <c r="AK89" i="13"/>
  <c r="AK90" i="13"/>
  <c r="AK91" i="13"/>
  <c r="AK92" i="13"/>
  <c r="AK93" i="13"/>
  <c r="AK94" i="13"/>
  <c r="AK95" i="13"/>
  <c r="AK96" i="13"/>
  <c r="AK97" i="13"/>
  <c r="AK98" i="13"/>
  <c r="AK99" i="13"/>
  <c r="AK100" i="13"/>
  <c r="AK101" i="13"/>
  <c r="AK102" i="13"/>
  <c r="AK103" i="13"/>
  <c r="AK104" i="13"/>
  <c r="AK105" i="13"/>
  <c r="AK106" i="13"/>
  <c r="AK107" i="13"/>
  <c r="AK108" i="13"/>
  <c r="AK109" i="13"/>
  <c r="AK110" i="13"/>
  <c r="AK111" i="13"/>
  <c r="AK112" i="13"/>
  <c r="AK113" i="13"/>
  <c r="AK114" i="13"/>
  <c r="AK115" i="13"/>
  <c r="AK116" i="13"/>
  <c r="AK117" i="13"/>
  <c r="AK118" i="13"/>
  <c r="AK119" i="13"/>
  <c r="AK121" i="13"/>
  <c r="AK122" i="13"/>
  <c r="AK123" i="13"/>
  <c r="AK124" i="13"/>
  <c r="AK125" i="13"/>
  <c r="AK126" i="13"/>
  <c r="AK127" i="13"/>
  <c r="AK128" i="13"/>
  <c r="AK129" i="13"/>
  <c r="AK130" i="13"/>
  <c r="AK131" i="13"/>
  <c r="AK132" i="13"/>
  <c r="AK133" i="13"/>
  <c r="AK134" i="13"/>
  <c r="AK135" i="13"/>
  <c r="AK136" i="13"/>
  <c r="AK137" i="13"/>
  <c r="AK138" i="13"/>
  <c r="AK139" i="13"/>
  <c r="AK140" i="13"/>
  <c r="AK141" i="13"/>
  <c r="AK142" i="13"/>
  <c r="AK143" i="13"/>
  <c r="AK144" i="13"/>
  <c r="AK145" i="13"/>
  <c r="AK146" i="13"/>
  <c r="AK147" i="13"/>
  <c r="AK148" i="13"/>
  <c r="AK149" i="13"/>
  <c r="AK51" i="13"/>
  <c r="AL51" i="13"/>
  <c r="AM51" i="13"/>
  <c r="AN51" i="13"/>
  <c r="AL209" i="13" s="1"/>
  <c r="AJ52" i="13"/>
  <c r="AJ53" i="13"/>
  <c r="AJ54" i="13"/>
  <c r="AJ55" i="13"/>
  <c r="AJ56" i="13"/>
  <c r="AJ57" i="13"/>
  <c r="AJ58" i="13"/>
  <c r="AJ59" i="13"/>
  <c r="AJ60" i="13"/>
  <c r="AJ61" i="13"/>
  <c r="AJ62" i="13"/>
  <c r="AJ63" i="13"/>
  <c r="AJ64" i="13"/>
  <c r="AJ65" i="13"/>
  <c r="AJ66" i="13"/>
  <c r="AJ67" i="13"/>
  <c r="AJ68" i="13"/>
  <c r="AJ69" i="13"/>
  <c r="AJ70" i="13"/>
  <c r="AJ71" i="13"/>
  <c r="AJ72" i="13"/>
  <c r="AJ73" i="13"/>
  <c r="AJ74" i="13"/>
  <c r="AJ75" i="13"/>
  <c r="AJ76" i="13"/>
  <c r="AJ77" i="13"/>
  <c r="AJ78" i="13"/>
  <c r="AJ79" i="13"/>
  <c r="AJ80" i="13"/>
  <c r="AJ81" i="13"/>
  <c r="AJ82" i="13"/>
  <c r="AJ84" i="13"/>
  <c r="AJ85" i="13"/>
  <c r="AJ86" i="13"/>
  <c r="AJ87" i="13"/>
  <c r="AJ88" i="13"/>
  <c r="AJ89" i="13"/>
  <c r="AJ90" i="13"/>
  <c r="AJ91" i="13"/>
  <c r="AJ92" i="13"/>
  <c r="AJ93" i="13"/>
  <c r="AJ94" i="13"/>
  <c r="AJ95" i="13"/>
  <c r="AJ96" i="13"/>
  <c r="AJ97" i="13"/>
  <c r="AJ98" i="13"/>
  <c r="AJ99" i="13"/>
  <c r="AJ100" i="13"/>
  <c r="AJ101" i="13"/>
  <c r="AJ102" i="13"/>
  <c r="AJ103" i="13"/>
  <c r="AJ104" i="13"/>
  <c r="AJ105" i="13"/>
  <c r="AJ106" i="13"/>
  <c r="AJ107" i="13"/>
  <c r="AJ108" i="13"/>
  <c r="AJ109" i="13"/>
  <c r="AJ110" i="13"/>
  <c r="AJ111" i="13"/>
  <c r="AJ112" i="13"/>
  <c r="AJ113" i="13"/>
  <c r="AJ114" i="13"/>
  <c r="AJ115" i="13"/>
  <c r="AJ116" i="13"/>
  <c r="AJ117" i="13"/>
  <c r="AJ118" i="13"/>
  <c r="AJ119" i="13"/>
  <c r="AJ121" i="13"/>
  <c r="AJ122" i="13"/>
  <c r="AJ123" i="13"/>
  <c r="AJ124" i="13"/>
  <c r="AJ125" i="13"/>
  <c r="AJ126" i="13"/>
  <c r="AJ127" i="13"/>
  <c r="AJ128" i="13"/>
  <c r="AJ129" i="13"/>
  <c r="AJ130" i="13"/>
  <c r="AJ131" i="13"/>
  <c r="AJ132" i="13"/>
  <c r="AJ133" i="13"/>
  <c r="AJ134" i="13"/>
  <c r="AJ135" i="13"/>
  <c r="AJ136" i="13"/>
  <c r="AJ137" i="13"/>
  <c r="AJ138" i="13"/>
  <c r="AJ139" i="13"/>
  <c r="AJ140" i="13"/>
  <c r="AJ141" i="13"/>
  <c r="AJ142" i="13"/>
  <c r="AJ143" i="13"/>
  <c r="AJ144" i="13"/>
  <c r="AJ145" i="13"/>
  <c r="AJ146" i="13"/>
  <c r="AJ147" i="13"/>
  <c r="AJ148" i="13"/>
  <c r="AJ149" i="13"/>
  <c r="AJ51" i="13"/>
  <c r="AI52" i="13"/>
  <c r="AI53" i="13"/>
  <c r="AI54" i="13"/>
  <c r="AI55" i="13"/>
  <c r="AI56" i="13"/>
  <c r="AI57" i="13"/>
  <c r="AI58" i="13"/>
  <c r="AI59" i="13"/>
  <c r="AI60" i="13"/>
  <c r="AI61" i="13"/>
  <c r="AI62" i="13"/>
  <c r="AI63" i="13"/>
  <c r="AI64" i="13"/>
  <c r="AI65" i="13"/>
  <c r="AI66" i="13"/>
  <c r="AI67" i="13"/>
  <c r="AI68" i="13"/>
  <c r="AI69" i="13"/>
  <c r="AI70" i="13"/>
  <c r="AI71" i="13"/>
  <c r="AI72" i="13"/>
  <c r="AI73" i="13"/>
  <c r="AI74" i="13"/>
  <c r="AI75" i="13"/>
  <c r="AI76" i="13"/>
  <c r="AI77" i="13"/>
  <c r="AI78" i="13"/>
  <c r="AI79" i="13"/>
  <c r="AI80" i="13"/>
  <c r="AI81" i="13"/>
  <c r="AI82" i="13"/>
  <c r="AI84" i="13"/>
  <c r="AI85" i="13"/>
  <c r="AI86" i="13"/>
  <c r="AI87" i="13"/>
  <c r="AI88" i="13"/>
  <c r="AI89" i="13"/>
  <c r="AI90" i="13"/>
  <c r="AI91" i="13"/>
  <c r="AI92" i="13"/>
  <c r="AI93" i="13"/>
  <c r="AI94" i="13"/>
  <c r="AI95" i="13"/>
  <c r="AI96" i="13"/>
  <c r="AI97" i="13"/>
  <c r="AI98" i="13"/>
  <c r="AI99" i="13"/>
  <c r="AI100" i="13"/>
  <c r="AI101" i="13"/>
  <c r="AI102" i="13"/>
  <c r="AI103" i="13"/>
  <c r="AI104" i="13"/>
  <c r="AI105" i="13"/>
  <c r="AI106" i="13"/>
  <c r="AI107" i="13"/>
  <c r="AI108" i="13"/>
  <c r="AI109" i="13"/>
  <c r="AI110" i="13"/>
  <c r="AI111" i="13"/>
  <c r="AI112" i="13"/>
  <c r="AI113" i="13"/>
  <c r="AI114" i="13"/>
  <c r="AI115" i="13"/>
  <c r="AI116" i="13"/>
  <c r="AI117" i="13"/>
  <c r="AI118" i="13"/>
  <c r="AI119" i="13"/>
  <c r="AI121" i="13"/>
  <c r="AI122" i="13"/>
  <c r="AI123" i="13"/>
  <c r="AI124" i="13"/>
  <c r="AI125" i="13"/>
  <c r="AI126" i="13"/>
  <c r="AI127" i="13"/>
  <c r="AI128" i="13"/>
  <c r="AI129" i="13"/>
  <c r="AI130" i="13"/>
  <c r="AI131" i="13"/>
  <c r="AI132" i="13"/>
  <c r="AI133" i="13"/>
  <c r="AI134" i="13"/>
  <c r="AI135" i="13"/>
  <c r="AI136" i="13"/>
  <c r="AI137" i="13"/>
  <c r="AI138" i="13"/>
  <c r="AI139" i="13"/>
  <c r="AI140" i="13"/>
  <c r="AI141" i="13"/>
  <c r="AI142" i="13"/>
  <c r="AI143" i="13"/>
  <c r="AI144" i="13"/>
  <c r="AI145" i="13"/>
  <c r="AI146" i="13"/>
  <c r="AI147" i="13"/>
  <c r="AI148" i="13"/>
  <c r="AI149" i="13"/>
  <c r="AH52" i="13"/>
  <c r="AH53" i="13"/>
  <c r="AH54" i="13"/>
  <c r="AH55" i="13"/>
  <c r="AH56" i="13"/>
  <c r="AH57" i="13"/>
  <c r="AH58" i="13"/>
  <c r="AH59" i="13"/>
  <c r="AH60" i="13"/>
  <c r="AH61" i="13"/>
  <c r="AH62" i="13"/>
  <c r="AH63" i="13"/>
  <c r="AH64" i="13"/>
  <c r="AH65" i="13"/>
  <c r="AH66" i="13"/>
  <c r="AH67" i="13"/>
  <c r="AH68" i="13"/>
  <c r="AH69" i="13"/>
  <c r="AH70" i="13"/>
  <c r="AH71" i="13"/>
  <c r="AH72" i="13"/>
  <c r="AH73" i="13"/>
  <c r="AH74" i="13"/>
  <c r="AH75" i="13"/>
  <c r="AH76" i="13"/>
  <c r="AH77" i="13"/>
  <c r="AH78" i="13"/>
  <c r="AH79" i="13"/>
  <c r="AH80" i="13"/>
  <c r="AH81" i="13"/>
  <c r="AH82" i="13"/>
  <c r="AH84" i="13"/>
  <c r="AH85" i="13"/>
  <c r="AH86" i="13"/>
  <c r="AH87" i="13"/>
  <c r="AH88" i="13"/>
  <c r="AH89" i="13"/>
  <c r="AH90" i="13"/>
  <c r="AH91" i="13"/>
  <c r="AH92" i="13"/>
  <c r="AH93" i="13"/>
  <c r="AH94" i="13"/>
  <c r="AH95" i="13"/>
  <c r="AH96" i="13"/>
  <c r="AH97" i="13"/>
  <c r="AH98" i="13"/>
  <c r="AH99" i="13"/>
  <c r="AH100" i="13"/>
  <c r="AH101" i="13"/>
  <c r="AH102" i="13"/>
  <c r="AH103" i="13"/>
  <c r="AH104" i="13"/>
  <c r="AH105" i="13"/>
  <c r="AH106" i="13"/>
  <c r="AH107" i="13"/>
  <c r="AH108" i="13"/>
  <c r="AH109" i="13"/>
  <c r="AH110" i="13"/>
  <c r="AH111" i="13"/>
  <c r="AH112" i="13"/>
  <c r="AH113" i="13"/>
  <c r="AH114" i="13"/>
  <c r="AH115" i="13"/>
  <c r="AH116" i="13"/>
  <c r="AH117" i="13"/>
  <c r="AH118" i="13"/>
  <c r="AH119" i="13"/>
  <c r="AH121" i="13"/>
  <c r="AH122" i="13"/>
  <c r="AH123" i="13"/>
  <c r="AH124" i="13"/>
  <c r="AH125" i="13"/>
  <c r="AH126" i="13"/>
  <c r="AH127" i="13"/>
  <c r="AH128" i="13"/>
  <c r="AH129" i="13"/>
  <c r="AH130" i="13"/>
  <c r="AH131" i="13"/>
  <c r="AH132" i="13"/>
  <c r="AH133" i="13"/>
  <c r="AH134" i="13"/>
  <c r="AH135" i="13"/>
  <c r="AH136" i="13"/>
  <c r="AH137" i="13"/>
  <c r="AH138" i="13"/>
  <c r="AH139" i="13"/>
  <c r="AH140" i="13"/>
  <c r="AH141" i="13"/>
  <c r="AH142" i="13"/>
  <c r="AH143" i="13"/>
  <c r="AH144" i="13"/>
  <c r="AH145" i="13"/>
  <c r="AH146" i="13"/>
  <c r="AH147" i="13"/>
  <c r="AH148" i="13"/>
  <c r="AH149" i="13"/>
  <c r="AG52" i="13"/>
  <c r="AG53" i="13"/>
  <c r="AG54" i="13"/>
  <c r="AG55" i="13"/>
  <c r="AG56" i="13"/>
  <c r="AG57" i="13"/>
  <c r="AG58" i="13"/>
  <c r="AG59" i="13"/>
  <c r="AG60" i="13"/>
  <c r="AG61" i="13"/>
  <c r="AG62" i="13"/>
  <c r="AG63" i="13"/>
  <c r="AG64" i="13"/>
  <c r="AG65" i="13"/>
  <c r="AG66" i="13"/>
  <c r="AG67" i="13"/>
  <c r="AG68" i="13"/>
  <c r="AG69" i="13"/>
  <c r="AG70" i="13"/>
  <c r="AG71" i="13"/>
  <c r="AG72" i="13"/>
  <c r="AG73" i="13"/>
  <c r="AG74" i="13"/>
  <c r="AG75" i="13"/>
  <c r="AG76" i="13"/>
  <c r="AG77" i="13"/>
  <c r="AG78" i="13"/>
  <c r="AG79" i="13"/>
  <c r="AG80" i="13"/>
  <c r="AG81" i="13"/>
  <c r="AG82" i="13"/>
  <c r="AG84" i="13"/>
  <c r="AG85" i="13"/>
  <c r="AG86" i="13"/>
  <c r="AG87" i="13"/>
  <c r="AG88" i="13"/>
  <c r="AG89" i="13"/>
  <c r="AG90" i="13"/>
  <c r="AG91" i="13"/>
  <c r="AG92" i="13"/>
  <c r="AG93" i="13"/>
  <c r="AG94" i="13"/>
  <c r="AG95" i="13"/>
  <c r="AG96" i="13"/>
  <c r="AG97" i="13"/>
  <c r="AG98" i="13"/>
  <c r="AG99" i="13"/>
  <c r="AG100" i="13"/>
  <c r="AG101" i="13"/>
  <c r="AG102" i="13"/>
  <c r="AG103" i="13"/>
  <c r="AG104" i="13"/>
  <c r="AG105" i="13"/>
  <c r="AG106" i="13"/>
  <c r="AG107" i="13"/>
  <c r="AG108" i="13"/>
  <c r="AG109" i="13"/>
  <c r="AG110" i="13"/>
  <c r="AG111" i="13"/>
  <c r="AG112" i="13"/>
  <c r="AG113" i="13"/>
  <c r="AG114" i="13"/>
  <c r="AG115" i="13"/>
  <c r="AG116" i="13"/>
  <c r="AG117" i="13"/>
  <c r="AG118" i="13"/>
  <c r="AG119" i="13"/>
  <c r="AG121" i="13"/>
  <c r="AG122" i="13"/>
  <c r="AG123" i="13"/>
  <c r="AG124" i="13"/>
  <c r="AG125" i="13"/>
  <c r="AG126" i="13"/>
  <c r="AG127" i="13"/>
  <c r="AG128" i="13"/>
  <c r="AG129" i="13"/>
  <c r="AG130" i="13"/>
  <c r="AG131" i="13"/>
  <c r="AG132" i="13"/>
  <c r="AG133" i="13"/>
  <c r="AG134" i="13"/>
  <c r="AG135" i="13"/>
  <c r="AG136" i="13"/>
  <c r="AG137" i="13"/>
  <c r="AG138" i="13"/>
  <c r="AG139" i="13"/>
  <c r="AG140" i="13"/>
  <c r="AG141" i="13"/>
  <c r="AG142" i="13"/>
  <c r="AG143" i="13"/>
  <c r="AG144" i="13"/>
  <c r="AG145" i="13"/>
  <c r="AG146" i="13"/>
  <c r="AG147" i="13"/>
  <c r="AG148" i="13"/>
  <c r="AG149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51" i="13"/>
  <c r="AG51" i="13"/>
  <c r="AH51" i="13"/>
  <c r="AI51" i="13"/>
  <c r="AE52" i="13"/>
  <c r="AE53" i="13"/>
  <c r="AE54" i="13"/>
  <c r="AE55" i="13"/>
  <c r="AE56" i="13"/>
  <c r="AE57" i="13"/>
  <c r="AE58" i="13"/>
  <c r="AE59" i="13"/>
  <c r="AE60" i="13"/>
  <c r="AE61" i="13"/>
  <c r="AE62" i="13"/>
  <c r="AE63" i="13"/>
  <c r="AE64" i="13"/>
  <c r="AE65" i="13"/>
  <c r="AE66" i="13"/>
  <c r="AE67" i="13"/>
  <c r="AE68" i="13"/>
  <c r="AE69" i="13"/>
  <c r="AE70" i="13"/>
  <c r="AE71" i="13"/>
  <c r="AE72" i="13"/>
  <c r="AE73" i="13"/>
  <c r="AE74" i="13"/>
  <c r="AE75" i="13"/>
  <c r="AE76" i="13"/>
  <c r="AE77" i="13"/>
  <c r="AE78" i="13"/>
  <c r="AE79" i="13"/>
  <c r="AE80" i="13"/>
  <c r="AE81" i="13"/>
  <c r="AE82" i="13"/>
  <c r="AE84" i="13"/>
  <c r="AE85" i="13"/>
  <c r="AE86" i="13"/>
  <c r="AE87" i="13"/>
  <c r="AE88" i="13"/>
  <c r="AE89" i="13"/>
  <c r="AE90" i="13"/>
  <c r="AE91" i="13"/>
  <c r="AE92" i="13"/>
  <c r="AE93" i="13"/>
  <c r="AE94" i="13"/>
  <c r="AE95" i="13"/>
  <c r="AE96" i="13"/>
  <c r="AE97" i="13"/>
  <c r="AE98" i="13"/>
  <c r="AE99" i="13"/>
  <c r="AE100" i="13"/>
  <c r="AE101" i="13"/>
  <c r="AE102" i="13"/>
  <c r="AE103" i="13"/>
  <c r="AE104" i="13"/>
  <c r="AE105" i="13"/>
  <c r="AE106" i="13"/>
  <c r="AE107" i="13"/>
  <c r="AE108" i="13"/>
  <c r="AE109" i="13"/>
  <c r="AE110" i="13"/>
  <c r="AE111" i="13"/>
  <c r="AE112" i="13"/>
  <c r="AE113" i="13"/>
  <c r="AE114" i="13"/>
  <c r="AE115" i="13"/>
  <c r="AE116" i="13"/>
  <c r="AE117" i="13"/>
  <c r="AE118" i="13"/>
  <c r="AE119" i="13"/>
  <c r="AE121" i="13"/>
  <c r="AE122" i="13"/>
  <c r="AE123" i="13"/>
  <c r="AE124" i="13"/>
  <c r="AE125" i="13"/>
  <c r="AE126" i="13"/>
  <c r="AE127" i="13"/>
  <c r="AE128" i="13"/>
  <c r="AE129" i="13"/>
  <c r="AE130" i="13"/>
  <c r="AE131" i="13"/>
  <c r="AE132" i="13"/>
  <c r="AE133" i="13"/>
  <c r="AE134" i="13"/>
  <c r="AE135" i="13"/>
  <c r="AE136" i="13"/>
  <c r="AE137" i="13"/>
  <c r="AE138" i="13"/>
  <c r="AE139" i="13"/>
  <c r="AE140" i="13"/>
  <c r="AE141" i="13"/>
  <c r="AE142" i="13"/>
  <c r="AE143" i="13"/>
  <c r="AE144" i="13"/>
  <c r="AE145" i="13"/>
  <c r="AE146" i="13"/>
  <c r="AE147" i="13"/>
  <c r="AE148" i="13"/>
  <c r="AE149" i="13"/>
  <c r="AE51" i="13"/>
  <c r="AN4" i="13"/>
  <c r="AL164" i="13" s="1"/>
  <c r="AN5" i="13"/>
  <c r="AL165" i="13" s="1"/>
  <c r="AN6" i="13"/>
  <c r="AN8" i="13"/>
  <c r="AL168" i="13" s="1"/>
  <c r="AN9" i="13"/>
  <c r="AL169" i="13" s="1"/>
  <c r="AN10" i="13"/>
  <c r="AL170" i="13" s="1"/>
  <c r="AN11" i="13"/>
  <c r="AL171" i="13" s="1"/>
  <c r="AN12" i="13"/>
  <c r="AL172" i="13" s="1"/>
  <c r="AN13" i="13"/>
  <c r="AN14" i="13"/>
  <c r="AL174" i="13" s="1"/>
  <c r="AN15" i="13"/>
  <c r="AL175" i="13" s="1"/>
  <c r="AN16" i="13"/>
  <c r="AL176" i="13" s="1"/>
  <c r="AN17" i="13"/>
  <c r="AL177" i="13" s="1"/>
  <c r="AN19" i="13"/>
  <c r="AL179" i="13" s="1"/>
  <c r="AN20" i="13"/>
  <c r="AL180" i="13" s="1"/>
  <c r="AN22" i="13"/>
  <c r="AL182" i="13" s="1"/>
  <c r="AN23" i="13"/>
  <c r="AL183" i="13" s="1"/>
  <c r="AN24" i="13"/>
  <c r="AL184" i="13" s="1"/>
  <c r="AN25" i="13"/>
  <c r="AL185" i="13" s="1"/>
  <c r="AN26" i="13"/>
  <c r="AL186" i="13" s="1"/>
  <c r="AN27" i="13"/>
  <c r="AN28" i="13"/>
  <c r="AL188" i="13" s="1"/>
  <c r="AN29" i="13"/>
  <c r="AL189" i="13" s="1"/>
  <c r="AN30" i="13"/>
  <c r="AL190" i="13" s="1"/>
  <c r="AN31" i="13"/>
  <c r="AL191" i="13" s="1"/>
  <c r="AN32" i="13"/>
  <c r="AL192" i="13" s="1"/>
  <c r="AN33" i="13"/>
  <c r="AL193" i="13" s="1"/>
  <c r="AN34" i="13"/>
  <c r="AL194" i="13" s="1"/>
  <c r="AN35" i="13"/>
  <c r="AL195" i="13" s="1"/>
  <c r="AN36" i="13"/>
  <c r="AN37" i="13"/>
  <c r="AL197" i="13" s="1"/>
  <c r="AN38" i="13"/>
  <c r="AL198" i="13" s="1"/>
  <c r="AN40" i="13"/>
  <c r="AL200" i="13" s="1"/>
  <c r="AN41" i="13"/>
  <c r="AL201" i="13" s="1"/>
  <c r="AN42" i="13"/>
  <c r="AL202" i="13" s="1"/>
  <c r="AN43" i="13"/>
  <c r="AL203" i="13" s="1"/>
  <c r="AN44" i="13"/>
  <c r="AL204" i="13" s="1"/>
  <c r="AN45" i="13"/>
  <c r="AL205" i="13" s="1"/>
  <c r="AN46" i="13"/>
  <c r="AL206" i="13" s="1"/>
  <c r="AM4" i="13"/>
  <c r="AM5" i="13"/>
  <c r="AM6" i="13"/>
  <c r="AM7" i="13"/>
  <c r="AM8" i="13"/>
  <c r="AM9" i="13"/>
  <c r="AM10" i="13"/>
  <c r="AM11" i="13"/>
  <c r="AM12" i="13"/>
  <c r="AM13" i="13"/>
  <c r="AM14" i="13"/>
  <c r="AM15" i="13"/>
  <c r="AM16" i="13"/>
  <c r="AM17" i="13"/>
  <c r="AM18" i="13"/>
  <c r="AM19" i="13"/>
  <c r="AM20" i="13"/>
  <c r="AM21" i="13"/>
  <c r="AM22" i="13"/>
  <c r="AM23" i="13"/>
  <c r="AM24" i="13"/>
  <c r="AM25" i="13"/>
  <c r="AM26" i="13"/>
  <c r="AM27" i="13"/>
  <c r="AM28" i="13"/>
  <c r="AM29" i="13"/>
  <c r="AM30" i="13"/>
  <c r="AM31" i="13"/>
  <c r="AM32" i="13"/>
  <c r="AM33" i="13"/>
  <c r="AM34" i="13"/>
  <c r="AM35" i="13"/>
  <c r="AM36" i="13"/>
  <c r="AM37" i="13"/>
  <c r="AM38" i="13"/>
  <c r="AM39" i="13"/>
  <c r="AM40" i="13"/>
  <c r="AM41" i="13"/>
  <c r="AM42" i="13"/>
  <c r="AM43" i="13"/>
  <c r="AM44" i="13"/>
  <c r="AM45" i="13"/>
  <c r="AM46" i="13"/>
  <c r="AL4" i="13"/>
  <c r="AL5" i="13"/>
  <c r="AL6" i="13"/>
  <c r="AL7" i="13"/>
  <c r="AL8" i="13"/>
  <c r="AL9" i="13"/>
  <c r="AL10" i="13"/>
  <c r="AL11" i="13"/>
  <c r="AL12" i="13"/>
  <c r="AL13" i="13"/>
  <c r="AL14" i="13"/>
  <c r="AL15" i="13"/>
  <c r="AL16" i="13"/>
  <c r="AL17" i="13"/>
  <c r="AL18" i="13"/>
  <c r="AL19" i="13"/>
  <c r="AL20" i="13"/>
  <c r="AL21" i="13"/>
  <c r="AL22" i="13"/>
  <c r="AL23" i="13"/>
  <c r="AL24" i="13"/>
  <c r="AL25" i="13"/>
  <c r="AL26" i="13"/>
  <c r="AL27" i="13"/>
  <c r="AL28" i="13"/>
  <c r="AL29" i="13"/>
  <c r="AL30" i="13"/>
  <c r="AL31" i="13"/>
  <c r="AL32" i="13"/>
  <c r="AL33" i="13"/>
  <c r="AL34" i="13"/>
  <c r="AL35" i="13"/>
  <c r="AL36" i="13"/>
  <c r="AL37" i="13"/>
  <c r="AL38" i="13"/>
  <c r="AL39" i="13"/>
  <c r="AL40" i="13"/>
  <c r="AL41" i="13"/>
  <c r="AL42" i="13"/>
  <c r="AL43" i="13"/>
  <c r="AL44" i="13"/>
  <c r="AL45" i="13"/>
  <c r="AL46" i="13"/>
  <c r="AK4" i="13"/>
  <c r="AK5" i="13"/>
  <c r="AK6" i="13"/>
  <c r="AK7" i="13"/>
  <c r="AK8" i="13"/>
  <c r="AK9" i="13"/>
  <c r="AK10" i="13"/>
  <c r="AK11" i="13"/>
  <c r="AK12" i="13"/>
  <c r="AK13" i="13"/>
  <c r="AK14" i="13"/>
  <c r="AK15" i="13"/>
  <c r="AK16" i="13"/>
  <c r="AK17" i="13"/>
  <c r="AK18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36" i="13"/>
  <c r="AK37" i="13"/>
  <c r="AK38" i="13"/>
  <c r="AK39" i="13"/>
  <c r="AK40" i="13"/>
  <c r="AK41" i="13"/>
  <c r="AK42" i="13"/>
  <c r="AK43" i="13"/>
  <c r="AK44" i="13"/>
  <c r="AK45" i="13"/>
  <c r="AK46" i="13"/>
  <c r="AJ4" i="13"/>
  <c r="AJ5" i="13"/>
  <c r="AJ6" i="13"/>
  <c r="AJ7" i="13"/>
  <c r="AJ8" i="13"/>
  <c r="AJ9" i="13"/>
  <c r="AJ10" i="13"/>
  <c r="AJ11" i="13"/>
  <c r="AJ12" i="13"/>
  <c r="AJ13" i="13"/>
  <c r="AJ14" i="13"/>
  <c r="AJ15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38" i="13"/>
  <c r="AJ39" i="13"/>
  <c r="AJ40" i="13"/>
  <c r="AJ41" i="13"/>
  <c r="AJ42" i="13"/>
  <c r="AJ43" i="13"/>
  <c r="AJ44" i="13"/>
  <c r="AJ45" i="13"/>
  <c r="AJ46" i="13"/>
  <c r="AI4" i="13"/>
  <c r="AI5" i="13"/>
  <c r="AI6" i="13"/>
  <c r="AI7" i="13"/>
  <c r="AI8" i="13"/>
  <c r="AI9" i="13"/>
  <c r="AI10" i="13"/>
  <c r="AI11" i="13"/>
  <c r="AI12" i="13"/>
  <c r="AI13" i="13"/>
  <c r="AI14" i="13"/>
  <c r="AI15" i="13"/>
  <c r="AI16" i="13"/>
  <c r="AI17" i="13"/>
  <c r="AI18" i="13"/>
  <c r="AI19" i="13"/>
  <c r="AI20" i="13"/>
  <c r="AI21" i="13"/>
  <c r="AI22" i="13"/>
  <c r="AI23" i="13"/>
  <c r="AI24" i="13"/>
  <c r="AI25" i="13"/>
  <c r="AI26" i="13"/>
  <c r="AI27" i="13"/>
  <c r="AI28" i="13"/>
  <c r="AI29" i="13"/>
  <c r="AI30" i="13"/>
  <c r="AI31" i="13"/>
  <c r="AI32" i="13"/>
  <c r="AI33" i="13"/>
  <c r="AI34" i="13"/>
  <c r="AI35" i="13"/>
  <c r="AI36" i="13"/>
  <c r="AI37" i="13"/>
  <c r="AI38" i="13"/>
  <c r="AI39" i="13"/>
  <c r="AI40" i="13"/>
  <c r="AI41" i="13"/>
  <c r="AI42" i="13"/>
  <c r="AI43" i="13"/>
  <c r="AI44" i="13"/>
  <c r="AI45" i="13"/>
  <c r="AI46" i="13"/>
  <c r="AH4" i="13"/>
  <c r="AH5" i="13"/>
  <c r="AH6" i="13"/>
  <c r="AH7" i="13"/>
  <c r="AH8" i="13"/>
  <c r="AH9" i="13"/>
  <c r="AH10" i="13"/>
  <c r="AH11" i="13"/>
  <c r="AH12" i="13"/>
  <c r="AH13" i="13"/>
  <c r="AH14" i="13"/>
  <c r="AH15" i="13"/>
  <c r="AH16" i="13"/>
  <c r="AH17" i="13"/>
  <c r="AH18" i="13"/>
  <c r="AH19" i="13"/>
  <c r="AH20" i="13"/>
  <c r="AH21" i="13"/>
  <c r="AH22" i="13"/>
  <c r="AH23" i="13"/>
  <c r="AH24" i="13"/>
  <c r="AH25" i="13"/>
  <c r="AH26" i="13"/>
  <c r="AH27" i="13"/>
  <c r="AH28" i="13"/>
  <c r="AH29" i="13"/>
  <c r="AH30" i="13"/>
  <c r="AH31" i="13"/>
  <c r="AH32" i="13"/>
  <c r="AH33" i="13"/>
  <c r="AH34" i="13"/>
  <c r="AH35" i="13"/>
  <c r="AH36" i="13"/>
  <c r="AH37" i="13"/>
  <c r="AH38" i="13"/>
  <c r="AH39" i="13"/>
  <c r="AH40" i="13"/>
  <c r="AH41" i="13"/>
  <c r="AH42" i="13"/>
  <c r="AH43" i="13"/>
  <c r="AH44" i="13"/>
  <c r="AH45" i="13"/>
  <c r="AH46" i="13"/>
  <c r="AG4" i="13"/>
  <c r="AG5" i="13"/>
  <c r="AG6" i="13"/>
  <c r="AG7" i="13"/>
  <c r="AG8" i="13"/>
  <c r="AG9" i="13"/>
  <c r="AG10" i="13"/>
  <c r="AG11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4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F4" i="13"/>
  <c r="AF5" i="13"/>
  <c r="AF6" i="13"/>
  <c r="AF7" i="13"/>
  <c r="AF8" i="13"/>
  <c r="AF9" i="13"/>
  <c r="AF10" i="13"/>
  <c r="AF11" i="13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E4" i="13"/>
  <c r="AE5" i="13"/>
  <c r="AE6" i="13"/>
  <c r="AE7" i="13"/>
  <c r="AE8" i="13"/>
  <c r="AE9" i="13"/>
  <c r="AE10" i="13"/>
  <c r="AE11" i="13"/>
  <c r="AE12" i="13"/>
  <c r="AE13" i="13"/>
  <c r="AE14" i="13"/>
  <c r="AE15" i="13"/>
  <c r="AE16" i="13"/>
  <c r="AE17" i="13"/>
  <c r="AE18" i="13"/>
  <c r="AE19" i="13"/>
  <c r="AE20" i="13"/>
  <c r="AE21" i="13"/>
  <c r="AE22" i="13"/>
  <c r="AE23" i="13"/>
  <c r="AE24" i="13"/>
  <c r="AE25" i="13"/>
  <c r="AE26" i="13"/>
  <c r="AE27" i="13"/>
  <c r="AE28" i="13"/>
  <c r="AE29" i="13"/>
  <c r="AE30" i="13"/>
  <c r="AE31" i="13"/>
  <c r="AE32" i="13"/>
  <c r="AE33" i="13"/>
  <c r="AE34" i="13"/>
  <c r="AE35" i="13"/>
  <c r="AE36" i="13"/>
  <c r="AE37" i="13"/>
  <c r="AE38" i="13"/>
  <c r="AE39" i="13"/>
  <c r="AE40" i="13"/>
  <c r="AE41" i="13"/>
  <c r="AE42" i="13"/>
  <c r="AE43" i="13"/>
  <c r="AE44" i="13"/>
  <c r="AE45" i="13"/>
  <c r="AE46" i="13"/>
  <c r="AN3" i="13"/>
  <c r="AM3" i="13"/>
  <c r="AK3" i="13"/>
  <c r="AL188" i="3"/>
  <c r="AK188" i="3"/>
  <c r="AX3" i="3"/>
  <c r="BA3" i="3"/>
  <c r="K53" i="13"/>
  <c r="BA260" i="13"/>
  <c r="AZ260" i="13"/>
  <c r="AY260" i="13"/>
  <c r="AX260" i="13"/>
  <c r="AW260" i="13"/>
  <c r="BA149" i="13"/>
  <c r="AZ149" i="13"/>
  <c r="AZ307" i="13" s="1"/>
  <c r="AY149" i="13"/>
  <c r="AY307" i="13" s="1"/>
  <c r="AX149" i="13"/>
  <c r="AX307" i="13" s="1"/>
  <c r="AW149" i="13"/>
  <c r="AW307" i="13" s="1"/>
  <c r="AU149" i="13"/>
  <c r="AU307" i="13" s="1"/>
  <c r="AT149" i="13"/>
  <c r="AS149" i="13"/>
  <c r="AS307" i="13" s="1"/>
  <c r="AR149" i="13"/>
  <c r="AR307" i="13" s="1"/>
  <c r="AQ149" i="13"/>
  <c r="AQ307" i="13" s="1"/>
  <c r="AD149" i="13"/>
  <c r="AC149" i="13"/>
  <c r="AB149" i="13"/>
  <c r="AA149" i="13"/>
  <c r="Z149" i="13"/>
  <c r="Y149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BA148" i="13"/>
  <c r="BA306" i="13" s="1"/>
  <c r="AZ148" i="13"/>
  <c r="AZ306" i="13" s="1"/>
  <c r="AY148" i="13"/>
  <c r="AY306" i="13" s="1"/>
  <c r="AX148" i="13"/>
  <c r="AX306" i="13" s="1"/>
  <c r="AW148" i="13"/>
  <c r="AW306" i="13" s="1"/>
  <c r="AU148" i="13"/>
  <c r="AT148" i="13"/>
  <c r="AT306" i="13" s="1"/>
  <c r="AS148" i="13"/>
  <c r="AS306" i="13" s="1"/>
  <c r="AR148" i="13"/>
  <c r="AR306" i="13" s="1"/>
  <c r="AQ148" i="13"/>
  <c r="AQ306" i="13" s="1"/>
  <c r="AD148" i="13"/>
  <c r="AC148" i="13"/>
  <c r="AB148" i="13"/>
  <c r="AA148" i="13"/>
  <c r="Z148" i="13"/>
  <c r="Y148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BA147" i="13"/>
  <c r="BA305" i="13" s="1"/>
  <c r="AZ147" i="13"/>
  <c r="AZ305" i="13" s="1"/>
  <c r="AY147" i="13"/>
  <c r="AY305" i="13" s="1"/>
  <c r="AX147" i="13"/>
  <c r="AX305" i="13" s="1"/>
  <c r="AW147" i="13"/>
  <c r="AW305" i="13" s="1"/>
  <c r="AU147" i="13"/>
  <c r="AU305" i="13" s="1"/>
  <c r="AT147" i="13"/>
  <c r="AS147" i="13"/>
  <c r="AS305" i="13" s="1"/>
  <c r="AR147" i="13"/>
  <c r="AR305" i="13" s="1"/>
  <c r="AQ147" i="13"/>
  <c r="AQ305" i="13" s="1"/>
  <c r="AD147" i="13"/>
  <c r="AC147" i="13"/>
  <c r="AB147" i="13"/>
  <c r="AA147" i="13"/>
  <c r="Z147" i="13"/>
  <c r="Y147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BA146" i="13"/>
  <c r="BA304" i="13" s="1"/>
  <c r="AZ146" i="13"/>
  <c r="AZ304" i="13" s="1"/>
  <c r="AY146" i="13"/>
  <c r="AY304" i="13" s="1"/>
  <c r="AX146" i="13"/>
  <c r="AX304" i="13" s="1"/>
  <c r="AW146" i="13"/>
  <c r="AW304" i="13" s="1"/>
  <c r="AU146" i="13"/>
  <c r="AT146" i="13"/>
  <c r="AT304" i="13" s="1"/>
  <c r="AS146" i="13"/>
  <c r="AS304" i="13" s="1"/>
  <c r="AR146" i="13"/>
  <c r="AR304" i="13" s="1"/>
  <c r="AQ146" i="13"/>
  <c r="AQ304" i="13" s="1"/>
  <c r="AD146" i="13"/>
  <c r="AC146" i="13"/>
  <c r="AB146" i="13"/>
  <c r="AA146" i="13"/>
  <c r="Z146" i="13"/>
  <c r="Y146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BA145" i="13"/>
  <c r="BA303" i="13" s="1"/>
  <c r="AZ145" i="13"/>
  <c r="AZ303" i="13" s="1"/>
  <c r="AY145" i="13"/>
  <c r="AY303" i="13" s="1"/>
  <c r="AX145" i="13"/>
  <c r="AX303" i="13" s="1"/>
  <c r="AW145" i="13"/>
  <c r="AW303" i="13" s="1"/>
  <c r="AU145" i="13"/>
  <c r="AT145" i="13"/>
  <c r="AT303" i="13" s="1"/>
  <c r="AS145" i="13"/>
  <c r="AS303" i="13" s="1"/>
  <c r="AR145" i="13"/>
  <c r="AR303" i="13" s="1"/>
  <c r="AQ145" i="13"/>
  <c r="AQ303" i="13" s="1"/>
  <c r="AD145" i="13"/>
  <c r="AC145" i="13"/>
  <c r="AB145" i="13"/>
  <c r="AA145" i="13"/>
  <c r="Z145" i="13"/>
  <c r="Y145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BA144" i="13"/>
  <c r="BA302" i="13" s="1"/>
  <c r="AZ144" i="13"/>
  <c r="AZ302" i="13" s="1"/>
  <c r="AY144" i="13"/>
  <c r="AY302" i="13" s="1"/>
  <c r="AX144" i="13"/>
  <c r="AX302" i="13" s="1"/>
  <c r="AW144" i="13"/>
  <c r="AW302" i="13" s="1"/>
  <c r="AU144" i="13"/>
  <c r="AU302" i="13" s="1"/>
  <c r="AT144" i="13"/>
  <c r="AS144" i="13"/>
  <c r="AS302" i="13" s="1"/>
  <c r="AR144" i="13"/>
  <c r="AR302" i="13" s="1"/>
  <c r="AQ144" i="13"/>
  <c r="AQ302" i="13" s="1"/>
  <c r="AD144" i="13"/>
  <c r="AC144" i="13"/>
  <c r="AB144" i="13"/>
  <c r="AA144" i="13"/>
  <c r="Z144" i="13"/>
  <c r="Y144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BA143" i="13"/>
  <c r="BA301" i="13" s="1"/>
  <c r="AZ143" i="13"/>
  <c r="AZ301" i="13" s="1"/>
  <c r="AY143" i="13"/>
  <c r="AY301" i="13" s="1"/>
  <c r="AX143" i="13"/>
  <c r="AX301" i="13" s="1"/>
  <c r="AW143" i="13"/>
  <c r="AW301" i="13" s="1"/>
  <c r="AU143" i="13"/>
  <c r="AT143" i="13"/>
  <c r="AT301" i="13" s="1"/>
  <c r="AS143" i="13"/>
  <c r="AR143" i="13"/>
  <c r="AR301" i="13" s="1"/>
  <c r="AQ143" i="13"/>
  <c r="AQ301" i="13" s="1"/>
  <c r="AD143" i="13"/>
  <c r="AC143" i="13"/>
  <c r="AB143" i="13"/>
  <c r="AA143" i="13"/>
  <c r="Z143" i="13"/>
  <c r="Y143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BA142" i="13"/>
  <c r="BA300" i="13" s="1"/>
  <c r="AZ142" i="13"/>
  <c r="AZ300" i="13" s="1"/>
  <c r="AY142" i="13"/>
  <c r="AY300" i="13" s="1"/>
  <c r="AX142" i="13"/>
  <c r="AX300" i="13" s="1"/>
  <c r="AW142" i="13"/>
  <c r="AW300" i="13" s="1"/>
  <c r="AU142" i="13"/>
  <c r="AU300" i="13" s="1"/>
  <c r="AT142" i="13"/>
  <c r="AS142" i="13"/>
  <c r="AS300" i="13" s="1"/>
  <c r="AR142" i="13"/>
  <c r="AR300" i="13" s="1"/>
  <c r="AQ142" i="13"/>
  <c r="AQ300" i="13" s="1"/>
  <c r="AD142" i="13"/>
  <c r="AC142" i="13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BA141" i="13"/>
  <c r="BA299" i="13" s="1"/>
  <c r="AZ141" i="13"/>
  <c r="AZ299" i="13" s="1"/>
  <c r="AY141" i="13"/>
  <c r="AY299" i="13" s="1"/>
  <c r="AX141" i="13"/>
  <c r="AX299" i="13" s="1"/>
  <c r="AW141" i="13"/>
  <c r="AW299" i="13" s="1"/>
  <c r="AU141" i="13"/>
  <c r="AU299" i="13" s="1"/>
  <c r="AT141" i="13"/>
  <c r="AS141" i="13"/>
  <c r="AS299" i="13" s="1"/>
  <c r="AR141" i="13"/>
  <c r="AR299" i="13" s="1"/>
  <c r="AQ141" i="13"/>
  <c r="AQ299" i="13" s="1"/>
  <c r="AD141" i="13"/>
  <c r="AC141" i="13"/>
  <c r="AB141" i="13"/>
  <c r="AA141" i="13"/>
  <c r="Z141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BA140" i="13"/>
  <c r="BA298" i="13" s="1"/>
  <c r="AZ140" i="13"/>
  <c r="AZ298" i="13" s="1"/>
  <c r="AY140" i="13"/>
  <c r="AY298" i="13" s="1"/>
  <c r="AX140" i="13"/>
  <c r="AX298" i="13" s="1"/>
  <c r="AW140" i="13"/>
  <c r="AW298" i="13" s="1"/>
  <c r="AU140" i="13"/>
  <c r="AT140" i="13"/>
  <c r="AT298" i="13" s="1"/>
  <c r="AS140" i="13"/>
  <c r="AR140" i="13"/>
  <c r="AR298" i="13" s="1"/>
  <c r="AQ140" i="13"/>
  <c r="AQ298" i="13" s="1"/>
  <c r="AD140" i="13"/>
  <c r="AC140" i="13"/>
  <c r="AB140" i="13"/>
  <c r="AA140" i="13"/>
  <c r="Z140" i="13"/>
  <c r="Y140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BA139" i="13"/>
  <c r="BA297" i="13" s="1"/>
  <c r="AZ139" i="13"/>
  <c r="AZ297" i="13" s="1"/>
  <c r="AY139" i="13"/>
  <c r="AY297" i="13" s="1"/>
  <c r="AX139" i="13"/>
  <c r="AX297" i="13" s="1"/>
  <c r="AW139" i="13"/>
  <c r="AW297" i="13" s="1"/>
  <c r="AU139" i="13"/>
  <c r="AU297" i="13" s="1"/>
  <c r="AT139" i="13"/>
  <c r="AS139" i="13"/>
  <c r="AS297" i="13" s="1"/>
  <c r="AR139" i="13"/>
  <c r="AR297" i="13" s="1"/>
  <c r="AQ139" i="13"/>
  <c r="AQ297" i="13" s="1"/>
  <c r="AD139" i="13"/>
  <c r="AC139" i="13"/>
  <c r="AB139" i="13"/>
  <c r="AA139" i="13"/>
  <c r="Z139" i="13"/>
  <c r="Y139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BA138" i="13"/>
  <c r="BA296" i="13" s="1"/>
  <c r="AZ138" i="13"/>
  <c r="AZ296" i="13" s="1"/>
  <c r="AY138" i="13"/>
  <c r="AY296" i="13" s="1"/>
  <c r="AX138" i="13"/>
  <c r="AX296" i="13" s="1"/>
  <c r="AW138" i="13"/>
  <c r="AW296" i="13" s="1"/>
  <c r="AU138" i="13"/>
  <c r="AU296" i="13" s="1"/>
  <c r="AT138" i="13"/>
  <c r="AS138" i="13"/>
  <c r="AS296" i="13" s="1"/>
  <c r="AR138" i="13"/>
  <c r="AR296" i="13" s="1"/>
  <c r="AQ138" i="13"/>
  <c r="AQ296" i="13" s="1"/>
  <c r="AD138" i="13"/>
  <c r="AC138" i="13"/>
  <c r="AB138" i="13"/>
  <c r="AA138" i="13"/>
  <c r="Z138" i="13"/>
  <c r="Y138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BA137" i="13"/>
  <c r="BA295" i="13" s="1"/>
  <c r="AZ137" i="13"/>
  <c r="AZ295" i="13" s="1"/>
  <c r="AY137" i="13"/>
  <c r="AY295" i="13" s="1"/>
  <c r="AX137" i="13"/>
  <c r="AX295" i="13" s="1"/>
  <c r="AW137" i="13"/>
  <c r="AW295" i="13" s="1"/>
  <c r="AU137" i="13"/>
  <c r="AT137" i="13"/>
  <c r="AT295" i="13" s="1"/>
  <c r="AS137" i="13"/>
  <c r="AR137" i="13"/>
  <c r="AR295" i="13" s="1"/>
  <c r="AQ137" i="13"/>
  <c r="AQ295" i="13" s="1"/>
  <c r="AD137" i="13"/>
  <c r="AC137" i="13"/>
  <c r="AB137" i="13"/>
  <c r="AA137" i="13"/>
  <c r="Z137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BA136" i="13"/>
  <c r="BA294" i="13" s="1"/>
  <c r="AZ136" i="13"/>
  <c r="AZ294" i="13" s="1"/>
  <c r="AY136" i="13"/>
  <c r="AY294" i="13" s="1"/>
  <c r="AX136" i="13"/>
  <c r="AX294" i="13" s="1"/>
  <c r="AW136" i="13"/>
  <c r="AW294" i="13" s="1"/>
  <c r="AU136" i="13"/>
  <c r="AU294" i="13" s="1"/>
  <c r="AT136" i="13"/>
  <c r="AS136" i="13"/>
  <c r="AS294" i="13" s="1"/>
  <c r="AR136" i="13"/>
  <c r="AR294" i="13" s="1"/>
  <c r="AQ136" i="13"/>
  <c r="AQ294" i="13" s="1"/>
  <c r="AD136" i="13"/>
  <c r="AC136" i="13"/>
  <c r="AB136" i="13"/>
  <c r="AA136" i="13"/>
  <c r="Z136" i="13"/>
  <c r="Y136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BA135" i="13"/>
  <c r="BA293" i="13" s="1"/>
  <c r="AZ135" i="13"/>
  <c r="AY135" i="13"/>
  <c r="AY293" i="13" s="1"/>
  <c r="AX135" i="13"/>
  <c r="AX293" i="13" s="1"/>
  <c r="AW135" i="13"/>
  <c r="AW293" i="13" s="1"/>
  <c r="AU135" i="13"/>
  <c r="AT135" i="13"/>
  <c r="AT293" i="13" s="1"/>
  <c r="AS135" i="13"/>
  <c r="AR135" i="13"/>
  <c r="AR293" i="13" s="1"/>
  <c r="AQ135" i="13"/>
  <c r="AQ293" i="13" s="1"/>
  <c r="AD135" i="13"/>
  <c r="AC135" i="13"/>
  <c r="AB135" i="13"/>
  <c r="AA135" i="13"/>
  <c r="Z135" i="13"/>
  <c r="Y135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BA134" i="13"/>
  <c r="BA292" i="13" s="1"/>
  <c r="AZ134" i="13"/>
  <c r="AZ292" i="13" s="1"/>
  <c r="AY134" i="13"/>
  <c r="AY292" i="13" s="1"/>
  <c r="AX134" i="13"/>
  <c r="AX292" i="13" s="1"/>
  <c r="AW134" i="13"/>
  <c r="AW292" i="13" s="1"/>
  <c r="AU134" i="13"/>
  <c r="AT134" i="13"/>
  <c r="AT292" i="13" s="1"/>
  <c r="AS134" i="13"/>
  <c r="AS292" i="13" s="1"/>
  <c r="AR134" i="13"/>
  <c r="AR292" i="13" s="1"/>
  <c r="AQ134" i="13"/>
  <c r="AQ292" i="13" s="1"/>
  <c r="AD134" i="13"/>
  <c r="AC134" i="13"/>
  <c r="AB134" i="13"/>
  <c r="AA134" i="13"/>
  <c r="Z134" i="13"/>
  <c r="Y134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BA133" i="13"/>
  <c r="BA291" i="13" s="1"/>
  <c r="AZ133" i="13"/>
  <c r="AZ291" i="13" s="1"/>
  <c r="AY133" i="13"/>
  <c r="AY291" i="13" s="1"/>
  <c r="AX133" i="13"/>
  <c r="AX291" i="13" s="1"/>
  <c r="AW133" i="13"/>
  <c r="AW291" i="13" s="1"/>
  <c r="AU133" i="13"/>
  <c r="AT133" i="13"/>
  <c r="AT291" i="13" s="1"/>
  <c r="AS133" i="13"/>
  <c r="AS291" i="13" s="1"/>
  <c r="AR133" i="13"/>
  <c r="AR291" i="13" s="1"/>
  <c r="AQ133" i="13"/>
  <c r="AQ291" i="13" s="1"/>
  <c r="AD133" i="13"/>
  <c r="AC133" i="13"/>
  <c r="AB133" i="13"/>
  <c r="AA133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BA132" i="13"/>
  <c r="BA290" i="13" s="1"/>
  <c r="AZ132" i="13"/>
  <c r="AZ290" i="13" s="1"/>
  <c r="AY132" i="13"/>
  <c r="AY290" i="13" s="1"/>
  <c r="AX132" i="13"/>
  <c r="AX290" i="13" s="1"/>
  <c r="AW132" i="13"/>
  <c r="AW290" i="13" s="1"/>
  <c r="AU132" i="13"/>
  <c r="AT132" i="13"/>
  <c r="AS132" i="13"/>
  <c r="AS290" i="13" s="1"/>
  <c r="AR132" i="13"/>
  <c r="AR290" i="13" s="1"/>
  <c r="AQ132" i="13"/>
  <c r="AQ290" i="13" s="1"/>
  <c r="AD132" i="13"/>
  <c r="AC132" i="13"/>
  <c r="AB132" i="13"/>
  <c r="AA132" i="13"/>
  <c r="Z132" i="13"/>
  <c r="Y132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BA131" i="13"/>
  <c r="BA289" i="13" s="1"/>
  <c r="AZ131" i="13"/>
  <c r="AZ289" i="13" s="1"/>
  <c r="AY131" i="13"/>
  <c r="AY289" i="13" s="1"/>
  <c r="AX131" i="13"/>
  <c r="AX289" i="13" s="1"/>
  <c r="AW131" i="13"/>
  <c r="AW289" i="13" s="1"/>
  <c r="AU131" i="13"/>
  <c r="AU289" i="13" s="1"/>
  <c r="AT131" i="13"/>
  <c r="AT289" i="13" s="1"/>
  <c r="AS131" i="13"/>
  <c r="AS289" i="13" s="1"/>
  <c r="AR131" i="13"/>
  <c r="AR289" i="13" s="1"/>
  <c r="AQ131" i="13"/>
  <c r="AQ289" i="13" s="1"/>
  <c r="AD131" i="13"/>
  <c r="AC131" i="13"/>
  <c r="AB131" i="13"/>
  <c r="AA131" i="13"/>
  <c r="Z131" i="13"/>
  <c r="Y131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BA130" i="13"/>
  <c r="BA288" i="13" s="1"/>
  <c r="AZ130" i="13"/>
  <c r="AZ288" i="13" s="1"/>
  <c r="AY130" i="13"/>
  <c r="AY288" i="13" s="1"/>
  <c r="AX130" i="13"/>
  <c r="AX288" i="13" s="1"/>
  <c r="AW130" i="13"/>
  <c r="AW288" i="13" s="1"/>
  <c r="AU130" i="13"/>
  <c r="AT130" i="13"/>
  <c r="AS130" i="13"/>
  <c r="AS288" i="13" s="1"/>
  <c r="AR130" i="13"/>
  <c r="AR288" i="13" s="1"/>
  <c r="AQ130" i="13"/>
  <c r="AQ288" i="13" s="1"/>
  <c r="AD130" i="13"/>
  <c r="AC130" i="13"/>
  <c r="AB130" i="13"/>
  <c r="AA130" i="13"/>
  <c r="Z130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BA129" i="13"/>
  <c r="BA287" i="13" s="1"/>
  <c r="AZ129" i="13"/>
  <c r="AZ287" i="13" s="1"/>
  <c r="AY129" i="13"/>
  <c r="AY287" i="13" s="1"/>
  <c r="AX129" i="13"/>
  <c r="AX287" i="13" s="1"/>
  <c r="AW129" i="13"/>
  <c r="AW287" i="13" s="1"/>
  <c r="BA128" i="13"/>
  <c r="BA286" i="13" s="1"/>
  <c r="AZ128" i="13"/>
  <c r="AZ286" i="13" s="1"/>
  <c r="AY128" i="13"/>
  <c r="AY286" i="13" s="1"/>
  <c r="AX128" i="13"/>
  <c r="AX286" i="13" s="1"/>
  <c r="AW128" i="13"/>
  <c r="AW286" i="13" s="1"/>
  <c r="AU128" i="13"/>
  <c r="AU286" i="13" s="1"/>
  <c r="AT128" i="13"/>
  <c r="AT286" i="13" s="1"/>
  <c r="AS128" i="13"/>
  <c r="AS286" i="13" s="1"/>
  <c r="AR128" i="13"/>
  <c r="AR286" i="13" s="1"/>
  <c r="AQ128" i="13"/>
  <c r="AQ286" i="13" s="1"/>
  <c r="AD128" i="13"/>
  <c r="AC128" i="13"/>
  <c r="AB128" i="13"/>
  <c r="AA128" i="13"/>
  <c r="Z128" i="13"/>
  <c r="Y128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BA127" i="13"/>
  <c r="BA285" i="13" s="1"/>
  <c r="AZ127" i="13"/>
  <c r="AZ285" i="13" s="1"/>
  <c r="AY127" i="13"/>
  <c r="AY285" i="13" s="1"/>
  <c r="AX127" i="13"/>
  <c r="AX285" i="13" s="1"/>
  <c r="AW127" i="13"/>
  <c r="AW285" i="13" s="1"/>
  <c r="AU127" i="13"/>
  <c r="AT127" i="13"/>
  <c r="AS127" i="13"/>
  <c r="AS285" i="13" s="1"/>
  <c r="AR127" i="13"/>
  <c r="AR285" i="13" s="1"/>
  <c r="AQ127" i="13"/>
  <c r="AQ285" i="13" s="1"/>
  <c r="AD127" i="13"/>
  <c r="AC127" i="13"/>
  <c r="AB127" i="13"/>
  <c r="AA127" i="13"/>
  <c r="Z127" i="13"/>
  <c r="Y127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BA126" i="13"/>
  <c r="AZ126" i="13"/>
  <c r="AZ284" i="13" s="1"/>
  <c r="AY126" i="13"/>
  <c r="AY284" i="13" s="1"/>
  <c r="AX126" i="13"/>
  <c r="AX284" i="13" s="1"/>
  <c r="AW126" i="13"/>
  <c r="AW284" i="13" s="1"/>
  <c r="AU126" i="13"/>
  <c r="AU284" i="13" s="1"/>
  <c r="AT126" i="13"/>
  <c r="AS126" i="13"/>
  <c r="AS284" i="13" s="1"/>
  <c r="AR126" i="13"/>
  <c r="AR284" i="13" s="1"/>
  <c r="AQ126" i="13"/>
  <c r="AQ284" i="13" s="1"/>
  <c r="AD126" i="13"/>
  <c r="AD129" i="13" s="1"/>
  <c r="AC126" i="13"/>
  <c r="AC129" i="13" s="1"/>
  <c r="AB126" i="13"/>
  <c r="AB129" i="13" s="1"/>
  <c r="AA126" i="13"/>
  <c r="AA129" i="13" s="1"/>
  <c r="Z126" i="13"/>
  <c r="Z129" i="13" s="1"/>
  <c r="Y126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BA125" i="13"/>
  <c r="BA283" i="13" s="1"/>
  <c r="AZ125" i="13"/>
  <c r="AZ283" i="13" s="1"/>
  <c r="AY125" i="13"/>
  <c r="AY283" i="13" s="1"/>
  <c r="AX125" i="13"/>
  <c r="AX283" i="13" s="1"/>
  <c r="AW125" i="13"/>
  <c r="AW283" i="13" s="1"/>
  <c r="AU125" i="13"/>
  <c r="AU283" i="13" s="1"/>
  <c r="AT125" i="13"/>
  <c r="AT283" i="13" s="1"/>
  <c r="AS125" i="13"/>
  <c r="AS283" i="13" s="1"/>
  <c r="AR125" i="13"/>
  <c r="AR283" i="13" s="1"/>
  <c r="AQ125" i="13"/>
  <c r="AQ283" i="13" s="1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BA124" i="13"/>
  <c r="BA282" i="13" s="1"/>
  <c r="AZ124" i="13"/>
  <c r="AZ282" i="13" s="1"/>
  <c r="AY124" i="13"/>
  <c r="AY282" i="13" s="1"/>
  <c r="AX124" i="13"/>
  <c r="AX282" i="13" s="1"/>
  <c r="AW124" i="13"/>
  <c r="AW282" i="13" s="1"/>
  <c r="AU124" i="13"/>
  <c r="AT124" i="13"/>
  <c r="AS124" i="13"/>
  <c r="AS282" i="13" s="1"/>
  <c r="AR124" i="13"/>
  <c r="AR282" i="13" s="1"/>
  <c r="AQ124" i="13"/>
  <c r="AQ282" i="13" s="1"/>
  <c r="AD124" i="13"/>
  <c r="AC124" i="13"/>
  <c r="AB124" i="13"/>
  <c r="AA124" i="13"/>
  <c r="Z124" i="13"/>
  <c r="Y124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BA123" i="13"/>
  <c r="AZ123" i="13"/>
  <c r="AZ281" i="13" s="1"/>
  <c r="AY123" i="13"/>
  <c r="AY281" i="13" s="1"/>
  <c r="AX123" i="13"/>
  <c r="AX281" i="13" s="1"/>
  <c r="AW123" i="13"/>
  <c r="AW281" i="13" s="1"/>
  <c r="AU123" i="13"/>
  <c r="AU281" i="13" s="1"/>
  <c r="AT123" i="13"/>
  <c r="AT281" i="13" s="1"/>
  <c r="AS123" i="13"/>
  <c r="AS281" i="13" s="1"/>
  <c r="AR123" i="13"/>
  <c r="AR281" i="13" s="1"/>
  <c r="AQ123" i="13"/>
  <c r="AQ281" i="13" s="1"/>
  <c r="AD123" i="13"/>
  <c r="AC123" i="13"/>
  <c r="AB123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BA122" i="13"/>
  <c r="BA280" i="13" s="1"/>
  <c r="AZ122" i="13"/>
  <c r="AZ280" i="13" s="1"/>
  <c r="AY122" i="13"/>
  <c r="AY280" i="13" s="1"/>
  <c r="AX122" i="13"/>
  <c r="AX280" i="13" s="1"/>
  <c r="AW122" i="13"/>
  <c r="AW280" i="13" s="1"/>
  <c r="AU122" i="13"/>
  <c r="AT122" i="13"/>
  <c r="AS122" i="13"/>
  <c r="AS280" i="13" s="1"/>
  <c r="AR122" i="13"/>
  <c r="AR280" i="13" s="1"/>
  <c r="AQ122" i="13"/>
  <c r="AQ280" i="13" s="1"/>
  <c r="AD122" i="13"/>
  <c r="AC122" i="13"/>
  <c r="AB122" i="13"/>
  <c r="AA122" i="13"/>
  <c r="Z122" i="13"/>
  <c r="Y122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BA121" i="13"/>
  <c r="BA279" i="13" s="1"/>
  <c r="AZ121" i="13"/>
  <c r="AZ279" i="13" s="1"/>
  <c r="AY121" i="13"/>
  <c r="AY279" i="13" s="1"/>
  <c r="AX121" i="13"/>
  <c r="AX279" i="13" s="1"/>
  <c r="AW121" i="13"/>
  <c r="AW279" i="13" s="1"/>
  <c r="AU121" i="13"/>
  <c r="AU279" i="13" s="1"/>
  <c r="AT121" i="13"/>
  <c r="AT279" i="13" s="1"/>
  <c r="AS121" i="13"/>
  <c r="AS279" i="13" s="1"/>
  <c r="AR121" i="13"/>
  <c r="AR279" i="13" s="1"/>
  <c r="AQ121" i="13"/>
  <c r="AQ279" i="13" s="1"/>
  <c r="AD121" i="13"/>
  <c r="AC121" i="13"/>
  <c r="AB121" i="13"/>
  <c r="AA121" i="13"/>
  <c r="Z121" i="13"/>
  <c r="Y121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BA120" i="13"/>
  <c r="BA278" i="13" s="1"/>
  <c r="AZ120" i="13"/>
  <c r="AZ278" i="13" s="1"/>
  <c r="AY120" i="13"/>
  <c r="AY278" i="13" s="1"/>
  <c r="AX120" i="13"/>
  <c r="AX278" i="13" s="1"/>
  <c r="AW120" i="13"/>
  <c r="AW278" i="13" s="1"/>
  <c r="AU120" i="13"/>
  <c r="AT120" i="13"/>
  <c r="AS120" i="13"/>
  <c r="AS278" i="13" s="1"/>
  <c r="AR120" i="13"/>
  <c r="AR278" i="13" s="1"/>
  <c r="AQ120" i="13"/>
  <c r="AQ278" i="13" s="1"/>
  <c r="AD120" i="13"/>
  <c r="AC120" i="13"/>
  <c r="AB120" i="13"/>
  <c r="AA120" i="13"/>
  <c r="Z120" i="13"/>
  <c r="Y120" i="13"/>
  <c r="X120" i="13"/>
  <c r="W120" i="13"/>
  <c r="V120" i="13"/>
  <c r="U120" i="13"/>
  <c r="T120" i="13"/>
  <c r="AI120" i="13" s="1"/>
  <c r="S120" i="13"/>
  <c r="AM120" i="13" s="1"/>
  <c r="R120" i="13"/>
  <c r="AL120" i="13" s="1"/>
  <c r="Q120" i="13"/>
  <c r="AF120" i="13" s="1"/>
  <c r="P120" i="13"/>
  <c r="AE120" i="13" s="1"/>
  <c r="AG278" i="13" s="1"/>
  <c r="O120" i="13"/>
  <c r="N120" i="13"/>
  <c r="M120" i="13"/>
  <c r="L120" i="13"/>
  <c r="AN278" i="13"/>
  <c r="BA119" i="13"/>
  <c r="AZ119" i="13"/>
  <c r="AZ277" i="13" s="1"/>
  <c r="AY119" i="13"/>
  <c r="AY277" i="13" s="1"/>
  <c r="AX119" i="13"/>
  <c r="AX277" i="13" s="1"/>
  <c r="AW119" i="13"/>
  <c r="AW277" i="13" s="1"/>
  <c r="AU119" i="13"/>
  <c r="AU277" i="13" s="1"/>
  <c r="AT119" i="13"/>
  <c r="AT277" i="13" s="1"/>
  <c r="AS119" i="13"/>
  <c r="AS277" i="13" s="1"/>
  <c r="AR119" i="13"/>
  <c r="AR277" i="13" s="1"/>
  <c r="AQ119" i="13"/>
  <c r="AQ277" i="13" s="1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BA118" i="13"/>
  <c r="BA276" i="13" s="1"/>
  <c r="AZ118" i="13"/>
  <c r="AZ276" i="13" s="1"/>
  <c r="AY118" i="13"/>
  <c r="AY276" i="13" s="1"/>
  <c r="AX118" i="13"/>
  <c r="AX276" i="13" s="1"/>
  <c r="AW118" i="13"/>
  <c r="AW276" i="13" s="1"/>
  <c r="AU118" i="13"/>
  <c r="AU276" i="13" s="1"/>
  <c r="AT118" i="13"/>
  <c r="AT276" i="13" s="1"/>
  <c r="AS118" i="13"/>
  <c r="AS276" i="13" s="1"/>
  <c r="AR118" i="13"/>
  <c r="AR276" i="13" s="1"/>
  <c r="AQ118" i="13"/>
  <c r="AQ276" i="13" s="1"/>
  <c r="AD118" i="13"/>
  <c r="AC118" i="13"/>
  <c r="AB118" i="13"/>
  <c r="AA118" i="13"/>
  <c r="Z118" i="13"/>
  <c r="Y118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BA117" i="13"/>
  <c r="BA275" i="13" s="1"/>
  <c r="AZ117" i="13"/>
  <c r="AZ275" i="13" s="1"/>
  <c r="AY117" i="13"/>
  <c r="AY275" i="13" s="1"/>
  <c r="AX117" i="13"/>
  <c r="AX275" i="13" s="1"/>
  <c r="AW117" i="13"/>
  <c r="AW275" i="13" s="1"/>
  <c r="AU117" i="13"/>
  <c r="AT117" i="13"/>
  <c r="AS117" i="13"/>
  <c r="AS275" i="13" s="1"/>
  <c r="AR117" i="13"/>
  <c r="AR275" i="13" s="1"/>
  <c r="AQ117" i="13"/>
  <c r="AQ275" i="13" s="1"/>
  <c r="AD117" i="13"/>
  <c r="AC117" i="13"/>
  <c r="AB117" i="13"/>
  <c r="AA117" i="13"/>
  <c r="Z117" i="13"/>
  <c r="Y117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BA116" i="13"/>
  <c r="BA274" i="13" s="1"/>
  <c r="AZ116" i="13"/>
  <c r="AZ274" i="13" s="1"/>
  <c r="AY116" i="13"/>
  <c r="AY274" i="13" s="1"/>
  <c r="AX116" i="13"/>
  <c r="AX274" i="13" s="1"/>
  <c r="AW116" i="13"/>
  <c r="AW274" i="13" s="1"/>
  <c r="AU116" i="13"/>
  <c r="AU274" i="13" s="1"/>
  <c r="AT116" i="13"/>
  <c r="AT274" i="13" s="1"/>
  <c r="AS116" i="13"/>
  <c r="AS274" i="13" s="1"/>
  <c r="AR116" i="13"/>
  <c r="AR274" i="13" s="1"/>
  <c r="AQ116" i="13"/>
  <c r="AQ274" i="13" s="1"/>
  <c r="AD116" i="13"/>
  <c r="AC116" i="13"/>
  <c r="AB116" i="13"/>
  <c r="AA116" i="13"/>
  <c r="Z116" i="13"/>
  <c r="Y116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BA115" i="13"/>
  <c r="BA273" i="13" s="1"/>
  <c r="AZ115" i="13"/>
  <c r="AZ273" i="13" s="1"/>
  <c r="AY115" i="13"/>
  <c r="AY273" i="13" s="1"/>
  <c r="AX115" i="13"/>
  <c r="AX273" i="13" s="1"/>
  <c r="AW115" i="13"/>
  <c r="AW273" i="13" s="1"/>
  <c r="AU115" i="13"/>
  <c r="AT115" i="13"/>
  <c r="AS115" i="13"/>
  <c r="AS273" i="13" s="1"/>
  <c r="AR115" i="13"/>
  <c r="AR273" i="13" s="1"/>
  <c r="AQ115" i="13"/>
  <c r="AQ273" i="13" s="1"/>
  <c r="AD115" i="13"/>
  <c r="AC115" i="13"/>
  <c r="AB115" i="13"/>
  <c r="AA115" i="13"/>
  <c r="Z115" i="13"/>
  <c r="Y115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BA114" i="13"/>
  <c r="BA272" i="13" s="1"/>
  <c r="AZ114" i="13"/>
  <c r="AZ272" i="13" s="1"/>
  <c r="AY114" i="13"/>
  <c r="AY272" i="13" s="1"/>
  <c r="AX114" i="13"/>
  <c r="AX272" i="13" s="1"/>
  <c r="AW114" i="13"/>
  <c r="AW272" i="13" s="1"/>
  <c r="AU114" i="13"/>
  <c r="AU272" i="13" s="1"/>
  <c r="AT114" i="13"/>
  <c r="AT272" i="13" s="1"/>
  <c r="AS114" i="13"/>
  <c r="AS272" i="13" s="1"/>
  <c r="AR114" i="13"/>
  <c r="AR272" i="13" s="1"/>
  <c r="AQ114" i="13"/>
  <c r="AQ272" i="13" s="1"/>
  <c r="AD114" i="13"/>
  <c r="AC114" i="13"/>
  <c r="AB114" i="13"/>
  <c r="AA114" i="13"/>
  <c r="Z114" i="13"/>
  <c r="Y114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BA113" i="13"/>
  <c r="BA271" i="13" s="1"/>
  <c r="AZ113" i="13"/>
  <c r="AZ271" i="13" s="1"/>
  <c r="AY113" i="13"/>
  <c r="AY271" i="13" s="1"/>
  <c r="AX113" i="13"/>
  <c r="AX271" i="13" s="1"/>
  <c r="AW113" i="13"/>
  <c r="AW271" i="13" s="1"/>
  <c r="AU113" i="13"/>
  <c r="AT113" i="13"/>
  <c r="AS113" i="13"/>
  <c r="AS271" i="13" s="1"/>
  <c r="AR113" i="13"/>
  <c r="AR271" i="13" s="1"/>
  <c r="AQ113" i="13"/>
  <c r="AQ271" i="13" s="1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BA112" i="13"/>
  <c r="AZ112" i="13"/>
  <c r="AZ270" i="13" s="1"/>
  <c r="AY112" i="13"/>
  <c r="AY270" i="13" s="1"/>
  <c r="AX112" i="13"/>
  <c r="AX270" i="13" s="1"/>
  <c r="AW112" i="13"/>
  <c r="AW270" i="13" s="1"/>
  <c r="AU112" i="13"/>
  <c r="AU270" i="13" s="1"/>
  <c r="AT112" i="13"/>
  <c r="AT270" i="13" s="1"/>
  <c r="AS112" i="13"/>
  <c r="AS270" i="13" s="1"/>
  <c r="AR112" i="13"/>
  <c r="AR270" i="13" s="1"/>
  <c r="AQ112" i="13"/>
  <c r="AQ270" i="13" s="1"/>
  <c r="AD112" i="13"/>
  <c r="AC112" i="13"/>
  <c r="AB112" i="13"/>
  <c r="AA112" i="13"/>
  <c r="Z112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BA111" i="13"/>
  <c r="BA269" i="13" s="1"/>
  <c r="AZ111" i="13"/>
  <c r="AZ269" i="13" s="1"/>
  <c r="AY111" i="13"/>
  <c r="AY269" i="13" s="1"/>
  <c r="AX111" i="13"/>
  <c r="AX269" i="13" s="1"/>
  <c r="AW111" i="13"/>
  <c r="AW269" i="13" s="1"/>
  <c r="AU111" i="13"/>
  <c r="AT111" i="13"/>
  <c r="AS111" i="13"/>
  <c r="AS269" i="13" s="1"/>
  <c r="AR111" i="13"/>
  <c r="AR269" i="13" s="1"/>
  <c r="AQ111" i="13"/>
  <c r="AQ269" i="13" s="1"/>
  <c r="AD111" i="13"/>
  <c r="AC111" i="13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BA110" i="13"/>
  <c r="BA268" i="13" s="1"/>
  <c r="AZ110" i="13"/>
  <c r="AZ268" i="13" s="1"/>
  <c r="AY110" i="13"/>
  <c r="AY268" i="13" s="1"/>
  <c r="AX110" i="13"/>
  <c r="AX268" i="13" s="1"/>
  <c r="AW110" i="13"/>
  <c r="AW268" i="13" s="1"/>
  <c r="AU110" i="13"/>
  <c r="AU268" i="13" s="1"/>
  <c r="AT110" i="13"/>
  <c r="AT268" i="13" s="1"/>
  <c r="AS110" i="13"/>
  <c r="AS268" i="13" s="1"/>
  <c r="AR110" i="13"/>
  <c r="AR268" i="13" s="1"/>
  <c r="AQ110" i="13"/>
  <c r="AQ268" i="13" s="1"/>
  <c r="AD110" i="13"/>
  <c r="AC110" i="13"/>
  <c r="AB110" i="13"/>
  <c r="AA110" i="13"/>
  <c r="Z110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BA109" i="13"/>
  <c r="AZ109" i="13"/>
  <c r="AZ267" i="13" s="1"/>
  <c r="AY109" i="13"/>
  <c r="AY267" i="13" s="1"/>
  <c r="AX109" i="13"/>
  <c r="AX267" i="13" s="1"/>
  <c r="AW109" i="13"/>
  <c r="AW267" i="13" s="1"/>
  <c r="AU109" i="13"/>
  <c r="AU267" i="13" s="1"/>
  <c r="AT109" i="13"/>
  <c r="AT267" i="13" s="1"/>
  <c r="AS109" i="13"/>
  <c r="AS267" i="13" s="1"/>
  <c r="AR109" i="13"/>
  <c r="AR267" i="13" s="1"/>
  <c r="AQ109" i="13"/>
  <c r="AQ267" i="13" s="1"/>
  <c r="AD109" i="13"/>
  <c r="AC109" i="13"/>
  <c r="AB109" i="13"/>
  <c r="AA109" i="13"/>
  <c r="Z109" i="13"/>
  <c r="Y109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BA108" i="13"/>
  <c r="BA266" i="13" s="1"/>
  <c r="AZ108" i="13"/>
  <c r="AZ266" i="13" s="1"/>
  <c r="AY108" i="13"/>
  <c r="AY266" i="13" s="1"/>
  <c r="AX108" i="13"/>
  <c r="AX266" i="13" s="1"/>
  <c r="AW108" i="13"/>
  <c r="AW266" i="13" s="1"/>
  <c r="AU108" i="13"/>
  <c r="AT108" i="13"/>
  <c r="AS108" i="13"/>
  <c r="AS266" i="13" s="1"/>
  <c r="AR108" i="13"/>
  <c r="AR266" i="13" s="1"/>
  <c r="AQ108" i="13"/>
  <c r="AQ266" i="13" s="1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BA107" i="13"/>
  <c r="BA265" i="13" s="1"/>
  <c r="AZ107" i="13"/>
  <c r="AZ265" i="13" s="1"/>
  <c r="AY107" i="13"/>
  <c r="AY265" i="13" s="1"/>
  <c r="AX107" i="13"/>
  <c r="AX265" i="13" s="1"/>
  <c r="AW107" i="13"/>
  <c r="AW265" i="13" s="1"/>
  <c r="AU107" i="13"/>
  <c r="AU265" i="13" s="1"/>
  <c r="AT107" i="13"/>
  <c r="AT265" i="13" s="1"/>
  <c r="AS107" i="13"/>
  <c r="AS265" i="13" s="1"/>
  <c r="AR107" i="13"/>
  <c r="AR265" i="13" s="1"/>
  <c r="AQ107" i="13"/>
  <c r="AQ265" i="13" s="1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BA106" i="13"/>
  <c r="BA264" i="13" s="1"/>
  <c r="AZ106" i="13"/>
  <c r="AZ264" i="13" s="1"/>
  <c r="AY106" i="13"/>
  <c r="AY264" i="13" s="1"/>
  <c r="AX106" i="13"/>
  <c r="AX264" i="13" s="1"/>
  <c r="AW106" i="13"/>
  <c r="AW264" i="13" s="1"/>
  <c r="AU106" i="13"/>
  <c r="AT106" i="13"/>
  <c r="AS106" i="13"/>
  <c r="AS264" i="13" s="1"/>
  <c r="AR106" i="13"/>
  <c r="AR264" i="13" s="1"/>
  <c r="AQ106" i="13"/>
  <c r="AQ264" i="13" s="1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BA105" i="13"/>
  <c r="BA263" i="13" s="1"/>
  <c r="AZ105" i="13"/>
  <c r="AZ263" i="13" s="1"/>
  <c r="AY105" i="13"/>
  <c r="AY263" i="13" s="1"/>
  <c r="AX105" i="13"/>
  <c r="AX263" i="13" s="1"/>
  <c r="AW105" i="13"/>
  <c r="AW263" i="13" s="1"/>
  <c r="AU105" i="13"/>
  <c r="AU263" i="13" s="1"/>
  <c r="AT105" i="13"/>
  <c r="AT263" i="13" s="1"/>
  <c r="AS105" i="13"/>
  <c r="AS263" i="13" s="1"/>
  <c r="AR105" i="13"/>
  <c r="AR263" i="13" s="1"/>
  <c r="AQ105" i="13"/>
  <c r="AQ263" i="13" s="1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BA104" i="13"/>
  <c r="BA262" i="13" s="1"/>
  <c r="AZ104" i="13"/>
  <c r="AZ262" i="13" s="1"/>
  <c r="AY104" i="13"/>
  <c r="AY262" i="13" s="1"/>
  <c r="AX104" i="13"/>
  <c r="AX262" i="13" s="1"/>
  <c r="AW104" i="13"/>
  <c r="AW262" i="13" s="1"/>
  <c r="AU104" i="13"/>
  <c r="AT104" i="13"/>
  <c r="AS104" i="13"/>
  <c r="AS262" i="13" s="1"/>
  <c r="AR104" i="13"/>
  <c r="AR262" i="13" s="1"/>
  <c r="AQ104" i="13"/>
  <c r="AQ262" i="13" s="1"/>
  <c r="AD104" i="13"/>
  <c r="AC104" i="13"/>
  <c r="AB104" i="13"/>
  <c r="AA104" i="13"/>
  <c r="Z104" i="13"/>
  <c r="Y104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BA103" i="13"/>
  <c r="BA261" i="13" s="1"/>
  <c r="AZ103" i="13"/>
  <c r="AZ261" i="13" s="1"/>
  <c r="AY103" i="13"/>
  <c r="AY261" i="13" s="1"/>
  <c r="AX103" i="13"/>
  <c r="AX261" i="13" s="1"/>
  <c r="AW103" i="13"/>
  <c r="AW261" i="13" s="1"/>
  <c r="AU103" i="13"/>
  <c r="AU261" i="13" s="1"/>
  <c r="AT103" i="13"/>
  <c r="AT261" i="13" s="1"/>
  <c r="AS103" i="13"/>
  <c r="AS261" i="13" s="1"/>
  <c r="AR103" i="13"/>
  <c r="AR261" i="13" s="1"/>
  <c r="AQ103" i="13"/>
  <c r="AQ261" i="13" s="1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AU102" i="13"/>
  <c r="AU260" i="13" s="1"/>
  <c r="AT102" i="13"/>
  <c r="AT260" i="13" s="1"/>
  <c r="AS102" i="13"/>
  <c r="AS260" i="13" s="1"/>
  <c r="AR102" i="13"/>
  <c r="AR260" i="13" s="1"/>
  <c r="AQ102" i="13"/>
  <c r="AQ260" i="13" s="1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BA101" i="13"/>
  <c r="BA259" i="13" s="1"/>
  <c r="AZ101" i="13"/>
  <c r="AZ259" i="13" s="1"/>
  <c r="AY101" i="13"/>
  <c r="AY259" i="13" s="1"/>
  <c r="AX101" i="13"/>
  <c r="AX259" i="13" s="1"/>
  <c r="AW101" i="13"/>
  <c r="AW259" i="13" s="1"/>
  <c r="AU101" i="13"/>
  <c r="AT101" i="13"/>
  <c r="AT259" i="13" s="1"/>
  <c r="AS101" i="13"/>
  <c r="AR101" i="13"/>
  <c r="AR259" i="13" s="1"/>
  <c r="AQ101" i="13"/>
  <c r="AQ259" i="13" s="1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BA100" i="13"/>
  <c r="BA258" i="13" s="1"/>
  <c r="AZ100" i="13"/>
  <c r="AZ258" i="13" s="1"/>
  <c r="AY100" i="13"/>
  <c r="AY258" i="13" s="1"/>
  <c r="AX100" i="13"/>
  <c r="AX258" i="13" s="1"/>
  <c r="AW100" i="13"/>
  <c r="AW258" i="13" s="1"/>
  <c r="AU100" i="13"/>
  <c r="AU258" i="13" s="1"/>
  <c r="AT100" i="13"/>
  <c r="AT258" i="13" s="1"/>
  <c r="AS100" i="13"/>
  <c r="AS258" i="13" s="1"/>
  <c r="AR100" i="13"/>
  <c r="AR258" i="13" s="1"/>
  <c r="AQ100" i="13"/>
  <c r="AQ258" i="13" s="1"/>
  <c r="AD100" i="13"/>
  <c r="AC100" i="13"/>
  <c r="AB100" i="13"/>
  <c r="AA100" i="13"/>
  <c r="Z100" i="13"/>
  <c r="Y100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BA99" i="13"/>
  <c r="BA257" i="13" s="1"/>
  <c r="AZ99" i="13"/>
  <c r="AZ257" i="13" s="1"/>
  <c r="AY99" i="13"/>
  <c r="AY257" i="13" s="1"/>
  <c r="AX99" i="13"/>
  <c r="AX257" i="13" s="1"/>
  <c r="AW99" i="13"/>
  <c r="AW257" i="13" s="1"/>
  <c r="AU99" i="13"/>
  <c r="AT99" i="13"/>
  <c r="AT257" i="13" s="1"/>
  <c r="AS99" i="13"/>
  <c r="AR99" i="13"/>
  <c r="AR257" i="13" s="1"/>
  <c r="AQ99" i="13"/>
  <c r="AQ257" i="13" s="1"/>
  <c r="AD99" i="13"/>
  <c r="AC99" i="13"/>
  <c r="AB99" i="13"/>
  <c r="AA99" i="13"/>
  <c r="Z99" i="13"/>
  <c r="Y99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BA98" i="13"/>
  <c r="BA256" i="13" s="1"/>
  <c r="AZ98" i="13"/>
  <c r="AZ256" i="13" s="1"/>
  <c r="AY98" i="13"/>
  <c r="AY256" i="13" s="1"/>
  <c r="AX98" i="13"/>
  <c r="AX256" i="13" s="1"/>
  <c r="AW98" i="13"/>
  <c r="AW256" i="13" s="1"/>
  <c r="AU98" i="13"/>
  <c r="AU256" i="13" s="1"/>
  <c r="AT98" i="13"/>
  <c r="AT256" i="13" s="1"/>
  <c r="AS98" i="13"/>
  <c r="AR98" i="13"/>
  <c r="AR256" i="13" s="1"/>
  <c r="AQ98" i="13"/>
  <c r="AQ256" i="13" s="1"/>
  <c r="AD98" i="13"/>
  <c r="AC98" i="13"/>
  <c r="AB98" i="13"/>
  <c r="AA98" i="13"/>
  <c r="Z98" i="13"/>
  <c r="Y98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BA97" i="13"/>
  <c r="BA255" i="13" s="1"/>
  <c r="AZ97" i="13"/>
  <c r="AZ255" i="13" s="1"/>
  <c r="AY97" i="13"/>
  <c r="AY255" i="13" s="1"/>
  <c r="AX97" i="13"/>
  <c r="AX255" i="13" s="1"/>
  <c r="AW97" i="13"/>
  <c r="AW255" i="13" s="1"/>
  <c r="AU97" i="13"/>
  <c r="AT97" i="13"/>
  <c r="AT255" i="13" s="1"/>
  <c r="AS97" i="13"/>
  <c r="AR97" i="13"/>
  <c r="AR255" i="13" s="1"/>
  <c r="AQ97" i="13"/>
  <c r="AQ255" i="13" s="1"/>
  <c r="AD97" i="13"/>
  <c r="AC97" i="13"/>
  <c r="AB97" i="13"/>
  <c r="AA97" i="13"/>
  <c r="Z97" i="13"/>
  <c r="Y97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BA96" i="13"/>
  <c r="BA254" i="13" s="1"/>
  <c r="AZ96" i="13"/>
  <c r="AY96" i="13"/>
  <c r="AY254" i="13" s="1"/>
  <c r="AX96" i="13"/>
  <c r="AX254" i="13" s="1"/>
  <c r="AW96" i="13"/>
  <c r="AW254" i="13" s="1"/>
  <c r="AU96" i="13"/>
  <c r="AU254" i="13" s="1"/>
  <c r="AT96" i="13"/>
  <c r="AT254" i="13" s="1"/>
  <c r="AS96" i="13"/>
  <c r="AR96" i="13"/>
  <c r="AR254" i="13" s="1"/>
  <c r="AQ96" i="13"/>
  <c r="AQ254" i="13" s="1"/>
  <c r="AD96" i="13"/>
  <c r="AC96" i="13"/>
  <c r="AB96" i="13"/>
  <c r="AA96" i="13"/>
  <c r="Z96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BA95" i="13"/>
  <c r="BA253" i="13" s="1"/>
  <c r="AZ95" i="13"/>
  <c r="AZ253" i="13" s="1"/>
  <c r="AY95" i="13"/>
  <c r="AY253" i="13" s="1"/>
  <c r="AX95" i="13"/>
  <c r="AX253" i="13" s="1"/>
  <c r="AW95" i="13"/>
  <c r="AW253" i="13" s="1"/>
  <c r="AU95" i="13"/>
  <c r="AT95" i="13"/>
  <c r="AT253" i="13" s="1"/>
  <c r="AS95" i="13"/>
  <c r="AR95" i="13"/>
  <c r="AR253" i="13" s="1"/>
  <c r="AQ95" i="13"/>
  <c r="AQ253" i="13" s="1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BA94" i="13"/>
  <c r="BA252" i="13" s="1"/>
  <c r="AZ94" i="13"/>
  <c r="AY94" i="13"/>
  <c r="AY252" i="13" s="1"/>
  <c r="AX94" i="13"/>
  <c r="AX252" i="13" s="1"/>
  <c r="AW94" i="13"/>
  <c r="AW252" i="13" s="1"/>
  <c r="AU94" i="13"/>
  <c r="AU252" i="13" s="1"/>
  <c r="AT94" i="13"/>
  <c r="AT252" i="13" s="1"/>
  <c r="AS94" i="13"/>
  <c r="AR94" i="13"/>
  <c r="AR252" i="13" s="1"/>
  <c r="AQ94" i="13"/>
  <c r="AQ252" i="13" s="1"/>
  <c r="AD94" i="13"/>
  <c r="AC94" i="13"/>
  <c r="AB94" i="13"/>
  <c r="AA94" i="13"/>
  <c r="Z94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BA93" i="13"/>
  <c r="BA251" i="13" s="1"/>
  <c r="AZ93" i="13"/>
  <c r="AZ251" i="13" s="1"/>
  <c r="AY93" i="13"/>
  <c r="AY251" i="13" s="1"/>
  <c r="AX93" i="13"/>
  <c r="AX251" i="13" s="1"/>
  <c r="AW93" i="13"/>
  <c r="AW251" i="13" s="1"/>
  <c r="AU93" i="13"/>
  <c r="AT93" i="13"/>
  <c r="AT251" i="13" s="1"/>
  <c r="AS93" i="13"/>
  <c r="AR93" i="13"/>
  <c r="AR251" i="13" s="1"/>
  <c r="AQ93" i="13"/>
  <c r="AQ251" i="13" s="1"/>
  <c r="AD93" i="13"/>
  <c r="AC93" i="13"/>
  <c r="AB93" i="13"/>
  <c r="AA93" i="13"/>
  <c r="Z93" i="13"/>
  <c r="Y93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BA92" i="13"/>
  <c r="BA250" i="13" s="1"/>
  <c r="AZ92" i="13"/>
  <c r="AZ250" i="13" s="1"/>
  <c r="AY92" i="13"/>
  <c r="AY250" i="13" s="1"/>
  <c r="AX92" i="13"/>
  <c r="AX250" i="13" s="1"/>
  <c r="AW92" i="13"/>
  <c r="AW250" i="13" s="1"/>
  <c r="AU92" i="13"/>
  <c r="AT92" i="13"/>
  <c r="AT250" i="13" s="1"/>
  <c r="AS92" i="13"/>
  <c r="AS250" i="13" s="1"/>
  <c r="AR92" i="13"/>
  <c r="AR250" i="13" s="1"/>
  <c r="AQ92" i="13"/>
  <c r="AQ250" i="13" s="1"/>
  <c r="AD92" i="13"/>
  <c r="AC92" i="13"/>
  <c r="AB92" i="13"/>
  <c r="AA92" i="13"/>
  <c r="Z92" i="13"/>
  <c r="Y92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BA91" i="13"/>
  <c r="BA249" i="13" s="1"/>
  <c r="AZ91" i="13"/>
  <c r="AZ249" i="13" s="1"/>
  <c r="AY91" i="13"/>
  <c r="AY249" i="13" s="1"/>
  <c r="AX91" i="13"/>
  <c r="AX249" i="13" s="1"/>
  <c r="AW91" i="13"/>
  <c r="AW249" i="13" s="1"/>
  <c r="AU91" i="13"/>
  <c r="AU249" i="13" s="1"/>
  <c r="AT91" i="13"/>
  <c r="AT249" i="13" s="1"/>
  <c r="AS91" i="13"/>
  <c r="AR91" i="13"/>
  <c r="AR249" i="13" s="1"/>
  <c r="AQ91" i="13"/>
  <c r="AQ249" i="13" s="1"/>
  <c r="AD91" i="13"/>
  <c r="AC91" i="13"/>
  <c r="AB91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BA90" i="13"/>
  <c r="BA248" i="13" s="1"/>
  <c r="AZ90" i="13"/>
  <c r="AZ248" i="13" s="1"/>
  <c r="AY90" i="13"/>
  <c r="AY248" i="13" s="1"/>
  <c r="AX90" i="13"/>
  <c r="AX248" i="13" s="1"/>
  <c r="AW90" i="13"/>
  <c r="AW248" i="13" s="1"/>
  <c r="AU90" i="13"/>
  <c r="AT90" i="13"/>
  <c r="AT248" i="13" s="1"/>
  <c r="AS90" i="13"/>
  <c r="AS248" i="13" s="1"/>
  <c r="AR90" i="13"/>
  <c r="AR248" i="13" s="1"/>
  <c r="AQ90" i="13"/>
  <c r="AQ248" i="13" s="1"/>
  <c r="AD90" i="13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BA89" i="13"/>
  <c r="BA247" i="13" s="1"/>
  <c r="AZ89" i="13"/>
  <c r="AZ247" i="13" s="1"/>
  <c r="AY89" i="13"/>
  <c r="AY247" i="13" s="1"/>
  <c r="AX89" i="13"/>
  <c r="AX247" i="13" s="1"/>
  <c r="AW89" i="13"/>
  <c r="AW247" i="13" s="1"/>
  <c r="AU89" i="13"/>
  <c r="AU247" i="13" s="1"/>
  <c r="AT89" i="13"/>
  <c r="AT247" i="13" s="1"/>
  <c r="AS89" i="13"/>
  <c r="AR89" i="13"/>
  <c r="AR247" i="13" s="1"/>
  <c r="AQ89" i="13"/>
  <c r="AQ247" i="13" s="1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BA88" i="13"/>
  <c r="BA246" i="13" s="1"/>
  <c r="AZ88" i="13"/>
  <c r="AZ246" i="13" s="1"/>
  <c r="AY88" i="13"/>
  <c r="AY246" i="13" s="1"/>
  <c r="AX88" i="13"/>
  <c r="AX246" i="13" s="1"/>
  <c r="AW88" i="13"/>
  <c r="AW246" i="13" s="1"/>
  <c r="AU88" i="13"/>
  <c r="AT88" i="13"/>
  <c r="AT246" i="13" s="1"/>
  <c r="AS88" i="13"/>
  <c r="AS246" i="13" s="1"/>
  <c r="AR88" i="13"/>
  <c r="AR246" i="13" s="1"/>
  <c r="AQ88" i="13"/>
  <c r="AQ246" i="13" s="1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BA87" i="13"/>
  <c r="BA245" i="13" s="1"/>
  <c r="AZ87" i="13"/>
  <c r="AZ245" i="13" s="1"/>
  <c r="AY87" i="13"/>
  <c r="AY245" i="13" s="1"/>
  <c r="AX87" i="13"/>
  <c r="AX245" i="13" s="1"/>
  <c r="AW87" i="13"/>
  <c r="AW245" i="13" s="1"/>
  <c r="AU87" i="13"/>
  <c r="AU245" i="13" s="1"/>
  <c r="AT87" i="13"/>
  <c r="AT245" i="13" s="1"/>
  <c r="AS87" i="13"/>
  <c r="AR87" i="13"/>
  <c r="AR245" i="13" s="1"/>
  <c r="AQ87" i="13"/>
  <c r="AQ245" i="13" s="1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BA86" i="13"/>
  <c r="BA244" i="13" s="1"/>
  <c r="AZ86" i="13"/>
  <c r="AZ244" i="13" s="1"/>
  <c r="AY86" i="13"/>
  <c r="AY244" i="13" s="1"/>
  <c r="AX86" i="13"/>
  <c r="AX244" i="13" s="1"/>
  <c r="AW86" i="13"/>
  <c r="AW244" i="13" s="1"/>
  <c r="AU86" i="13"/>
  <c r="AT86" i="13"/>
  <c r="AT244" i="13" s="1"/>
  <c r="AS86" i="13"/>
  <c r="AS244" i="13" s="1"/>
  <c r="AR86" i="13"/>
  <c r="AR244" i="13" s="1"/>
  <c r="AQ86" i="13"/>
  <c r="AQ244" i="13" s="1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BA85" i="13"/>
  <c r="BA243" i="13" s="1"/>
  <c r="AZ85" i="13"/>
  <c r="AZ243" i="13" s="1"/>
  <c r="AY85" i="13"/>
  <c r="AY243" i="13" s="1"/>
  <c r="AX85" i="13"/>
  <c r="AX243" i="13" s="1"/>
  <c r="AW85" i="13"/>
  <c r="AW243" i="13" s="1"/>
  <c r="AU85" i="13"/>
  <c r="AU243" i="13" s="1"/>
  <c r="AT85" i="13"/>
  <c r="AT243" i="13" s="1"/>
  <c r="AS85" i="13"/>
  <c r="AR85" i="13"/>
  <c r="AR243" i="13" s="1"/>
  <c r="AQ85" i="13"/>
  <c r="AQ243" i="13" s="1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BA84" i="13"/>
  <c r="BA242" i="13" s="1"/>
  <c r="AZ84" i="13"/>
  <c r="AZ242" i="13" s="1"/>
  <c r="AY84" i="13"/>
  <c r="AY242" i="13" s="1"/>
  <c r="AX84" i="13"/>
  <c r="AX242" i="13" s="1"/>
  <c r="AW84" i="13"/>
  <c r="AW242" i="13" s="1"/>
  <c r="AU84" i="13"/>
  <c r="AT84" i="13"/>
  <c r="AS84" i="13"/>
  <c r="AR84" i="13"/>
  <c r="AR242" i="13" s="1"/>
  <c r="AQ84" i="13"/>
  <c r="AQ242" i="13" s="1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BA83" i="13"/>
  <c r="BA241" i="13" s="1"/>
  <c r="AZ83" i="13"/>
  <c r="AZ241" i="13" s="1"/>
  <c r="AY83" i="13"/>
  <c r="AY241" i="13" s="1"/>
  <c r="AX83" i="13"/>
  <c r="AX241" i="13" s="1"/>
  <c r="AW83" i="13"/>
  <c r="AW241" i="13" s="1"/>
  <c r="AU83" i="13"/>
  <c r="AU241" i="13" s="1"/>
  <c r="AT83" i="13"/>
  <c r="AT241" i="13" s="1"/>
  <c r="AS83" i="13"/>
  <c r="AS241" i="13" s="1"/>
  <c r="AR83" i="13"/>
  <c r="AR241" i="13" s="1"/>
  <c r="AQ83" i="13"/>
  <c r="AQ241" i="13" s="1"/>
  <c r="AD83" i="13"/>
  <c r="AC83" i="13"/>
  <c r="AB83" i="13"/>
  <c r="AG83" i="13" s="1"/>
  <c r="AA83" i="13"/>
  <c r="Z83" i="13"/>
  <c r="Y83" i="13"/>
  <c r="X83" i="13"/>
  <c r="W83" i="13"/>
  <c r="V83" i="13"/>
  <c r="U83" i="13"/>
  <c r="T83" i="13"/>
  <c r="AN83" i="13" s="1"/>
  <c r="S83" i="13"/>
  <c r="AM83" i="13" s="1"/>
  <c r="R83" i="13"/>
  <c r="AL83" i="13" s="1"/>
  <c r="Q83" i="13"/>
  <c r="P83" i="13"/>
  <c r="AJ83" i="13" s="1"/>
  <c r="O83" i="13"/>
  <c r="N83" i="13"/>
  <c r="M83" i="13"/>
  <c r="L83" i="13"/>
  <c r="K83" i="13"/>
  <c r="BA82" i="13"/>
  <c r="BA240" i="13" s="1"/>
  <c r="AZ82" i="13"/>
  <c r="AZ240" i="13" s="1"/>
  <c r="AY82" i="13"/>
  <c r="AY240" i="13" s="1"/>
  <c r="AX82" i="13"/>
  <c r="AX240" i="13" s="1"/>
  <c r="AW82" i="13"/>
  <c r="AW240" i="13" s="1"/>
  <c r="AU82" i="13"/>
  <c r="AU240" i="13" s="1"/>
  <c r="AT82" i="13"/>
  <c r="AT240" i="13" s="1"/>
  <c r="AS82" i="13"/>
  <c r="AS240" i="13" s="1"/>
  <c r="AR82" i="13"/>
  <c r="AR240" i="13" s="1"/>
  <c r="AQ82" i="13"/>
  <c r="AQ240" i="13" s="1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BA81" i="13"/>
  <c r="BA239" i="13" s="1"/>
  <c r="AZ81" i="13"/>
  <c r="AZ239" i="13" s="1"/>
  <c r="AY81" i="13"/>
  <c r="AY239" i="13" s="1"/>
  <c r="AX81" i="13"/>
  <c r="AX239" i="13" s="1"/>
  <c r="AW81" i="13"/>
  <c r="AW239" i="13" s="1"/>
  <c r="AU81" i="13"/>
  <c r="AT81" i="13"/>
  <c r="AS81" i="13"/>
  <c r="AR81" i="13"/>
  <c r="AR239" i="13" s="1"/>
  <c r="AQ81" i="13"/>
  <c r="AQ239" i="13" s="1"/>
  <c r="AD81" i="13"/>
  <c r="AC81" i="13"/>
  <c r="AB81" i="13"/>
  <c r="AA81" i="13"/>
  <c r="Z81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BA80" i="13"/>
  <c r="BA238" i="13" s="1"/>
  <c r="AZ80" i="13"/>
  <c r="AZ238" i="13" s="1"/>
  <c r="AY80" i="13"/>
  <c r="AY238" i="13" s="1"/>
  <c r="AX80" i="13"/>
  <c r="AX238" i="13" s="1"/>
  <c r="AW80" i="13"/>
  <c r="AW238" i="13" s="1"/>
  <c r="AU80" i="13"/>
  <c r="AU238" i="13" s="1"/>
  <c r="AT80" i="13"/>
  <c r="AT238" i="13" s="1"/>
  <c r="AS80" i="13"/>
  <c r="AS238" i="13" s="1"/>
  <c r="AR80" i="13"/>
  <c r="AR238" i="13" s="1"/>
  <c r="AQ80" i="13"/>
  <c r="AQ238" i="13" s="1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BA79" i="13"/>
  <c r="BA237" i="13" s="1"/>
  <c r="AZ79" i="13"/>
  <c r="AZ237" i="13" s="1"/>
  <c r="AY79" i="13"/>
  <c r="AY237" i="13" s="1"/>
  <c r="AX79" i="13"/>
  <c r="AX237" i="13" s="1"/>
  <c r="AW79" i="13"/>
  <c r="AW237" i="13" s="1"/>
  <c r="AU79" i="13"/>
  <c r="AT79" i="13"/>
  <c r="AS79" i="13"/>
  <c r="AS237" i="13" s="1"/>
  <c r="AR79" i="13"/>
  <c r="AR237" i="13" s="1"/>
  <c r="AQ79" i="13"/>
  <c r="AQ237" i="13" s="1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BA78" i="13"/>
  <c r="BA236" i="13" s="1"/>
  <c r="AZ78" i="13"/>
  <c r="AZ236" i="13" s="1"/>
  <c r="AY78" i="13"/>
  <c r="AY236" i="13" s="1"/>
  <c r="AX78" i="13"/>
  <c r="AX236" i="13" s="1"/>
  <c r="AW78" i="13"/>
  <c r="AW236" i="13" s="1"/>
  <c r="AU78" i="13"/>
  <c r="AT78" i="13"/>
  <c r="AT236" i="13" s="1"/>
  <c r="AS78" i="13"/>
  <c r="AS236" i="13" s="1"/>
  <c r="AR78" i="13"/>
  <c r="AR236" i="13" s="1"/>
  <c r="AQ78" i="13"/>
  <c r="AQ236" i="13" s="1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BA77" i="13"/>
  <c r="BA235" i="13" s="1"/>
  <c r="AZ77" i="13"/>
  <c r="AZ235" i="13" s="1"/>
  <c r="AY77" i="13"/>
  <c r="AY235" i="13" s="1"/>
  <c r="AX77" i="13"/>
  <c r="AX235" i="13" s="1"/>
  <c r="AW77" i="13"/>
  <c r="AW235" i="13" s="1"/>
  <c r="AU77" i="13"/>
  <c r="AU235" i="13" s="1"/>
  <c r="AT77" i="13"/>
  <c r="AT235" i="13" s="1"/>
  <c r="AS77" i="13"/>
  <c r="AS235" i="13" s="1"/>
  <c r="AR77" i="13"/>
  <c r="AR235" i="13" s="1"/>
  <c r="AQ77" i="13"/>
  <c r="AQ235" i="13" s="1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BA76" i="13"/>
  <c r="BA234" i="13" s="1"/>
  <c r="AZ76" i="13"/>
  <c r="AZ234" i="13" s="1"/>
  <c r="AY76" i="13"/>
  <c r="AY234" i="13" s="1"/>
  <c r="AX76" i="13"/>
  <c r="AX234" i="13" s="1"/>
  <c r="AW76" i="13"/>
  <c r="AW234" i="13" s="1"/>
  <c r="AU76" i="13"/>
  <c r="AT76" i="13"/>
  <c r="AS76" i="13"/>
  <c r="AR76" i="13"/>
  <c r="AR234" i="13" s="1"/>
  <c r="AQ76" i="13"/>
  <c r="AQ234" i="13" s="1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BA75" i="13"/>
  <c r="BA233" i="13" s="1"/>
  <c r="AZ75" i="13"/>
  <c r="AZ233" i="13" s="1"/>
  <c r="AY75" i="13"/>
  <c r="AY233" i="13" s="1"/>
  <c r="AX75" i="13"/>
  <c r="AX233" i="13" s="1"/>
  <c r="AW75" i="13"/>
  <c r="AW233" i="13" s="1"/>
  <c r="AU75" i="13"/>
  <c r="AU233" i="13" s="1"/>
  <c r="AT75" i="13"/>
  <c r="AT233" i="13" s="1"/>
  <c r="AS75" i="13"/>
  <c r="AS233" i="13" s="1"/>
  <c r="AR75" i="13"/>
  <c r="AR233" i="13" s="1"/>
  <c r="AQ75" i="13"/>
  <c r="AQ233" i="13" s="1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BA74" i="13"/>
  <c r="BA232" i="13" s="1"/>
  <c r="AZ74" i="13"/>
  <c r="AZ232" i="13" s="1"/>
  <c r="AY74" i="13"/>
  <c r="AY232" i="13" s="1"/>
  <c r="AX74" i="13"/>
  <c r="AX232" i="13" s="1"/>
  <c r="AW74" i="13"/>
  <c r="AW232" i="13" s="1"/>
  <c r="AU74" i="13"/>
  <c r="AT74" i="13"/>
  <c r="AS74" i="13"/>
  <c r="AS232" i="13" s="1"/>
  <c r="AR74" i="13"/>
  <c r="AR232" i="13" s="1"/>
  <c r="AQ74" i="13"/>
  <c r="AQ232" i="13" s="1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BA73" i="13"/>
  <c r="BA231" i="13" s="1"/>
  <c r="AZ73" i="13"/>
  <c r="AZ231" i="13" s="1"/>
  <c r="AY73" i="13"/>
  <c r="AY231" i="13" s="1"/>
  <c r="AX73" i="13"/>
  <c r="AX231" i="13" s="1"/>
  <c r="AW73" i="13"/>
  <c r="AW231" i="13" s="1"/>
  <c r="AU73" i="13"/>
  <c r="AT73" i="13"/>
  <c r="AT231" i="13" s="1"/>
  <c r="AS73" i="13"/>
  <c r="AS231" i="13" s="1"/>
  <c r="AR73" i="13"/>
  <c r="AR231" i="13" s="1"/>
  <c r="AQ73" i="13"/>
  <c r="AQ231" i="13" s="1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BA72" i="13"/>
  <c r="BA230" i="13" s="1"/>
  <c r="AZ72" i="13"/>
  <c r="AZ230" i="13" s="1"/>
  <c r="AY72" i="13"/>
  <c r="AY230" i="13" s="1"/>
  <c r="AX72" i="13"/>
  <c r="AX230" i="13" s="1"/>
  <c r="AW72" i="13"/>
  <c r="AW230" i="13" s="1"/>
  <c r="AU72" i="13"/>
  <c r="AU230" i="13" s="1"/>
  <c r="AT72" i="13"/>
  <c r="AT230" i="13" s="1"/>
  <c r="AS72" i="13"/>
  <c r="AS230" i="13" s="1"/>
  <c r="AR72" i="13"/>
  <c r="AR230" i="13" s="1"/>
  <c r="AQ72" i="13"/>
  <c r="AQ230" i="13" s="1"/>
  <c r="AD72" i="13"/>
  <c r="AC72" i="13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BA71" i="13"/>
  <c r="BA229" i="13" s="1"/>
  <c r="AZ71" i="13"/>
  <c r="AZ229" i="13" s="1"/>
  <c r="AY71" i="13"/>
  <c r="AY229" i="13" s="1"/>
  <c r="AX71" i="13"/>
  <c r="AX229" i="13" s="1"/>
  <c r="AW71" i="13"/>
  <c r="AW229" i="13" s="1"/>
  <c r="AU71" i="13"/>
  <c r="AT71" i="13"/>
  <c r="AT229" i="13" s="1"/>
  <c r="AS71" i="13"/>
  <c r="AS229" i="13" s="1"/>
  <c r="AR71" i="13"/>
  <c r="AR229" i="13" s="1"/>
  <c r="AQ71" i="13"/>
  <c r="AQ229" i="13" s="1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BA70" i="13"/>
  <c r="BA228" i="13" s="1"/>
  <c r="AZ70" i="13"/>
  <c r="AZ228" i="13" s="1"/>
  <c r="AY70" i="13"/>
  <c r="AY228" i="13" s="1"/>
  <c r="AX70" i="13"/>
  <c r="AX228" i="13" s="1"/>
  <c r="AW70" i="13"/>
  <c r="AW228" i="13" s="1"/>
  <c r="AU70" i="13"/>
  <c r="AU228" i="13" s="1"/>
  <c r="AT70" i="13"/>
  <c r="AT228" i="13" s="1"/>
  <c r="AS70" i="13"/>
  <c r="AS228" i="13" s="1"/>
  <c r="AR70" i="13"/>
  <c r="AR228" i="13" s="1"/>
  <c r="AQ70" i="13"/>
  <c r="AQ228" i="13" s="1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BA69" i="13"/>
  <c r="BA227" i="13" s="1"/>
  <c r="AZ69" i="13"/>
  <c r="AZ227" i="13" s="1"/>
  <c r="AY69" i="13"/>
  <c r="AY227" i="13" s="1"/>
  <c r="AX69" i="13"/>
  <c r="AX227" i="13" s="1"/>
  <c r="AW69" i="13"/>
  <c r="AW227" i="13" s="1"/>
  <c r="AU69" i="13"/>
  <c r="AT69" i="13"/>
  <c r="AT227" i="13" s="1"/>
  <c r="AS69" i="13"/>
  <c r="AS227" i="13" s="1"/>
  <c r="AR69" i="13"/>
  <c r="AR227" i="13" s="1"/>
  <c r="AQ69" i="13"/>
  <c r="AQ227" i="13" s="1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BA68" i="13"/>
  <c r="BA226" i="13" s="1"/>
  <c r="AZ68" i="13"/>
  <c r="AZ226" i="13" s="1"/>
  <c r="AY68" i="13"/>
  <c r="AY226" i="13" s="1"/>
  <c r="AX68" i="13"/>
  <c r="AX226" i="13" s="1"/>
  <c r="AW68" i="13"/>
  <c r="AW226" i="13" s="1"/>
  <c r="AU68" i="13"/>
  <c r="AU226" i="13" s="1"/>
  <c r="AT68" i="13"/>
  <c r="AT226" i="13" s="1"/>
  <c r="AS68" i="13"/>
  <c r="AS226" i="13" s="1"/>
  <c r="AR68" i="13"/>
  <c r="AR226" i="13" s="1"/>
  <c r="AQ68" i="13"/>
  <c r="AQ226" i="13" s="1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BA67" i="13"/>
  <c r="BA225" i="13" s="1"/>
  <c r="AZ67" i="13"/>
  <c r="AZ225" i="13" s="1"/>
  <c r="AY67" i="13"/>
  <c r="AY225" i="13" s="1"/>
  <c r="AX67" i="13"/>
  <c r="AX225" i="13" s="1"/>
  <c r="AW67" i="13"/>
  <c r="AW225" i="13" s="1"/>
  <c r="AU67" i="13"/>
  <c r="AT67" i="13"/>
  <c r="AT225" i="13" s="1"/>
  <c r="AS67" i="13"/>
  <c r="AS225" i="13" s="1"/>
  <c r="AR67" i="13"/>
  <c r="AR225" i="13" s="1"/>
  <c r="AQ67" i="13"/>
  <c r="AQ225" i="13" s="1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BA66" i="13"/>
  <c r="BA224" i="13" s="1"/>
  <c r="AZ66" i="13"/>
  <c r="AZ224" i="13" s="1"/>
  <c r="AY66" i="13"/>
  <c r="AY224" i="13" s="1"/>
  <c r="AX66" i="13"/>
  <c r="AX224" i="13" s="1"/>
  <c r="AW66" i="13"/>
  <c r="AW224" i="13" s="1"/>
  <c r="AU66" i="13"/>
  <c r="AU224" i="13" s="1"/>
  <c r="AT66" i="13"/>
  <c r="AT224" i="13" s="1"/>
  <c r="AS66" i="13"/>
  <c r="AS224" i="13" s="1"/>
  <c r="AR66" i="13"/>
  <c r="AR224" i="13" s="1"/>
  <c r="AQ66" i="13"/>
  <c r="AQ224" i="13" s="1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BA65" i="13"/>
  <c r="BA223" i="13" s="1"/>
  <c r="AZ65" i="13"/>
  <c r="AZ223" i="13" s="1"/>
  <c r="AY65" i="13"/>
  <c r="AY223" i="13" s="1"/>
  <c r="AX65" i="13"/>
  <c r="AX223" i="13" s="1"/>
  <c r="AW65" i="13"/>
  <c r="AW223" i="13" s="1"/>
  <c r="AU65" i="13"/>
  <c r="AT65" i="13"/>
  <c r="AT223" i="13" s="1"/>
  <c r="AS65" i="13"/>
  <c r="AS223" i="13" s="1"/>
  <c r="AR65" i="13"/>
  <c r="AR223" i="13" s="1"/>
  <c r="AQ65" i="13"/>
  <c r="AQ223" i="13" s="1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BA64" i="13"/>
  <c r="BA222" i="13" s="1"/>
  <c r="AZ64" i="13"/>
  <c r="AZ222" i="13" s="1"/>
  <c r="AY64" i="13"/>
  <c r="AY222" i="13" s="1"/>
  <c r="AX64" i="13"/>
  <c r="AX222" i="13" s="1"/>
  <c r="AW64" i="13"/>
  <c r="AW222" i="13" s="1"/>
  <c r="AU64" i="13"/>
  <c r="AU222" i="13" s="1"/>
  <c r="AT64" i="13"/>
  <c r="AT222" i="13" s="1"/>
  <c r="AS64" i="13"/>
  <c r="AS222" i="13" s="1"/>
  <c r="AR64" i="13"/>
  <c r="AR222" i="13" s="1"/>
  <c r="AQ64" i="13"/>
  <c r="AQ222" i="13" s="1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BA63" i="13"/>
  <c r="BA221" i="13" s="1"/>
  <c r="AZ63" i="13"/>
  <c r="AZ221" i="13" s="1"/>
  <c r="AY63" i="13"/>
  <c r="AY221" i="13" s="1"/>
  <c r="AX63" i="13"/>
  <c r="AX221" i="13" s="1"/>
  <c r="AW63" i="13"/>
  <c r="AW221" i="13" s="1"/>
  <c r="AU63" i="13"/>
  <c r="AT63" i="13"/>
  <c r="AT221" i="13" s="1"/>
  <c r="AS63" i="13"/>
  <c r="AS221" i="13" s="1"/>
  <c r="AR63" i="13"/>
  <c r="AR221" i="13" s="1"/>
  <c r="AQ63" i="13"/>
  <c r="AQ221" i="13" s="1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N221" i="13" s="1"/>
  <c r="M63" i="13"/>
  <c r="L63" i="13"/>
  <c r="K63" i="13"/>
  <c r="BA62" i="13"/>
  <c r="BA220" i="13" s="1"/>
  <c r="AZ62" i="13"/>
  <c r="AZ220" i="13" s="1"/>
  <c r="AY62" i="13"/>
  <c r="AY220" i="13" s="1"/>
  <c r="AX62" i="13"/>
  <c r="AX220" i="13" s="1"/>
  <c r="AW62" i="13"/>
  <c r="AW220" i="13" s="1"/>
  <c r="AU62" i="13"/>
  <c r="AU220" i="13" s="1"/>
  <c r="AT62" i="13"/>
  <c r="AT220" i="13" s="1"/>
  <c r="AS62" i="13"/>
  <c r="AS220" i="13" s="1"/>
  <c r="AR62" i="13"/>
  <c r="AR220" i="13" s="1"/>
  <c r="AQ62" i="13"/>
  <c r="AQ220" i="13" s="1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BA61" i="13"/>
  <c r="BA219" i="13" s="1"/>
  <c r="AZ61" i="13"/>
  <c r="AZ219" i="13" s="1"/>
  <c r="AY61" i="13"/>
  <c r="AY219" i="13" s="1"/>
  <c r="AX61" i="13"/>
  <c r="AX219" i="13" s="1"/>
  <c r="AW61" i="13"/>
  <c r="AW219" i="13" s="1"/>
  <c r="AU61" i="13"/>
  <c r="AU219" i="13" s="1"/>
  <c r="AT61" i="13"/>
  <c r="AT219" i="13" s="1"/>
  <c r="AS61" i="13"/>
  <c r="AS219" i="13" s="1"/>
  <c r="AR61" i="13"/>
  <c r="AR219" i="13" s="1"/>
  <c r="AQ61" i="13"/>
  <c r="AQ219" i="13" s="1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BA60" i="13"/>
  <c r="BA218" i="13" s="1"/>
  <c r="AZ60" i="13"/>
  <c r="AZ218" i="13" s="1"/>
  <c r="AY60" i="13"/>
  <c r="AY218" i="13" s="1"/>
  <c r="AX60" i="13"/>
  <c r="AX218" i="13" s="1"/>
  <c r="AW60" i="13"/>
  <c r="AW218" i="13" s="1"/>
  <c r="AU60" i="13"/>
  <c r="AT60" i="13"/>
  <c r="AT218" i="13" s="1"/>
  <c r="AS60" i="13"/>
  <c r="AS218" i="13" s="1"/>
  <c r="AR60" i="13"/>
  <c r="AR218" i="13" s="1"/>
  <c r="AQ60" i="13"/>
  <c r="AQ218" i="13" s="1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BA59" i="13"/>
  <c r="BA217" i="13" s="1"/>
  <c r="AZ59" i="13"/>
  <c r="AZ217" i="13" s="1"/>
  <c r="AY59" i="13"/>
  <c r="AY217" i="13" s="1"/>
  <c r="AX59" i="13"/>
  <c r="AX217" i="13" s="1"/>
  <c r="AW59" i="13"/>
  <c r="AW217" i="13" s="1"/>
  <c r="AU59" i="13"/>
  <c r="AT59" i="13"/>
  <c r="AT217" i="13" s="1"/>
  <c r="AS59" i="13"/>
  <c r="AS217" i="13" s="1"/>
  <c r="AR59" i="13"/>
  <c r="AR217" i="13" s="1"/>
  <c r="AQ59" i="13"/>
  <c r="AQ217" i="13" s="1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BA58" i="13"/>
  <c r="BA216" i="13" s="1"/>
  <c r="AZ58" i="13"/>
  <c r="AZ216" i="13" s="1"/>
  <c r="AY58" i="13"/>
  <c r="AY216" i="13" s="1"/>
  <c r="AX58" i="13"/>
  <c r="AX216" i="13" s="1"/>
  <c r="AW58" i="13"/>
  <c r="AW216" i="13" s="1"/>
  <c r="AU58" i="13"/>
  <c r="AT58" i="13"/>
  <c r="AT216" i="13" s="1"/>
  <c r="AS58" i="13"/>
  <c r="AS216" i="13" s="1"/>
  <c r="AR58" i="13"/>
  <c r="AR216" i="13" s="1"/>
  <c r="AQ58" i="13"/>
  <c r="AQ216" i="13" s="1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BA57" i="13"/>
  <c r="BA215" i="13" s="1"/>
  <c r="AZ57" i="13"/>
  <c r="AZ215" i="13" s="1"/>
  <c r="AY57" i="13"/>
  <c r="AY215" i="13" s="1"/>
  <c r="AX57" i="13"/>
  <c r="AX215" i="13" s="1"/>
  <c r="AW57" i="13"/>
  <c r="AW215" i="13" s="1"/>
  <c r="AU57" i="13"/>
  <c r="AT57" i="13"/>
  <c r="AT215" i="13" s="1"/>
  <c r="AS57" i="13"/>
  <c r="AS215" i="13" s="1"/>
  <c r="AR57" i="13"/>
  <c r="AR215" i="13" s="1"/>
  <c r="AQ57" i="13"/>
  <c r="AQ215" i="13" s="1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BA56" i="13"/>
  <c r="BA214" i="13" s="1"/>
  <c r="AZ56" i="13"/>
  <c r="AZ214" i="13" s="1"/>
  <c r="AY56" i="13"/>
  <c r="AY214" i="13" s="1"/>
  <c r="AX56" i="13"/>
  <c r="AX214" i="13" s="1"/>
  <c r="AW56" i="13"/>
  <c r="AW214" i="13" s="1"/>
  <c r="AU56" i="13"/>
  <c r="AU214" i="13" s="1"/>
  <c r="AT56" i="13"/>
  <c r="AT214" i="13" s="1"/>
  <c r="AS56" i="13"/>
  <c r="AS214" i="13" s="1"/>
  <c r="AR56" i="13"/>
  <c r="AR214" i="13" s="1"/>
  <c r="AQ56" i="13"/>
  <c r="AQ214" i="13" s="1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BA55" i="13"/>
  <c r="BA213" i="13" s="1"/>
  <c r="AZ55" i="13"/>
  <c r="AZ213" i="13" s="1"/>
  <c r="AY55" i="13"/>
  <c r="AY213" i="13" s="1"/>
  <c r="AX55" i="13"/>
  <c r="AX213" i="13" s="1"/>
  <c r="AW55" i="13"/>
  <c r="AW213" i="13" s="1"/>
  <c r="AU55" i="13"/>
  <c r="AT55" i="13"/>
  <c r="AT213" i="13" s="1"/>
  <c r="AS55" i="13"/>
  <c r="AS213" i="13" s="1"/>
  <c r="AR55" i="13"/>
  <c r="AR213" i="13" s="1"/>
  <c r="AQ55" i="13"/>
  <c r="AQ213" i="13" s="1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BA54" i="13"/>
  <c r="BA212" i="13" s="1"/>
  <c r="AZ54" i="13"/>
  <c r="AZ212" i="13" s="1"/>
  <c r="AY54" i="13"/>
  <c r="AY212" i="13" s="1"/>
  <c r="AX54" i="13"/>
  <c r="AX212" i="13" s="1"/>
  <c r="AW54" i="13"/>
  <c r="AW212" i="13" s="1"/>
  <c r="AU54" i="13"/>
  <c r="AU212" i="13" s="1"/>
  <c r="AT54" i="13"/>
  <c r="AT212" i="13" s="1"/>
  <c r="AS54" i="13"/>
  <c r="AS212" i="13" s="1"/>
  <c r="AR54" i="13"/>
  <c r="AR212" i="13" s="1"/>
  <c r="AQ54" i="13"/>
  <c r="AQ212" i="13" s="1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O212" i="13" s="1"/>
  <c r="N54" i="13"/>
  <c r="M54" i="13"/>
  <c r="L54" i="13"/>
  <c r="K54" i="13"/>
  <c r="BA53" i="13"/>
  <c r="BA211" i="13" s="1"/>
  <c r="AZ53" i="13"/>
  <c r="AZ211" i="13" s="1"/>
  <c r="AY53" i="13"/>
  <c r="AY211" i="13" s="1"/>
  <c r="AX53" i="13"/>
  <c r="AX211" i="13" s="1"/>
  <c r="AW53" i="13"/>
  <c r="AW211" i="13" s="1"/>
  <c r="AU53" i="13"/>
  <c r="AT53" i="13"/>
  <c r="AT211" i="13" s="1"/>
  <c r="AS53" i="13"/>
  <c r="AS211" i="13" s="1"/>
  <c r="AR53" i="13"/>
  <c r="AR211" i="13" s="1"/>
  <c r="AQ53" i="13"/>
  <c r="AQ211" i="13" s="1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P211" i="13" s="1"/>
  <c r="O53" i="13"/>
  <c r="N53" i="13"/>
  <c r="M53" i="13"/>
  <c r="L53" i="13"/>
  <c r="BA52" i="13"/>
  <c r="BA210" i="13" s="1"/>
  <c r="AZ52" i="13"/>
  <c r="AZ210" i="13" s="1"/>
  <c r="AY52" i="13"/>
  <c r="AY210" i="13" s="1"/>
  <c r="AX52" i="13"/>
  <c r="AX210" i="13" s="1"/>
  <c r="AW52" i="13"/>
  <c r="AW210" i="13" s="1"/>
  <c r="AU52" i="13"/>
  <c r="AU210" i="13" s="1"/>
  <c r="AT52" i="13"/>
  <c r="AT210" i="13" s="1"/>
  <c r="AS52" i="13"/>
  <c r="AS210" i="13" s="1"/>
  <c r="AR52" i="13"/>
  <c r="AR210" i="13" s="1"/>
  <c r="AQ52" i="13"/>
  <c r="AQ210" i="13" s="1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BA51" i="13"/>
  <c r="BA209" i="13" s="1"/>
  <c r="AZ51" i="13"/>
  <c r="AZ209" i="13" s="1"/>
  <c r="AY51" i="13"/>
  <c r="AY209" i="13" s="1"/>
  <c r="AX51" i="13"/>
  <c r="AX209" i="13" s="1"/>
  <c r="AW51" i="13"/>
  <c r="AW209" i="13" s="1"/>
  <c r="AU51" i="13"/>
  <c r="AU209" i="13" s="1"/>
  <c r="AT51" i="13"/>
  <c r="AT209" i="13" s="1"/>
  <c r="AS51" i="13"/>
  <c r="AS209" i="13" s="1"/>
  <c r="AR51" i="13"/>
  <c r="AR209" i="13" s="1"/>
  <c r="AQ51" i="13"/>
  <c r="AQ209" i="13" s="1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BA46" i="13"/>
  <c r="BA206" i="13" s="1"/>
  <c r="AZ46" i="13"/>
  <c r="AZ206" i="13" s="1"/>
  <c r="AY46" i="13"/>
  <c r="AY206" i="13" s="1"/>
  <c r="AX46" i="13"/>
  <c r="AX206" i="13" s="1"/>
  <c r="AW46" i="13"/>
  <c r="AW206" i="13" s="1"/>
  <c r="AU46" i="13"/>
  <c r="AT46" i="13"/>
  <c r="AT206" i="13" s="1"/>
  <c r="AS46" i="13"/>
  <c r="AS206" i="13" s="1"/>
  <c r="AR46" i="13"/>
  <c r="AR206" i="13" s="1"/>
  <c r="AQ46" i="13"/>
  <c r="AQ206" i="13" s="1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BA45" i="13"/>
  <c r="BA205" i="13" s="1"/>
  <c r="AZ45" i="13"/>
  <c r="AZ205" i="13" s="1"/>
  <c r="AY45" i="13"/>
  <c r="AY205" i="13" s="1"/>
  <c r="AX45" i="13"/>
  <c r="AX205" i="13" s="1"/>
  <c r="AW45" i="13"/>
  <c r="AW205" i="13" s="1"/>
  <c r="AU45" i="13"/>
  <c r="AU205" i="13" s="1"/>
  <c r="AT45" i="13"/>
  <c r="AT205" i="13" s="1"/>
  <c r="AS45" i="13"/>
  <c r="AS205" i="13" s="1"/>
  <c r="AR45" i="13"/>
  <c r="AR205" i="13" s="1"/>
  <c r="AQ45" i="13"/>
  <c r="AQ205" i="13" s="1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BA44" i="13"/>
  <c r="BA204" i="13" s="1"/>
  <c r="AZ44" i="13"/>
  <c r="AZ204" i="13" s="1"/>
  <c r="AY44" i="13"/>
  <c r="AY204" i="13" s="1"/>
  <c r="AX44" i="13"/>
  <c r="AX204" i="13" s="1"/>
  <c r="AW44" i="13"/>
  <c r="AW204" i="13" s="1"/>
  <c r="AU44" i="13"/>
  <c r="AT44" i="13"/>
  <c r="AT204" i="13" s="1"/>
  <c r="AS44" i="13"/>
  <c r="AS204" i="13" s="1"/>
  <c r="AR44" i="13"/>
  <c r="AR204" i="13" s="1"/>
  <c r="AQ44" i="13"/>
  <c r="AQ204" i="13" s="1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BA43" i="13"/>
  <c r="BA203" i="13" s="1"/>
  <c r="AZ43" i="13"/>
  <c r="AZ203" i="13" s="1"/>
  <c r="AY43" i="13"/>
  <c r="AY203" i="13" s="1"/>
  <c r="AX43" i="13"/>
  <c r="AX203" i="13" s="1"/>
  <c r="AW43" i="13"/>
  <c r="AW203" i="13" s="1"/>
  <c r="AU43" i="13"/>
  <c r="AU203" i="13" s="1"/>
  <c r="AT43" i="13"/>
  <c r="AT203" i="13" s="1"/>
  <c r="AS43" i="13"/>
  <c r="AS203" i="13" s="1"/>
  <c r="AR43" i="13"/>
  <c r="AR203" i="13" s="1"/>
  <c r="AQ43" i="13"/>
  <c r="AQ203" i="13" s="1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BA42" i="13"/>
  <c r="BA202" i="13" s="1"/>
  <c r="AZ42" i="13"/>
  <c r="AZ202" i="13" s="1"/>
  <c r="AY42" i="13"/>
  <c r="AY202" i="13" s="1"/>
  <c r="AX42" i="13"/>
  <c r="AX202" i="13" s="1"/>
  <c r="AW42" i="13"/>
  <c r="AW202" i="13" s="1"/>
  <c r="AU42" i="13"/>
  <c r="AT42" i="13"/>
  <c r="AT202" i="13" s="1"/>
  <c r="AS42" i="13"/>
  <c r="AS202" i="13" s="1"/>
  <c r="AR42" i="13"/>
  <c r="AR202" i="13" s="1"/>
  <c r="AQ42" i="13"/>
  <c r="AQ202" i="13" s="1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BA41" i="13"/>
  <c r="BA201" i="13" s="1"/>
  <c r="AZ41" i="13"/>
  <c r="AZ201" i="13" s="1"/>
  <c r="AY41" i="13"/>
  <c r="AY201" i="13" s="1"/>
  <c r="AX41" i="13"/>
  <c r="AX201" i="13" s="1"/>
  <c r="AW41" i="13"/>
  <c r="AW201" i="13" s="1"/>
  <c r="AU41" i="13"/>
  <c r="AU201" i="13" s="1"/>
  <c r="AT41" i="13"/>
  <c r="AT201" i="13" s="1"/>
  <c r="AS41" i="13"/>
  <c r="AS201" i="13" s="1"/>
  <c r="AR41" i="13"/>
  <c r="AR201" i="13" s="1"/>
  <c r="AQ41" i="13"/>
  <c r="AQ201" i="13" s="1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BA40" i="13"/>
  <c r="BA200" i="13" s="1"/>
  <c r="AZ40" i="13"/>
  <c r="AZ200" i="13" s="1"/>
  <c r="AY40" i="13"/>
  <c r="AY200" i="13" s="1"/>
  <c r="AX40" i="13"/>
  <c r="AX200" i="13" s="1"/>
  <c r="AW40" i="13"/>
  <c r="AW200" i="13" s="1"/>
  <c r="AU40" i="13"/>
  <c r="AT40" i="13"/>
  <c r="AT200" i="13" s="1"/>
  <c r="AS40" i="13"/>
  <c r="AS200" i="13" s="1"/>
  <c r="AR40" i="13"/>
  <c r="AR200" i="13" s="1"/>
  <c r="AQ40" i="13"/>
  <c r="AQ200" i="13" s="1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BA39" i="13"/>
  <c r="BA199" i="13" s="1"/>
  <c r="AZ39" i="13"/>
  <c r="AZ199" i="13" s="1"/>
  <c r="AY39" i="13"/>
  <c r="AY199" i="13" s="1"/>
  <c r="AX39" i="13"/>
  <c r="AX199" i="13" s="1"/>
  <c r="AW39" i="13"/>
  <c r="AW199" i="13" s="1"/>
  <c r="AU39" i="13"/>
  <c r="AU199" i="13" s="1"/>
  <c r="AT39" i="13"/>
  <c r="AT199" i="13" s="1"/>
  <c r="AS39" i="13"/>
  <c r="AS199" i="13" s="1"/>
  <c r="AR39" i="13"/>
  <c r="AR199" i="13" s="1"/>
  <c r="AQ39" i="13"/>
  <c r="AQ199" i="13" s="1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BA38" i="13"/>
  <c r="BA198" i="13" s="1"/>
  <c r="AZ38" i="13"/>
  <c r="AZ198" i="13" s="1"/>
  <c r="AY38" i="13"/>
  <c r="AY198" i="13" s="1"/>
  <c r="AX38" i="13"/>
  <c r="AX198" i="13" s="1"/>
  <c r="AW38" i="13"/>
  <c r="AW198" i="13" s="1"/>
  <c r="AU38" i="13"/>
  <c r="AT38" i="13"/>
  <c r="AT198" i="13" s="1"/>
  <c r="AS38" i="13"/>
  <c r="AS198" i="13" s="1"/>
  <c r="AR38" i="13"/>
  <c r="AR198" i="13" s="1"/>
  <c r="AQ38" i="13"/>
  <c r="AQ198" i="13" s="1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BA37" i="13"/>
  <c r="BA197" i="13" s="1"/>
  <c r="AZ37" i="13"/>
  <c r="AZ197" i="13" s="1"/>
  <c r="AY37" i="13"/>
  <c r="AY197" i="13" s="1"/>
  <c r="AX37" i="13"/>
  <c r="AX197" i="13" s="1"/>
  <c r="AW37" i="13"/>
  <c r="AW197" i="13" s="1"/>
  <c r="AU37" i="13"/>
  <c r="AU197" i="13" s="1"/>
  <c r="AT37" i="13"/>
  <c r="AT197" i="13" s="1"/>
  <c r="AS37" i="13"/>
  <c r="AS197" i="13" s="1"/>
  <c r="AR37" i="13"/>
  <c r="AR197" i="13" s="1"/>
  <c r="AQ37" i="13"/>
  <c r="AQ197" i="13" s="1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BA36" i="13"/>
  <c r="BA196" i="13" s="1"/>
  <c r="AZ36" i="13"/>
  <c r="AZ196" i="13" s="1"/>
  <c r="AY36" i="13"/>
  <c r="AY196" i="13" s="1"/>
  <c r="AX36" i="13"/>
  <c r="AX196" i="13" s="1"/>
  <c r="AW36" i="13"/>
  <c r="AW196" i="13" s="1"/>
  <c r="AU36" i="13"/>
  <c r="AT36" i="13"/>
  <c r="AT196" i="13" s="1"/>
  <c r="AS36" i="13"/>
  <c r="AS196" i="13" s="1"/>
  <c r="AR36" i="13"/>
  <c r="AR196" i="13" s="1"/>
  <c r="AQ36" i="13"/>
  <c r="AQ196" i="13" s="1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BA35" i="13"/>
  <c r="BA195" i="13" s="1"/>
  <c r="AZ35" i="13"/>
  <c r="AZ195" i="13" s="1"/>
  <c r="AY35" i="13"/>
  <c r="AY195" i="13" s="1"/>
  <c r="AX35" i="13"/>
  <c r="AX195" i="13" s="1"/>
  <c r="AW35" i="13"/>
  <c r="AW195" i="13" s="1"/>
  <c r="AU35" i="13"/>
  <c r="AU195" i="13" s="1"/>
  <c r="AT35" i="13"/>
  <c r="AT195" i="13" s="1"/>
  <c r="AS35" i="13"/>
  <c r="AS195" i="13" s="1"/>
  <c r="AR35" i="13"/>
  <c r="AR195" i="13" s="1"/>
  <c r="AQ35" i="13"/>
  <c r="AQ195" i="13" s="1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BA34" i="13"/>
  <c r="BA194" i="13" s="1"/>
  <c r="AZ34" i="13"/>
  <c r="AZ194" i="13" s="1"/>
  <c r="AY34" i="13"/>
  <c r="AY194" i="13" s="1"/>
  <c r="AX34" i="13"/>
  <c r="AX194" i="13" s="1"/>
  <c r="AW34" i="13"/>
  <c r="AW194" i="13" s="1"/>
  <c r="AU34" i="13"/>
  <c r="AT34" i="13"/>
  <c r="AT194" i="13" s="1"/>
  <c r="AS34" i="13"/>
  <c r="AS194" i="13" s="1"/>
  <c r="AR34" i="13"/>
  <c r="AR194" i="13" s="1"/>
  <c r="AQ34" i="13"/>
  <c r="AQ194" i="13" s="1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BA33" i="13"/>
  <c r="BA193" i="13" s="1"/>
  <c r="AZ33" i="13"/>
  <c r="AZ193" i="13" s="1"/>
  <c r="AY33" i="13"/>
  <c r="AY193" i="13" s="1"/>
  <c r="AX33" i="13"/>
  <c r="AX193" i="13" s="1"/>
  <c r="AW33" i="13"/>
  <c r="AW193" i="13" s="1"/>
  <c r="AU33" i="13"/>
  <c r="AU193" i="13" s="1"/>
  <c r="AT33" i="13"/>
  <c r="AT193" i="13" s="1"/>
  <c r="AS33" i="13"/>
  <c r="AS193" i="13" s="1"/>
  <c r="AR33" i="13"/>
  <c r="AR193" i="13" s="1"/>
  <c r="AQ33" i="13"/>
  <c r="AQ193" i="13" s="1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BA32" i="13"/>
  <c r="BA192" i="13" s="1"/>
  <c r="AZ32" i="13"/>
  <c r="AZ192" i="13" s="1"/>
  <c r="AY32" i="13"/>
  <c r="AY192" i="13" s="1"/>
  <c r="AX32" i="13"/>
  <c r="AX192" i="13" s="1"/>
  <c r="AW32" i="13"/>
  <c r="AW192" i="13" s="1"/>
  <c r="AU32" i="13"/>
  <c r="AT32" i="13"/>
  <c r="AT192" i="13" s="1"/>
  <c r="AS32" i="13"/>
  <c r="AS192" i="13" s="1"/>
  <c r="AR32" i="13"/>
  <c r="AR192" i="13" s="1"/>
  <c r="AQ32" i="13"/>
  <c r="AQ192" i="13" s="1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BA31" i="13"/>
  <c r="BA191" i="13" s="1"/>
  <c r="AZ31" i="13"/>
  <c r="AZ191" i="13" s="1"/>
  <c r="AY31" i="13"/>
  <c r="AY191" i="13" s="1"/>
  <c r="AX31" i="13"/>
  <c r="AX191" i="13" s="1"/>
  <c r="AW31" i="13"/>
  <c r="AW191" i="13" s="1"/>
  <c r="AU31" i="13"/>
  <c r="AU191" i="13" s="1"/>
  <c r="AT31" i="13"/>
  <c r="AT191" i="13" s="1"/>
  <c r="AS31" i="13"/>
  <c r="AS191" i="13" s="1"/>
  <c r="AR31" i="13"/>
  <c r="AR191" i="13" s="1"/>
  <c r="AQ31" i="13"/>
  <c r="AQ191" i="13" s="1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BA30" i="13"/>
  <c r="BA190" i="13" s="1"/>
  <c r="AZ30" i="13"/>
  <c r="AZ190" i="13" s="1"/>
  <c r="AY30" i="13"/>
  <c r="AY190" i="13" s="1"/>
  <c r="AX30" i="13"/>
  <c r="AX190" i="13" s="1"/>
  <c r="AW30" i="13"/>
  <c r="AW190" i="13" s="1"/>
  <c r="AU30" i="13"/>
  <c r="AU190" i="13" s="1"/>
  <c r="AT30" i="13"/>
  <c r="AT190" i="13" s="1"/>
  <c r="AS30" i="13"/>
  <c r="AS190" i="13" s="1"/>
  <c r="AR30" i="13"/>
  <c r="AR190" i="13" s="1"/>
  <c r="AQ30" i="13"/>
  <c r="AQ190" i="13" s="1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BA29" i="13"/>
  <c r="BA189" i="13" s="1"/>
  <c r="AZ29" i="13"/>
  <c r="AZ189" i="13" s="1"/>
  <c r="AY29" i="13"/>
  <c r="AY189" i="13" s="1"/>
  <c r="AX29" i="13"/>
  <c r="AX189" i="13" s="1"/>
  <c r="AW29" i="13"/>
  <c r="AW189" i="13" s="1"/>
  <c r="AU29" i="13"/>
  <c r="AU189" i="13" s="1"/>
  <c r="AT29" i="13"/>
  <c r="AT189" i="13" s="1"/>
  <c r="AS29" i="13"/>
  <c r="AS189" i="13" s="1"/>
  <c r="AR29" i="13"/>
  <c r="AR189" i="13" s="1"/>
  <c r="AQ29" i="13"/>
  <c r="AQ189" i="13" s="1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BA28" i="13"/>
  <c r="BA188" i="13" s="1"/>
  <c r="AZ28" i="13"/>
  <c r="AZ188" i="13" s="1"/>
  <c r="AY28" i="13"/>
  <c r="AY188" i="13" s="1"/>
  <c r="AX28" i="13"/>
  <c r="AX188" i="13" s="1"/>
  <c r="AW28" i="13"/>
  <c r="AW188" i="13" s="1"/>
  <c r="AU28" i="13"/>
  <c r="AU188" i="13" s="1"/>
  <c r="AT28" i="13"/>
  <c r="AT188" i="13" s="1"/>
  <c r="AS28" i="13"/>
  <c r="AS188" i="13" s="1"/>
  <c r="AR28" i="13"/>
  <c r="AR188" i="13" s="1"/>
  <c r="AQ28" i="13"/>
  <c r="AQ188" i="13" s="1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BA27" i="13"/>
  <c r="BA187" i="13" s="1"/>
  <c r="AZ27" i="13"/>
  <c r="AZ187" i="13" s="1"/>
  <c r="AY27" i="13"/>
  <c r="AY187" i="13" s="1"/>
  <c r="AX27" i="13"/>
  <c r="AX187" i="13" s="1"/>
  <c r="AW27" i="13"/>
  <c r="AW187" i="13" s="1"/>
  <c r="AU27" i="13"/>
  <c r="AU187" i="13" s="1"/>
  <c r="AT27" i="13"/>
  <c r="AT187" i="13" s="1"/>
  <c r="AS27" i="13"/>
  <c r="AS187" i="13" s="1"/>
  <c r="AR27" i="13"/>
  <c r="AR187" i="13" s="1"/>
  <c r="AQ27" i="13"/>
  <c r="AQ187" i="13" s="1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BA26" i="13"/>
  <c r="BA186" i="13" s="1"/>
  <c r="AZ26" i="13"/>
  <c r="AZ186" i="13" s="1"/>
  <c r="AY26" i="13"/>
  <c r="AY186" i="13" s="1"/>
  <c r="AX26" i="13"/>
  <c r="AX186" i="13" s="1"/>
  <c r="AW26" i="13"/>
  <c r="AW186" i="13" s="1"/>
  <c r="AU26" i="13"/>
  <c r="AU186" i="13" s="1"/>
  <c r="AT26" i="13"/>
  <c r="AT186" i="13" s="1"/>
  <c r="AS26" i="13"/>
  <c r="AS186" i="13" s="1"/>
  <c r="AR26" i="13"/>
  <c r="AR186" i="13" s="1"/>
  <c r="AQ26" i="13"/>
  <c r="AQ186" i="13" s="1"/>
  <c r="AD26" i="13"/>
  <c r="AC26" i="13"/>
  <c r="AB26" i="13"/>
  <c r="AA26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BA25" i="13"/>
  <c r="BA185" i="13" s="1"/>
  <c r="AZ25" i="13"/>
  <c r="AZ185" i="13" s="1"/>
  <c r="AY25" i="13"/>
  <c r="AY185" i="13" s="1"/>
  <c r="AX25" i="13"/>
  <c r="AX185" i="13" s="1"/>
  <c r="AW25" i="13"/>
  <c r="AW185" i="13" s="1"/>
  <c r="AU25" i="13"/>
  <c r="AU185" i="13" s="1"/>
  <c r="AT25" i="13"/>
  <c r="AT185" i="13" s="1"/>
  <c r="AS25" i="13"/>
  <c r="AS185" i="13" s="1"/>
  <c r="AR25" i="13"/>
  <c r="AR185" i="13" s="1"/>
  <c r="AQ25" i="13"/>
  <c r="AQ185" i="13" s="1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BA24" i="13"/>
  <c r="BA184" i="13" s="1"/>
  <c r="AZ24" i="13"/>
  <c r="AZ184" i="13" s="1"/>
  <c r="AY24" i="13"/>
  <c r="AY184" i="13" s="1"/>
  <c r="AX24" i="13"/>
  <c r="AX184" i="13" s="1"/>
  <c r="AW24" i="13"/>
  <c r="AW184" i="13" s="1"/>
  <c r="AU24" i="13"/>
  <c r="AU184" i="13" s="1"/>
  <c r="AT24" i="13"/>
  <c r="AT184" i="13" s="1"/>
  <c r="AS24" i="13"/>
  <c r="AS184" i="13" s="1"/>
  <c r="AR24" i="13"/>
  <c r="AR184" i="13" s="1"/>
  <c r="AQ24" i="13"/>
  <c r="AQ184" i="13" s="1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BA23" i="13"/>
  <c r="BA183" i="13" s="1"/>
  <c r="AZ23" i="13"/>
  <c r="AZ183" i="13" s="1"/>
  <c r="AY23" i="13"/>
  <c r="AY183" i="13" s="1"/>
  <c r="AX23" i="13"/>
  <c r="AX183" i="13" s="1"/>
  <c r="AW23" i="13"/>
  <c r="AW183" i="13" s="1"/>
  <c r="AU23" i="13"/>
  <c r="AU183" i="13" s="1"/>
  <c r="AT23" i="13"/>
  <c r="AT183" i="13" s="1"/>
  <c r="AS23" i="13"/>
  <c r="AS183" i="13" s="1"/>
  <c r="AR23" i="13"/>
  <c r="AR183" i="13" s="1"/>
  <c r="AQ23" i="13"/>
  <c r="AQ183" i="13" s="1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BA22" i="13"/>
  <c r="BA182" i="13" s="1"/>
  <c r="AZ22" i="13"/>
  <c r="AZ182" i="13" s="1"/>
  <c r="AY22" i="13"/>
  <c r="AY182" i="13" s="1"/>
  <c r="AX22" i="13"/>
  <c r="AX182" i="13" s="1"/>
  <c r="AW22" i="13"/>
  <c r="AW182" i="13" s="1"/>
  <c r="AU22" i="13"/>
  <c r="AU182" i="13" s="1"/>
  <c r="AT22" i="13"/>
  <c r="AT182" i="13" s="1"/>
  <c r="AS22" i="13"/>
  <c r="AS182" i="13" s="1"/>
  <c r="AR22" i="13"/>
  <c r="AR182" i="13" s="1"/>
  <c r="AQ22" i="13"/>
  <c r="AQ182" i="13" s="1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BA21" i="13"/>
  <c r="BA181" i="13" s="1"/>
  <c r="AZ21" i="13"/>
  <c r="AZ181" i="13" s="1"/>
  <c r="AY21" i="13"/>
  <c r="AY181" i="13" s="1"/>
  <c r="AX21" i="13"/>
  <c r="AX181" i="13" s="1"/>
  <c r="AW21" i="13"/>
  <c r="AW181" i="13" s="1"/>
  <c r="AU21" i="13"/>
  <c r="AU181" i="13" s="1"/>
  <c r="AT21" i="13"/>
  <c r="AT181" i="13" s="1"/>
  <c r="AS21" i="13"/>
  <c r="AS181" i="13" s="1"/>
  <c r="AR21" i="13"/>
  <c r="AR181" i="13" s="1"/>
  <c r="AQ21" i="13"/>
  <c r="AQ181" i="13" s="1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BA20" i="13"/>
  <c r="BA180" i="13" s="1"/>
  <c r="AZ20" i="13"/>
  <c r="AZ180" i="13" s="1"/>
  <c r="AY20" i="13"/>
  <c r="AY180" i="13" s="1"/>
  <c r="AX20" i="13"/>
  <c r="AX180" i="13" s="1"/>
  <c r="AW20" i="13"/>
  <c r="AW180" i="13" s="1"/>
  <c r="AU20" i="13"/>
  <c r="AU180" i="13" s="1"/>
  <c r="AT20" i="13"/>
  <c r="AT180" i="13" s="1"/>
  <c r="AS20" i="13"/>
  <c r="AS180" i="13" s="1"/>
  <c r="AR20" i="13"/>
  <c r="AR180" i="13" s="1"/>
  <c r="AQ20" i="13"/>
  <c r="AQ180" i="13" s="1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K180" i="13" s="1"/>
  <c r="BA19" i="13"/>
  <c r="BA179" i="13" s="1"/>
  <c r="AZ19" i="13"/>
  <c r="AZ179" i="13" s="1"/>
  <c r="AY19" i="13"/>
  <c r="AY179" i="13" s="1"/>
  <c r="AX19" i="13"/>
  <c r="AX179" i="13" s="1"/>
  <c r="AW19" i="13"/>
  <c r="AW179" i="13" s="1"/>
  <c r="AU19" i="13"/>
  <c r="AU179" i="13" s="1"/>
  <c r="AT19" i="13"/>
  <c r="AT179" i="13" s="1"/>
  <c r="AS19" i="13"/>
  <c r="AS179" i="13" s="1"/>
  <c r="AR19" i="13"/>
  <c r="AR179" i="13" s="1"/>
  <c r="AQ19" i="13"/>
  <c r="AQ179" i="13" s="1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BA18" i="13"/>
  <c r="BA178" i="13" s="1"/>
  <c r="AZ18" i="13"/>
  <c r="AZ178" i="13" s="1"/>
  <c r="AY18" i="13"/>
  <c r="AY178" i="13" s="1"/>
  <c r="AX18" i="13"/>
  <c r="AX178" i="13" s="1"/>
  <c r="AW18" i="13"/>
  <c r="AW178" i="13" s="1"/>
  <c r="AU18" i="13"/>
  <c r="AU178" i="13" s="1"/>
  <c r="AT18" i="13"/>
  <c r="AT178" i="13" s="1"/>
  <c r="AS18" i="13"/>
  <c r="AS178" i="13" s="1"/>
  <c r="AR18" i="13"/>
  <c r="AR178" i="13" s="1"/>
  <c r="AQ18" i="13"/>
  <c r="AQ178" i="13" s="1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BA17" i="13"/>
  <c r="BA177" i="13" s="1"/>
  <c r="AZ17" i="13"/>
  <c r="AZ177" i="13" s="1"/>
  <c r="AY17" i="13"/>
  <c r="AY177" i="13" s="1"/>
  <c r="AX17" i="13"/>
  <c r="AX177" i="13" s="1"/>
  <c r="AW17" i="13"/>
  <c r="AW177" i="13" s="1"/>
  <c r="AU17" i="13"/>
  <c r="AU177" i="13" s="1"/>
  <c r="AT17" i="13"/>
  <c r="AT177" i="13" s="1"/>
  <c r="AS17" i="13"/>
  <c r="AS177" i="13" s="1"/>
  <c r="AR17" i="13"/>
  <c r="AR177" i="13" s="1"/>
  <c r="AQ17" i="13"/>
  <c r="AQ177" i="13" s="1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BA16" i="13"/>
  <c r="BA176" i="13" s="1"/>
  <c r="AZ16" i="13"/>
  <c r="AZ176" i="13" s="1"/>
  <c r="AY16" i="13"/>
  <c r="AY176" i="13" s="1"/>
  <c r="AX16" i="13"/>
  <c r="AX176" i="13" s="1"/>
  <c r="AW16" i="13"/>
  <c r="AW176" i="13" s="1"/>
  <c r="AU16" i="13"/>
  <c r="AU176" i="13" s="1"/>
  <c r="AT16" i="13"/>
  <c r="AT176" i="13" s="1"/>
  <c r="AS16" i="13"/>
  <c r="AS176" i="13" s="1"/>
  <c r="AR16" i="13"/>
  <c r="AR176" i="13" s="1"/>
  <c r="AQ16" i="13"/>
  <c r="AQ176" i="13" s="1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BA15" i="13"/>
  <c r="BA175" i="13" s="1"/>
  <c r="AZ15" i="13"/>
  <c r="AZ175" i="13" s="1"/>
  <c r="AY15" i="13"/>
  <c r="AY175" i="13" s="1"/>
  <c r="AX15" i="13"/>
  <c r="AX175" i="13" s="1"/>
  <c r="AW15" i="13"/>
  <c r="AW175" i="13" s="1"/>
  <c r="AU15" i="13"/>
  <c r="AU175" i="13" s="1"/>
  <c r="AT15" i="13"/>
  <c r="AT175" i="13" s="1"/>
  <c r="AS15" i="13"/>
  <c r="AR15" i="13"/>
  <c r="AR175" i="13" s="1"/>
  <c r="AQ15" i="13"/>
  <c r="AQ175" i="13" s="1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BA14" i="13"/>
  <c r="BA174" i="13" s="1"/>
  <c r="AZ14" i="13"/>
  <c r="AZ174" i="13" s="1"/>
  <c r="AY14" i="13"/>
  <c r="AY174" i="13" s="1"/>
  <c r="AX14" i="13"/>
  <c r="AX174" i="13" s="1"/>
  <c r="AW14" i="13"/>
  <c r="AW174" i="13" s="1"/>
  <c r="AU14" i="13"/>
  <c r="AU174" i="13" s="1"/>
  <c r="AT14" i="13"/>
  <c r="AS14" i="13"/>
  <c r="AS174" i="13" s="1"/>
  <c r="AR14" i="13"/>
  <c r="AR174" i="13" s="1"/>
  <c r="AQ14" i="13"/>
  <c r="AQ174" i="13" s="1"/>
  <c r="AD14" i="13"/>
  <c r="AC14" i="13"/>
  <c r="AB14" i="13"/>
  <c r="AA14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BA13" i="13"/>
  <c r="BA173" i="13" s="1"/>
  <c r="AZ13" i="13"/>
  <c r="AZ173" i="13" s="1"/>
  <c r="AY13" i="13"/>
  <c r="AY173" i="13" s="1"/>
  <c r="AX13" i="13"/>
  <c r="AX173" i="13" s="1"/>
  <c r="AW13" i="13"/>
  <c r="AW173" i="13" s="1"/>
  <c r="AU13" i="13"/>
  <c r="AU173" i="13" s="1"/>
  <c r="AT13" i="13"/>
  <c r="AT173" i="13" s="1"/>
  <c r="AS13" i="13"/>
  <c r="AR13" i="13"/>
  <c r="AR173" i="13" s="1"/>
  <c r="AQ13" i="13"/>
  <c r="AQ173" i="13" s="1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BA12" i="13"/>
  <c r="BA172" i="13" s="1"/>
  <c r="AZ12" i="13"/>
  <c r="AZ172" i="13" s="1"/>
  <c r="AY12" i="13"/>
  <c r="AY172" i="13" s="1"/>
  <c r="AX12" i="13"/>
  <c r="AX172" i="13" s="1"/>
  <c r="AW12" i="13"/>
  <c r="AW172" i="13" s="1"/>
  <c r="AU12" i="13"/>
  <c r="AU172" i="13" s="1"/>
  <c r="AT12" i="13"/>
  <c r="AT172" i="13" s="1"/>
  <c r="AS12" i="13"/>
  <c r="AS172" i="13" s="1"/>
  <c r="AR12" i="13"/>
  <c r="AR172" i="13" s="1"/>
  <c r="AQ12" i="13"/>
  <c r="AQ172" i="13" s="1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BA11" i="13"/>
  <c r="BA171" i="13" s="1"/>
  <c r="AZ11" i="13"/>
  <c r="AZ171" i="13" s="1"/>
  <c r="AY11" i="13"/>
  <c r="AY171" i="13" s="1"/>
  <c r="AX11" i="13"/>
  <c r="AX171" i="13" s="1"/>
  <c r="AW11" i="13"/>
  <c r="AW171" i="13" s="1"/>
  <c r="AU11" i="13"/>
  <c r="AU171" i="13" s="1"/>
  <c r="AT11" i="13"/>
  <c r="AT171" i="13" s="1"/>
  <c r="AS11" i="13"/>
  <c r="AR11" i="13"/>
  <c r="AR171" i="13" s="1"/>
  <c r="AQ11" i="13"/>
  <c r="AQ171" i="13" s="1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BA10" i="13"/>
  <c r="BA170" i="13" s="1"/>
  <c r="AZ10" i="13"/>
  <c r="AZ170" i="13" s="1"/>
  <c r="AY10" i="13"/>
  <c r="AY170" i="13" s="1"/>
  <c r="AX10" i="13"/>
  <c r="AX170" i="13" s="1"/>
  <c r="AW10" i="13"/>
  <c r="AW170" i="13" s="1"/>
  <c r="AU10" i="13"/>
  <c r="AU170" i="13" s="1"/>
  <c r="AT10" i="13"/>
  <c r="AT170" i="13" s="1"/>
  <c r="AS10" i="13"/>
  <c r="AS170" i="13" s="1"/>
  <c r="AR10" i="13"/>
  <c r="AR170" i="13" s="1"/>
  <c r="AQ10" i="13"/>
  <c r="AQ170" i="13" s="1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BA9" i="13"/>
  <c r="BA169" i="13" s="1"/>
  <c r="AZ9" i="13"/>
  <c r="AZ169" i="13" s="1"/>
  <c r="AY9" i="13"/>
  <c r="AY169" i="13" s="1"/>
  <c r="AX9" i="13"/>
  <c r="AX169" i="13" s="1"/>
  <c r="AW9" i="13"/>
  <c r="AW169" i="13" s="1"/>
  <c r="AU9" i="13"/>
  <c r="AU169" i="13" s="1"/>
  <c r="AT9" i="13"/>
  <c r="AT169" i="13" s="1"/>
  <c r="AS9" i="13"/>
  <c r="AR9" i="13"/>
  <c r="AR169" i="13" s="1"/>
  <c r="AQ9" i="13"/>
  <c r="AQ169" i="13" s="1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BA8" i="13"/>
  <c r="BA168" i="13" s="1"/>
  <c r="AZ8" i="13"/>
  <c r="AZ168" i="13" s="1"/>
  <c r="AY8" i="13"/>
  <c r="AY168" i="13" s="1"/>
  <c r="AX8" i="13"/>
  <c r="AX168" i="13" s="1"/>
  <c r="AW8" i="13"/>
  <c r="AW168" i="13" s="1"/>
  <c r="AU8" i="13"/>
  <c r="AU168" i="13" s="1"/>
  <c r="AT8" i="13"/>
  <c r="AT168" i="13" s="1"/>
  <c r="AS8" i="13"/>
  <c r="AS168" i="13" s="1"/>
  <c r="AR8" i="13"/>
  <c r="AR168" i="13" s="1"/>
  <c r="AQ8" i="13"/>
  <c r="AQ168" i="13" s="1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BA7" i="13"/>
  <c r="BA167" i="13" s="1"/>
  <c r="AZ7" i="13"/>
  <c r="AZ167" i="13" s="1"/>
  <c r="AY7" i="13"/>
  <c r="AY167" i="13" s="1"/>
  <c r="AX7" i="13"/>
  <c r="AX167" i="13" s="1"/>
  <c r="AW7" i="13"/>
  <c r="AW167" i="13" s="1"/>
  <c r="AU7" i="13"/>
  <c r="AU167" i="13" s="1"/>
  <c r="AT7" i="13"/>
  <c r="AT167" i="13" s="1"/>
  <c r="AS7" i="13"/>
  <c r="AR7" i="13"/>
  <c r="AR167" i="13" s="1"/>
  <c r="AQ7" i="13"/>
  <c r="AQ167" i="13" s="1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BA6" i="13"/>
  <c r="BA166" i="13" s="1"/>
  <c r="AZ6" i="13"/>
  <c r="AZ166" i="13" s="1"/>
  <c r="AY6" i="13"/>
  <c r="AY166" i="13" s="1"/>
  <c r="AX6" i="13"/>
  <c r="AX166" i="13" s="1"/>
  <c r="AW6" i="13"/>
  <c r="AW166" i="13" s="1"/>
  <c r="AU6" i="13"/>
  <c r="AU166" i="13" s="1"/>
  <c r="AT6" i="13"/>
  <c r="AT166" i="13" s="1"/>
  <c r="AS6" i="13"/>
  <c r="AS166" i="13" s="1"/>
  <c r="AR6" i="13"/>
  <c r="AR166" i="13" s="1"/>
  <c r="AQ6" i="13"/>
  <c r="AQ166" i="13" s="1"/>
  <c r="AD6" i="13"/>
  <c r="AC6" i="13"/>
  <c r="AB6" i="13"/>
  <c r="AA6" i="13"/>
  <c r="Z6" i="13"/>
  <c r="Y6" i="13"/>
  <c r="X6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BA5" i="13"/>
  <c r="BA165" i="13" s="1"/>
  <c r="AZ5" i="13"/>
  <c r="AZ165" i="13" s="1"/>
  <c r="AY5" i="13"/>
  <c r="AY165" i="13" s="1"/>
  <c r="AX5" i="13"/>
  <c r="AX165" i="13" s="1"/>
  <c r="AW5" i="13"/>
  <c r="AW165" i="13" s="1"/>
  <c r="AU5" i="13"/>
  <c r="AU165" i="13" s="1"/>
  <c r="AT5" i="13"/>
  <c r="AT165" i="13" s="1"/>
  <c r="AS5" i="13"/>
  <c r="AS165" i="13" s="1"/>
  <c r="AR5" i="13"/>
  <c r="AR165" i="13" s="1"/>
  <c r="AQ5" i="13"/>
  <c r="AQ165" i="13" s="1"/>
  <c r="AD5" i="13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N165" i="13" s="1"/>
  <c r="M5" i="13"/>
  <c r="L5" i="13"/>
  <c r="K5" i="13"/>
  <c r="BA4" i="13"/>
  <c r="BA164" i="13" s="1"/>
  <c r="AZ4" i="13"/>
  <c r="AZ164" i="13" s="1"/>
  <c r="AY4" i="13"/>
  <c r="AY164" i="13" s="1"/>
  <c r="AX4" i="13"/>
  <c r="AX164" i="13" s="1"/>
  <c r="AW4" i="13"/>
  <c r="AW164" i="13" s="1"/>
  <c r="AU4" i="13"/>
  <c r="AU164" i="13" s="1"/>
  <c r="AT4" i="13"/>
  <c r="AT164" i="13" s="1"/>
  <c r="AS4" i="13"/>
  <c r="AS164" i="13" s="1"/>
  <c r="AR4" i="13"/>
  <c r="AR164" i="13" s="1"/>
  <c r="AQ4" i="13"/>
  <c r="AQ164" i="13" s="1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BA3" i="13"/>
  <c r="BA163" i="13" s="1"/>
  <c r="AZ3" i="13"/>
  <c r="AZ163" i="13" s="1"/>
  <c r="AY3" i="13"/>
  <c r="AY163" i="13" s="1"/>
  <c r="AX3" i="13"/>
  <c r="AX163" i="13" s="1"/>
  <c r="AW3" i="13"/>
  <c r="AW163" i="13" s="1"/>
  <c r="AU3" i="13"/>
  <c r="AU163" i="13" s="1"/>
  <c r="AT3" i="13"/>
  <c r="AT163" i="13" s="1"/>
  <c r="AS3" i="13"/>
  <c r="AS163" i="13" s="1"/>
  <c r="AR3" i="13"/>
  <c r="AR163" i="13" s="1"/>
  <c r="AQ3" i="13"/>
  <c r="AQ163" i="13" s="1"/>
  <c r="AD3" i="13"/>
  <c r="AC3" i="13"/>
  <c r="AB3" i="13"/>
  <c r="AA3" i="13"/>
  <c r="Z3" i="13"/>
  <c r="Y3" i="13"/>
  <c r="X3" i="13"/>
  <c r="W3" i="13"/>
  <c r="V3" i="13"/>
  <c r="U3" i="13"/>
  <c r="T3" i="13"/>
  <c r="S3" i="13"/>
  <c r="R3" i="13"/>
  <c r="AG3" i="13" s="1"/>
  <c r="Q3" i="13"/>
  <c r="AF3" i="13" s="1"/>
  <c r="P3" i="13"/>
  <c r="AE3" i="13" s="1"/>
  <c r="O3" i="13"/>
  <c r="N3" i="13"/>
  <c r="M3" i="13"/>
  <c r="L3" i="13"/>
  <c r="K3" i="13"/>
  <c r="U234" i="3"/>
  <c r="U188" i="3"/>
  <c r="AK235" i="3"/>
  <c r="AL235" i="3"/>
  <c r="AK236" i="3"/>
  <c r="AL236" i="3"/>
  <c r="AK237" i="3"/>
  <c r="AL237" i="3"/>
  <c r="AK238" i="3"/>
  <c r="AL238" i="3"/>
  <c r="AK239" i="3"/>
  <c r="AL239" i="3"/>
  <c r="AK240" i="3"/>
  <c r="AL240" i="3"/>
  <c r="AK241" i="3"/>
  <c r="AL241" i="3"/>
  <c r="AK242" i="3"/>
  <c r="AL242" i="3"/>
  <c r="AK243" i="3"/>
  <c r="AL243" i="3"/>
  <c r="AK244" i="3"/>
  <c r="AL244" i="3"/>
  <c r="AK245" i="3"/>
  <c r="AL245" i="3"/>
  <c r="AK246" i="3"/>
  <c r="AL246" i="3"/>
  <c r="AK247" i="3"/>
  <c r="AL247" i="3"/>
  <c r="AK248" i="3"/>
  <c r="AL248" i="3"/>
  <c r="AK249" i="3"/>
  <c r="AL249" i="3"/>
  <c r="AK250" i="3"/>
  <c r="AL250" i="3"/>
  <c r="AK251" i="3"/>
  <c r="AL251" i="3"/>
  <c r="AK252" i="3"/>
  <c r="AL252" i="3"/>
  <c r="AK253" i="3"/>
  <c r="AL253" i="3"/>
  <c r="AK254" i="3"/>
  <c r="AL254" i="3"/>
  <c r="AK255" i="3"/>
  <c r="AL255" i="3"/>
  <c r="AK256" i="3"/>
  <c r="AL256" i="3"/>
  <c r="AK257" i="3"/>
  <c r="AL257" i="3"/>
  <c r="AK258" i="3"/>
  <c r="AL258" i="3"/>
  <c r="AK259" i="3"/>
  <c r="AL259" i="3"/>
  <c r="AK260" i="3"/>
  <c r="AL260" i="3"/>
  <c r="AK261" i="3"/>
  <c r="AL261" i="3"/>
  <c r="AK262" i="3"/>
  <c r="AL262" i="3"/>
  <c r="AK263" i="3"/>
  <c r="AL263" i="3"/>
  <c r="AK264" i="3"/>
  <c r="AL264" i="3"/>
  <c r="AK265" i="3"/>
  <c r="AL265" i="3"/>
  <c r="AK266" i="3"/>
  <c r="AL266" i="3"/>
  <c r="AK267" i="3"/>
  <c r="AL267" i="3"/>
  <c r="AK268" i="3"/>
  <c r="AL268" i="3"/>
  <c r="AK269" i="3"/>
  <c r="AL269" i="3"/>
  <c r="AK270" i="3"/>
  <c r="AL270" i="3"/>
  <c r="AK271" i="3"/>
  <c r="AL271" i="3"/>
  <c r="AK272" i="3"/>
  <c r="AL272" i="3"/>
  <c r="AK273" i="3"/>
  <c r="AL273" i="3"/>
  <c r="AK274" i="3"/>
  <c r="AL274" i="3"/>
  <c r="AK275" i="3"/>
  <c r="AL275" i="3"/>
  <c r="AK276" i="3"/>
  <c r="AL276" i="3"/>
  <c r="AK278" i="3"/>
  <c r="AL278" i="3"/>
  <c r="AK279" i="3"/>
  <c r="AL279" i="3"/>
  <c r="AK280" i="3"/>
  <c r="AL280" i="3"/>
  <c r="AK281" i="3"/>
  <c r="AL281" i="3"/>
  <c r="AK282" i="3"/>
  <c r="AL282" i="3"/>
  <c r="AK283" i="3"/>
  <c r="AL283" i="3"/>
  <c r="AK284" i="3"/>
  <c r="AL284" i="3"/>
  <c r="AK285" i="3"/>
  <c r="AL285" i="3"/>
  <c r="AK286" i="3"/>
  <c r="AL286" i="3"/>
  <c r="AK287" i="3"/>
  <c r="AL287" i="3"/>
  <c r="AK288" i="3"/>
  <c r="AL288" i="3"/>
  <c r="AK289" i="3"/>
  <c r="AL289" i="3"/>
  <c r="AK290" i="3"/>
  <c r="AL290" i="3"/>
  <c r="AK291" i="3"/>
  <c r="AL291" i="3"/>
  <c r="AK292" i="3"/>
  <c r="AL292" i="3"/>
  <c r="AK293" i="3"/>
  <c r="AL293" i="3"/>
  <c r="AK294" i="3"/>
  <c r="AL294" i="3"/>
  <c r="AK295" i="3"/>
  <c r="AL295" i="3"/>
  <c r="AK296" i="3"/>
  <c r="AL296" i="3"/>
  <c r="AK297" i="3"/>
  <c r="AL297" i="3"/>
  <c r="AK298" i="3"/>
  <c r="AL298" i="3"/>
  <c r="AK299" i="3"/>
  <c r="AL299" i="3"/>
  <c r="AK300" i="3"/>
  <c r="AL300" i="3"/>
  <c r="AK301" i="3"/>
  <c r="AL301" i="3"/>
  <c r="AK302" i="3"/>
  <c r="AL302" i="3"/>
  <c r="AK303" i="3"/>
  <c r="AL303" i="3"/>
  <c r="AK304" i="3"/>
  <c r="AL304" i="3"/>
  <c r="AK305" i="3"/>
  <c r="AL305" i="3"/>
  <c r="AK306" i="3"/>
  <c r="AL306" i="3"/>
  <c r="AK307" i="3"/>
  <c r="AL307" i="3"/>
  <c r="AK308" i="3"/>
  <c r="AL308" i="3"/>
  <c r="AK309" i="3"/>
  <c r="AL309" i="3"/>
  <c r="AK310" i="3"/>
  <c r="AL310" i="3"/>
  <c r="AK311" i="3"/>
  <c r="AL311" i="3"/>
  <c r="AK312" i="3"/>
  <c r="AL312" i="3"/>
  <c r="AK313" i="3"/>
  <c r="AL313" i="3"/>
  <c r="AK314" i="3"/>
  <c r="AL314" i="3"/>
  <c r="AK315" i="3"/>
  <c r="AL315" i="3"/>
  <c r="AK316" i="3"/>
  <c r="AL316" i="3"/>
  <c r="AK317" i="3"/>
  <c r="AL317" i="3"/>
  <c r="AK318" i="3"/>
  <c r="AL318" i="3"/>
  <c r="AK319" i="3"/>
  <c r="AL319" i="3"/>
  <c r="AK320" i="3"/>
  <c r="AL320" i="3"/>
  <c r="AK322" i="3"/>
  <c r="AL322" i="3"/>
  <c r="AK323" i="3"/>
  <c r="AL323" i="3"/>
  <c r="AK324" i="3"/>
  <c r="AL324" i="3"/>
  <c r="AK325" i="3"/>
  <c r="AL325" i="3"/>
  <c r="AK326" i="3"/>
  <c r="AL326" i="3"/>
  <c r="AK327" i="3"/>
  <c r="AL327" i="3"/>
  <c r="AK328" i="3"/>
  <c r="AL328" i="3"/>
  <c r="AK329" i="3"/>
  <c r="AL329" i="3"/>
  <c r="AK330" i="3"/>
  <c r="AL330" i="3"/>
  <c r="AK331" i="3"/>
  <c r="AL331" i="3"/>
  <c r="AK332" i="3"/>
  <c r="AL332" i="3"/>
  <c r="AK333" i="3"/>
  <c r="AL333" i="3"/>
  <c r="AK334" i="3"/>
  <c r="AL334" i="3"/>
  <c r="AK335" i="3"/>
  <c r="AL335" i="3"/>
  <c r="AK336" i="3"/>
  <c r="AL336" i="3"/>
  <c r="AK337" i="3"/>
  <c r="AL337" i="3"/>
  <c r="AK338" i="3"/>
  <c r="AL338" i="3"/>
  <c r="AK339" i="3"/>
  <c r="AL339" i="3"/>
  <c r="AK340" i="3"/>
  <c r="AL340" i="3"/>
  <c r="AK341" i="3"/>
  <c r="AL341" i="3"/>
  <c r="AK342" i="3"/>
  <c r="AL342" i="3"/>
  <c r="AK343" i="3"/>
  <c r="AL343" i="3"/>
  <c r="AK344" i="3"/>
  <c r="AL344" i="3"/>
  <c r="AK345" i="3"/>
  <c r="AL345" i="3"/>
  <c r="AK346" i="3"/>
  <c r="AL346" i="3"/>
  <c r="AK347" i="3"/>
  <c r="AL347" i="3"/>
  <c r="AK348" i="3"/>
  <c r="AL348" i="3"/>
  <c r="AK349" i="3"/>
  <c r="AL349" i="3"/>
  <c r="AK350" i="3"/>
  <c r="AL350" i="3"/>
  <c r="AK351" i="3"/>
  <c r="AL351" i="3"/>
  <c r="AK352" i="3"/>
  <c r="AL352" i="3"/>
  <c r="AK353" i="3"/>
  <c r="AL353" i="3"/>
  <c r="AK354" i="3"/>
  <c r="AL354" i="3"/>
  <c r="AK355" i="3"/>
  <c r="AL355" i="3"/>
  <c r="AK356" i="3"/>
  <c r="AL356" i="3"/>
  <c r="AK357" i="3"/>
  <c r="AL357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54" i="3"/>
  <c r="AI255" i="3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278" i="3"/>
  <c r="AI279" i="3"/>
  <c r="AI280" i="3"/>
  <c r="AI281" i="3"/>
  <c r="AI282" i="3"/>
  <c r="AI283" i="3"/>
  <c r="AI284" i="3"/>
  <c r="AI285" i="3"/>
  <c r="AI286" i="3"/>
  <c r="AI287" i="3"/>
  <c r="AI288" i="3"/>
  <c r="AI289" i="3"/>
  <c r="AI290" i="3"/>
  <c r="AI291" i="3"/>
  <c r="AI292" i="3"/>
  <c r="AI293" i="3"/>
  <c r="AI294" i="3"/>
  <c r="AI295" i="3"/>
  <c r="AI296" i="3"/>
  <c r="AI297" i="3"/>
  <c r="AI298" i="3"/>
  <c r="AI299" i="3"/>
  <c r="AI300" i="3"/>
  <c r="AI301" i="3"/>
  <c r="AI302" i="3"/>
  <c r="AI303" i="3"/>
  <c r="AI304" i="3"/>
  <c r="AI305" i="3"/>
  <c r="AI306" i="3"/>
  <c r="AI307" i="3"/>
  <c r="AI308" i="3"/>
  <c r="AI309" i="3"/>
  <c r="AI310" i="3"/>
  <c r="AI311" i="3"/>
  <c r="AI312" i="3"/>
  <c r="AI313" i="3"/>
  <c r="AI314" i="3"/>
  <c r="AI315" i="3"/>
  <c r="AI316" i="3"/>
  <c r="AI317" i="3"/>
  <c r="AI318" i="3"/>
  <c r="AI319" i="3"/>
  <c r="AI320" i="3"/>
  <c r="AI322" i="3"/>
  <c r="AI323" i="3"/>
  <c r="AI324" i="3"/>
  <c r="AI325" i="3"/>
  <c r="AI326" i="3"/>
  <c r="AI327" i="3"/>
  <c r="AI328" i="3"/>
  <c r="AI329" i="3"/>
  <c r="AI330" i="3"/>
  <c r="AI331" i="3"/>
  <c r="AI332" i="3"/>
  <c r="AI333" i="3"/>
  <c r="AI334" i="3"/>
  <c r="AI335" i="3"/>
  <c r="AI336" i="3"/>
  <c r="AI337" i="3"/>
  <c r="AI338" i="3"/>
  <c r="AI339" i="3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F315" i="3"/>
  <c r="AF316" i="3"/>
  <c r="AF317" i="3"/>
  <c r="AF318" i="3"/>
  <c r="AF319" i="3"/>
  <c r="AF320" i="3"/>
  <c r="AF322" i="3"/>
  <c r="AF323" i="3"/>
  <c r="AF324" i="3"/>
  <c r="AF325" i="3"/>
  <c r="AF326" i="3"/>
  <c r="AF327" i="3"/>
  <c r="AF328" i="3"/>
  <c r="AF329" i="3"/>
  <c r="AF330" i="3"/>
  <c r="AF331" i="3"/>
  <c r="AF332" i="3"/>
  <c r="AF333" i="3"/>
  <c r="AF334" i="3"/>
  <c r="AF335" i="3"/>
  <c r="AF336" i="3"/>
  <c r="AF337" i="3"/>
  <c r="AF338" i="3"/>
  <c r="AF339" i="3"/>
  <c r="AF340" i="3"/>
  <c r="AF341" i="3"/>
  <c r="AF342" i="3"/>
  <c r="AF343" i="3"/>
  <c r="AF344" i="3"/>
  <c r="AF345" i="3"/>
  <c r="AF346" i="3"/>
  <c r="AF347" i="3"/>
  <c r="AF348" i="3"/>
  <c r="AF349" i="3"/>
  <c r="AF350" i="3"/>
  <c r="AF351" i="3"/>
  <c r="AF352" i="3"/>
  <c r="AF353" i="3"/>
  <c r="AF354" i="3"/>
  <c r="AF355" i="3"/>
  <c r="AF356" i="3"/>
  <c r="AF357" i="3"/>
  <c r="U235" i="3"/>
  <c r="V235" i="3"/>
  <c r="W235" i="3"/>
  <c r="X235" i="3"/>
  <c r="Y235" i="3"/>
  <c r="Z235" i="3"/>
  <c r="AA235" i="3"/>
  <c r="AB235" i="3"/>
  <c r="AC235" i="3"/>
  <c r="AD235" i="3"/>
  <c r="U236" i="3"/>
  <c r="V236" i="3"/>
  <c r="W236" i="3"/>
  <c r="X236" i="3"/>
  <c r="Y236" i="3"/>
  <c r="Z236" i="3"/>
  <c r="AA236" i="3"/>
  <c r="AB236" i="3"/>
  <c r="AC236" i="3"/>
  <c r="AD236" i="3"/>
  <c r="U237" i="3"/>
  <c r="V237" i="3"/>
  <c r="W237" i="3"/>
  <c r="X237" i="3"/>
  <c r="Y237" i="3"/>
  <c r="Z237" i="3"/>
  <c r="AA237" i="3"/>
  <c r="AB237" i="3"/>
  <c r="AC237" i="3"/>
  <c r="AD237" i="3"/>
  <c r="U238" i="3"/>
  <c r="V238" i="3"/>
  <c r="W238" i="3"/>
  <c r="X238" i="3"/>
  <c r="Y238" i="3"/>
  <c r="Z238" i="3"/>
  <c r="AA238" i="3"/>
  <c r="AB238" i="3"/>
  <c r="AC238" i="3"/>
  <c r="AD238" i="3"/>
  <c r="U239" i="3"/>
  <c r="V239" i="3"/>
  <c r="W239" i="3"/>
  <c r="X239" i="3"/>
  <c r="Y239" i="3"/>
  <c r="Z239" i="3"/>
  <c r="AA239" i="3"/>
  <c r="AB239" i="3"/>
  <c r="AC239" i="3"/>
  <c r="AD239" i="3"/>
  <c r="U240" i="3"/>
  <c r="V240" i="3"/>
  <c r="W240" i="3"/>
  <c r="X240" i="3"/>
  <c r="Y240" i="3"/>
  <c r="Z240" i="3"/>
  <c r="AA240" i="3"/>
  <c r="AB240" i="3"/>
  <c r="AC240" i="3"/>
  <c r="AD240" i="3"/>
  <c r="U241" i="3"/>
  <c r="V241" i="3"/>
  <c r="W241" i="3"/>
  <c r="X241" i="3"/>
  <c r="Y241" i="3"/>
  <c r="Z241" i="3"/>
  <c r="AA241" i="3"/>
  <c r="AB241" i="3"/>
  <c r="AC241" i="3"/>
  <c r="AD241" i="3"/>
  <c r="U242" i="3"/>
  <c r="V242" i="3"/>
  <c r="W242" i="3"/>
  <c r="X242" i="3"/>
  <c r="Y242" i="3"/>
  <c r="Z242" i="3"/>
  <c r="AA242" i="3"/>
  <c r="AB242" i="3"/>
  <c r="AC242" i="3"/>
  <c r="AD242" i="3"/>
  <c r="U243" i="3"/>
  <c r="V243" i="3"/>
  <c r="W243" i="3"/>
  <c r="X243" i="3"/>
  <c r="Y243" i="3"/>
  <c r="Z243" i="3"/>
  <c r="AA243" i="3"/>
  <c r="AB243" i="3"/>
  <c r="AC243" i="3"/>
  <c r="AD243" i="3"/>
  <c r="U244" i="3"/>
  <c r="V244" i="3"/>
  <c r="W244" i="3"/>
  <c r="X244" i="3"/>
  <c r="Y244" i="3"/>
  <c r="Z244" i="3"/>
  <c r="AA244" i="3"/>
  <c r="AB244" i="3"/>
  <c r="AC244" i="3"/>
  <c r="AD244" i="3"/>
  <c r="U245" i="3"/>
  <c r="V245" i="3"/>
  <c r="W245" i="3"/>
  <c r="X245" i="3"/>
  <c r="Y245" i="3"/>
  <c r="Z245" i="3"/>
  <c r="AA245" i="3"/>
  <c r="AB245" i="3"/>
  <c r="AC245" i="3"/>
  <c r="AD245" i="3"/>
  <c r="U246" i="3"/>
  <c r="V246" i="3"/>
  <c r="W246" i="3"/>
  <c r="X246" i="3"/>
  <c r="Y246" i="3"/>
  <c r="Z246" i="3"/>
  <c r="AA246" i="3"/>
  <c r="AB246" i="3"/>
  <c r="AC246" i="3"/>
  <c r="AD246" i="3"/>
  <c r="U247" i="3"/>
  <c r="V247" i="3"/>
  <c r="W247" i="3"/>
  <c r="X247" i="3"/>
  <c r="Y247" i="3"/>
  <c r="Z247" i="3"/>
  <c r="AA247" i="3"/>
  <c r="AB247" i="3"/>
  <c r="AC247" i="3"/>
  <c r="AD247" i="3"/>
  <c r="U248" i="3"/>
  <c r="V248" i="3"/>
  <c r="W248" i="3"/>
  <c r="X248" i="3"/>
  <c r="Y248" i="3"/>
  <c r="Z248" i="3"/>
  <c r="AA248" i="3"/>
  <c r="AB248" i="3"/>
  <c r="AC248" i="3"/>
  <c r="AD248" i="3"/>
  <c r="U249" i="3"/>
  <c r="V249" i="3"/>
  <c r="W249" i="3"/>
  <c r="X249" i="3"/>
  <c r="Y249" i="3"/>
  <c r="Z249" i="3"/>
  <c r="AA249" i="3"/>
  <c r="AB249" i="3"/>
  <c r="AC249" i="3"/>
  <c r="AD249" i="3"/>
  <c r="U250" i="3"/>
  <c r="V250" i="3"/>
  <c r="W250" i="3"/>
  <c r="X250" i="3"/>
  <c r="Y250" i="3"/>
  <c r="Z250" i="3"/>
  <c r="AA250" i="3"/>
  <c r="AB250" i="3"/>
  <c r="AC250" i="3"/>
  <c r="AD250" i="3"/>
  <c r="U251" i="3"/>
  <c r="V251" i="3"/>
  <c r="W251" i="3"/>
  <c r="X251" i="3"/>
  <c r="Y251" i="3"/>
  <c r="Z251" i="3"/>
  <c r="AA251" i="3"/>
  <c r="AB251" i="3"/>
  <c r="AC251" i="3"/>
  <c r="AD251" i="3"/>
  <c r="U252" i="3"/>
  <c r="V252" i="3"/>
  <c r="W252" i="3"/>
  <c r="X252" i="3"/>
  <c r="Y252" i="3"/>
  <c r="Z252" i="3"/>
  <c r="AA252" i="3"/>
  <c r="AB252" i="3"/>
  <c r="AC252" i="3"/>
  <c r="AD252" i="3"/>
  <c r="U253" i="3"/>
  <c r="V253" i="3"/>
  <c r="W253" i="3"/>
  <c r="X253" i="3"/>
  <c r="Y253" i="3"/>
  <c r="Z253" i="3"/>
  <c r="AA253" i="3"/>
  <c r="AB253" i="3"/>
  <c r="AC253" i="3"/>
  <c r="AD253" i="3"/>
  <c r="U254" i="3"/>
  <c r="V254" i="3"/>
  <c r="W254" i="3"/>
  <c r="X254" i="3"/>
  <c r="Y254" i="3"/>
  <c r="Z254" i="3"/>
  <c r="AA254" i="3"/>
  <c r="AB254" i="3"/>
  <c r="AC254" i="3"/>
  <c r="AD254" i="3"/>
  <c r="U255" i="3"/>
  <c r="V255" i="3"/>
  <c r="W255" i="3"/>
  <c r="X255" i="3"/>
  <c r="Y255" i="3"/>
  <c r="Z255" i="3"/>
  <c r="AA255" i="3"/>
  <c r="AB255" i="3"/>
  <c r="AC255" i="3"/>
  <c r="AD255" i="3"/>
  <c r="U256" i="3"/>
  <c r="V256" i="3"/>
  <c r="W256" i="3"/>
  <c r="X256" i="3"/>
  <c r="Y256" i="3"/>
  <c r="Z256" i="3"/>
  <c r="AA256" i="3"/>
  <c r="AB256" i="3"/>
  <c r="AC256" i="3"/>
  <c r="AD256" i="3"/>
  <c r="U257" i="3"/>
  <c r="V257" i="3"/>
  <c r="W257" i="3"/>
  <c r="X257" i="3"/>
  <c r="Y257" i="3"/>
  <c r="Z257" i="3"/>
  <c r="AA257" i="3"/>
  <c r="AB257" i="3"/>
  <c r="AC257" i="3"/>
  <c r="AD257" i="3"/>
  <c r="U258" i="3"/>
  <c r="V258" i="3"/>
  <c r="W258" i="3"/>
  <c r="X258" i="3"/>
  <c r="Y258" i="3"/>
  <c r="Z258" i="3"/>
  <c r="AA258" i="3"/>
  <c r="AB258" i="3"/>
  <c r="AC258" i="3"/>
  <c r="AD258" i="3"/>
  <c r="U259" i="3"/>
  <c r="V259" i="3"/>
  <c r="W259" i="3"/>
  <c r="X259" i="3"/>
  <c r="Y259" i="3"/>
  <c r="Z259" i="3"/>
  <c r="AA259" i="3"/>
  <c r="AB259" i="3"/>
  <c r="AC259" i="3"/>
  <c r="AD259" i="3"/>
  <c r="U260" i="3"/>
  <c r="V260" i="3"/>
  <c r="W260" i="3"/>
  <c r="X260" i="3"/>
  <c r="Y260" i="3"/>
  <c r="Z260" i="3"/>
  <c r="AA260" i="3"/>
  <c r="AB260" i="3"/>
  <c r="AC260" i="3"/>
  <c r="AD260" i="3"/>
  <c r="U261" i="3"/>
  <c r="V261" i="3"/>
  <c r="W261" i="3"/>
  <c r="X261" i="3"/>
  <c r="Y261" i="3"/>
  <c r="Z261" i="3"/>
  <c r="AA261" i="3"/>
  <c r="AB261" i="3"/>
  <c r="AC261" i="3"/>
  <c r="AD261" i="3"/>
  <c r="U262" i="3"/>
  <c r="V262" i="3"/>
  <c r="W262" i="3"/>
  <c r="X262" i="3"/>
  <c r="Y262" i="3"/>
  <c r="Z262" i="3"/>
  <c r="AA262" i="3"/>
  <c r="AB262" i="3"/>
  <c r="AC262" i="3"/>
  <c r="AD262" i="3"/>
  <c r="U263" i="3"/>
  <c r="V263" i="3"/>
  <c r="W263" i="3"/>
  <c r="X263" i="3"/>
  <c r="Y263" i="3"/>
  <c r="Z263" i="3"/>
  <c r="AA263" i="3"/>
  <c r="AB263" i="3"/>
  <c r="AC263" i="3"/>
  <c r="AD263" i="3"/>
  <c r="U264" i="3"/>
  <c r="V264" i="3"/>
  <c r="W264" i="3"/>
  <c r="X264" i="3"/>
  <c r="Y264" i="3"/>
  <c r="Z264" i="3"/>
  <c r="AA264" i="3"/>
  <c r="AB264" i="3"/>
  <c r="AC264" i="3"/>
  <c r="AD264" i="3"/>
  <c r="U265" i="3"/>
  <c r="V265" i="3"/>
  <c r="W265" i="3"/>
  <c r="X265" i="3"/>
  <c r="Y265" i="3"/>
  <c r="Z265" i="3"/>
  <c r="AA265" i="3"/>
  <c r="AB265" i="3"/>
  <c r="AC265" i="3"/>
  <c r="AD265" i="3"/>
  <c r="U266" i="3"/>
  <c r="V266" i="3"/>
  <c r="W266" i="3"/>
  <c r="X266" i="3"/>
  <c r="Y266" i="3"/>
  <c r="Z266" i="3"/>
  <c r="AA266" i="3"/>
  <c r="AB266" i="3"/>
  <c r="AC266" i="3"/>
  <c r="AD266" i="3"/>
  <c r="U267" i="3"/>
  <c r="V267" i="3"/>
  <c r="W267" i="3"/>
  <c r="X267" i="3"/>
  <c r="Y267" i="3"/>
  <c r="Z267" i="3"/>
  <c r="AA267" i="3"/>
  <c r="AB267" i="3"/>
  <c r="AC267" i="3"/>
  <c r="AD267" i="3"/>
  <c r="U268" i="3"/>
  <c r="V268" i="3"/>
  <c r="W268" i="3"/>
  <c r="X268" i="3"/>
  <c r="Y268" i="3"/>
  <c r="Z268" i="3"/>
  <c r="AA268" i="3"/>
  <c r="AB268" i="3"/>
  <c r="AC268" i="3"/>
  <c r="AD268" i="3"/>
  <c r="U269" i="3"/>
  <c r="V269" i="3"/>
  <c r="W269" i="3"/>
  <c r="X269" i="3"/>
  <c r="Y269" i="3"/>
  <c r="Z269" i="3"/>
  <c r="AA269" i="3"/>
  <c r="AB269" i="3"/>
  <c r="AC269" i="3"/>
  <c r="AD269" i="3"/>
  <c r="U270" i="3"/>
  <c r="V270" i="3"/>
  <c r="W270" i="3"/>
  <c r="X270" i="3"/>
  <c r="Y270" i="3"/>
  <c r="Z270" i="3"/>
  <c r="AA270" i="3"/>
  <c r="AB270" i="3"/>
  <c r="AC270" i="3"/>
  <c r="AD270" i="3"/>
  <c r="U271" i="3"/>
  <c r="V271" i="3"/>
  <c r="W271" i="3"/>
  <c r="X271" i="3"/>
  <c r="Y271" i="3"/>
  <c r="Z271" i="3"/>
  <c r="AA271" i="3"/>
  <c r="AB271" i="3"/>
  <c r="AC271" i="3"/>
  <c r="AD271" i="3"/>
  <c r="U272" i="3"/>
  <c r="V272" i="3"/>
  <c r="W272" i="3"/>
  <c r="X272" i="3"/>
  <c r="Y272" i="3"/>
  <c r="Z272" i="3"/>
  <c r="AA272" i="3"/>
  <c r="AB272" i="3"/>
  <c r="AC272" i="3"/>
  <c r="AD272" i="3"/>
  <c r="U273" i="3"/>
  <c r="V273" i="3"/>
  <c r="W273" i="3"/>
  <c r="X273" i="3"/>
  <c r="Y273" i="3"/>
  <c r="Z273" i="3"/>
  <c r="AA273" i="3"/>
  <c r="AB273" i="3"/>
  <c r="AC273" i="3"/>
  <c r="AD273" i="3"/>
  <c r="U274" i="3"/>
  <c r="V274" i="3"/>
  <c r="W274" i="3"/>
  <c r="X274" i="3"/>
  <c r="Y274" i="3"/>
  <c r="Z274" i="3"/>
  <c r="AA274" i="3"/>
  <c r="AB274" i="3"/>
  <c r="AC274" i="3"/>
  <c r="AD274" i="3"/>
  <c r="U275" i="3"/>
  <c r="V275" i="3"/>
  <c r="W275" i="3"/>
  <c r="X275" i="3"/>
  <c r="Y275" i="3"/>
  <c r="Z275" i="3"/>
  <c r="AA275" i="3"/>
  <c r="AB275" i="3"/>
  <c r="AC275" i="3"/>
  <c r="AD275" i="3"/>
  <c r="U276" i="3"/>
  <c r="V276" i="3"/>
  <c r="W276" i="3"/>
  <c r="X276" i="3"/>
  <c r="Y276" i="3"/>
  <c r="Z276" i="3"/>
  <c r="AA276" i="3"/>
  <c r="AB276" i="3"/>
  <c r="AC276" i="3"/>
  <c r="AD276" i="3"/>
  <c r="U278" i="3"/>
  <c r="V278" i="3"/>
  <c r="W278" i="3"/>
  <c r="X278" i="3"/>
  <c r="Y278" i="3"/>
  <c r="Z278" i="3"/>
  <c r="AA278" i="3"/>
  <c r="AB278" i="3"/>
  <c r="AC278" i="3"/>
  <c r="AD278" i="3"/>
  <c r="U279" i="3"/>
  <c r="V279" i="3"/>
  <c r="W279" i="3"/>
  <c r="X279" i="3"/>
  <c r="Y279" i="3"/>
  <c r="Z279" i="3"/>
  <c r="AA279" i="3"/>
  <c r="AB279" i="3"/>
  <c r="AC279" i="3"/>
  <c r="AD279" i="3"/>
  <c r="U280" i="3"/>
  <c r="V280" i="3"/>
  <c r="W280" i="3"/>
  <c r="X280" i="3"/>
  <c r="Y280" i="3"/>
  <c r="Z280" i="3"/>
  <c r="AA280" i="3"/>
  <c r="AB280" i="3"/>
  <c r="AC280" i="3"/>
  <c r="AD280" i="3"/>
  <c r="U281" i="3"/>
  <c r="V281" i="3"/>
  <c r="W281" i="3"/>
  <c r="X281" i="3"/>
  <c r="Y281" i="3"/>
  <c r="Z281" i="3"/>
  <c r="AA281" i="3"/>
  <c r="AB281" i="3"/>
  <c r="AC281" i="3"/>
  <c r="AD281" i="3"/>
  <c r="U282" i="3"/>
  <c r="V282" i="3"/>
  <c r="W282" i="3"/>
  <c r="X282" i="3"/>
  <c r="Y282" i="3"/>
  <c r="Z282" i="3"/>
  <c r="AA282" i="3"/>
  <c r="AB282" i="3"/>
  <c r="AC282" i="3"/>
  <c r="AD282" i="3"/>
  <c r="U283" i="3"/>
  <c r="V283" i="3"/>
  <c r="W283" i="3"/>
  <c r="X283" i="3"/>
  <c r="Y283" i="3"/>
  <c r="Z283" i="3"/>
  <c r="AA283" i="3"/>
  <c r="AB283" i="3"/>
  <c r="AC283" i="3"/>
  <c r="AD283" i="3"/>
  <c r="U284" i="3"/>
  <c r="V284" i="3"/>
  <c r="W284" i="3"/>
  <c r="X284" i="3"/>
  <c r="Y284" i="3"/>
  <c r="Z284" i="3"/>
  <c r="AA284" i="3"/>
  <c r="AB284" i="3"/>
  <c r="AC284" i="3"/>
  <c r="AD284" i="3"/>
  <c r="U285" i="3"/>
  <c r="V285" i="3"/>
  <c r="W285" i="3"/>
  <c r="X285" i="3"/>
  <c r="Y285" i="3"/>
  <c r="Z285" i="3"/>
  <c r="AA285" i="3"/>
  <c r="AB285" i="3"/>
  <c r="AC285" i="3"/>
  <c r="AD285" i="3"/>
  <c r="U286" i="3"/>
  <c r="V286" i="3"/>
  <c r="W286" i="3"/>
  <c r="X286" i="3"/>
  <c r="Y286" i="3"/>
  <c r="Z286" i="3"/>
  <c r="AA286" i="3"/>
  <c r="AB286" i="3"/>
  <c r="AC286" i="3"/>
  <c r="AD286" i="3"/>
  <c r="U287" i="3"/>
  <c r="V287" i="3"/>
  <c r="W287" i="3"/>
  <c r="X287" i="3"/>
  <c r="Y287" i="3"/>
  <c r="Z287" i="3"/>
  <c r="AA287" i="3"/>
  <c r="AB287" i="3"/>
  <c r="AC287" i="3"/>
  <c r="AD287" i="3"/>
  <c r="U288" i="3"/>
  <c r="V288" i="3"/>
  <c r="W288" i="3"/>
  <c r="X288" i="3"/>
  <c r="Y288" i="3"/>
  <c r="Z288" i="3"/>
  <c r="AA288" i="3"/>
  <c r="AB288" i="3"/>
  <c r="AC288" i="3"/>
  <c r="AD288" i="3"/>
  <c r="U289" i="3"/>
  <c r="V289" i="3"/>
  <c r="W289" i="3"/>
  <c r="X289" i="3"/>
  <c r="Y289" i="3"/>
  <c r="Z289" i="3"/>
  <c r="AA289" i="3"/>
  <c r="AB289" i="3"/>
  <c r="AC289" i="3"/>
  <c r="AD289" i="3"/>
  <c r="U290" i="3"/>
  <c r="V290" i="3"/>
  <c r="W290" i="3"/>
  <c r="X290" i="3"/>
  <c r="Y290" i="3"/>
  <c r="Z290" i="3"/>
  <c r="AA290" i="3"/>
  <c r="AB290" i="3"/>
  <c r="AC290" i="3"/>
  <c r="AD290" i="3"/>
  <c r="U291" i="3"/>
  <c r="V291" i="3"/>
  <c r="W291" i="3"/>
  <c r="X291" i="3"/>
  <c r="Y291" i="3"/>
  <c r="Z291" i="3"/>
  <c r="AA291" i="3"/>
  <c r="AB291" i="3"/>
  <c r="AC291" i="3"/>
  <c r="AD291" i="3"/>
  <c r="U292" i="3"/>
  <c r="V292" i="3"/>
  <c r="W292" i="3"/>
  <c r="X292" i="3"/>
  <c r="Y292" i="3"/>
  <c r="Z292" i="3"/>
  <c r="AA292" i="3"/>
  <c r="AB292" i="3"/>
  <c r="AC292" i="3"/>
  <c r="AD292" i="3"/>
  <c r="U293" i="3"/>
  <c r="V293" i="3"/>
  <c r="W293" i="3"/>
  <c r="X293" i="3"/>
  <c r="Y293" i="3"/>
  <c r="Z293" i="3"/>
  <c r="AA293" i="3"/>
  <c r="AB293" i="3"/>
  <c r="AC293" i="3"/>
  <c r="AD293" i="3"/>
  <c r="U294" i="3"/>
  <c r="V294" i="3"/>
  <c r="W294" i="3"/>
  <c r="X294" i="3"/>
  <c r="Y294" i="3"/>
  <c r="Z294" i="3"/>
  <c r="AA294" i="3"/>
  <c r="AB294" i="3"/>
  <c r="AC294" i="3"/>
  <c r="AD294" i="3"/>
  <c r="U295" i="3"/>
  <c r="V295" i="3"/>
  <c r="W295" i="3"/>
  <c r="X295" i="3"/>
  <c r="Y295" i="3"/>
  <c r="Z295" i="3"/>
  <c r="AA295" i="3"/>
  <c r="AB295" i="3"/>
  <c r="AC295" i="3"/>
  <c r="AD295" i="3"/>
  <c r="U296" i="3"/>
  <c r="V296" i="3"/>
  <c r="W296" i="3"/>
  <c r="X296" i="3"/>
  <c r="Y296" i="3"/>
  <c r="Z296" i="3"/>
  <c r="AA296" i="3"/>
  <c r="AB296" i="3"/>
  <c r="AC296" i="3"/>
  <c r="AD296" i="3"/>
  <c r="U297" i="3"/>
  <c r="V297" i="3"/>
  <c r="W297" i="3"/>
  <c r="X297" i="3"/>
  <c r="Y297" i="3"/>
  <c r="Z297" i="3"/>
  <c r="AA297" i="3"/>
  <c r="AB297" i="3"/>
  <c r="AC297" i="3"/>
  <c r="AD297" i="3"/>
  <c r="U298" i="3"/>
  <c r="V298" i="3"/>
  <c r="W298" i="3"/>
  <c r="X298" i="3"/>
  <c r="Y298" i="3"/>
  <c r="Z298" i="3"/>
  <c r="AA298" i="3"/>
  <c r="AB298" i="3"/>
  <c r="AC298" i="3"/>
  <c r="AD298" i="3"/>
  <c r="U299" i="3"/>
  <c r="V299" i="3"/>
  <c r="W299" i="3"/>
  <c r="X299" i="3"/>
  <c r="Y299" i="3"/>
  <c r="Z299" i="3"/>
  <c r="AA299" i="3"/>
  <c r="AB299" i="3"/>
  <c r="AC299" i="3"/>
  <c r="AD299" i="3"/>
  <c r="U300" i="3"/>
  <c r="V300" i="3"/>
  <c r="W300" i="3"/>
  <c r="X300" i="3"/>
  <c r="Y300" i="3"/>
  <c r="Z300" i="3"/>
  <c r="AA300" i="3"/>
  <c r="AB300" i="3"/>
  <c r="AC300" i="3"/>
  <c r="AD300" i="3"/>
  <c r="U301" i="3"/>
  <c r="V301" i="3"/>
  <c r="W301" i="3"/>
  <c r="X301" i="3"/>
  <c r="Y301" i="3"/>
  <c r="Z301" i="3"/>
  <c r="AA301" i="3"/>
  <c r="AB301" i="3"/>
  <c r="AC301" i="3"/>
  <c r="AD301" i="3"/>
  <c r="U302" i="3"/>
  <c r="V302" i="3"/>
  <c r="W302" i="3"/>
  <c r="X302" i="3"/>
  <c r="Y302" i="3"/>
  <c r="Z302" i="3"/>
  <c r="AA302" i="3"/>
  <c r="AB302" i="3"/>
  <c r="AC302" i="3"/>
  <c r="AD302" i="3"/>
  <c r="U303" i="3"/>
  <c r="V303" i="3"/>
  <c r="W303" i="3"/>
  <c r="X303" i="3"/>
  <c r="Y303" i="3"/>
  <c r="Z303" i="3"/>
  <c r="AA303" i="3"/>
  <c r="AB303" i="3"/>
  <c r="AC303" i="3"/>
  <c r="AD303" i="3"/>
  <c r="U304" i="3"/>
  <c r="V304" i="3"/>
  <c r="W304" i="3"/>
  <c r="X304" i="3"/>
  <c r="Y304" i="3"/>
  <c r="Z304" i="3"/>
  <c r="AA304" i="3"/>
  <c r="AB304" i="3"/>
  <c r="AC304" i="3"/>
  <c r="AD304" i="3"/>
  <c r="U305" i="3"/>
  <c r="V305" i="3"/>
  <c r="W305" i="3"/>
  <c r="X305" i="3"/>
  <c r="Y305" i="3"/>
  <c r="Z305" i="3"/>
  <c r="AA305" i="3"/>
  <c r="AB305" i="3"/>
  <c r="AC305" i="3"/>
  <c r="AD305" i="3"/>
  <c r="U306" i="3"/>
  <c r="V306" i="3"/>
  <c r="W306" i="3"/>
  <c r="X306" i="3"/>
  <c r="Y306" i="3"/>
  <c r="Z306" i="3"/>
  <c r="AA306" i="3"/>
  <c r="AB306" i="3"/>
  <c r="AC306" i="3"/>
  <c r="AD306" i="3"/>
  <c r="U307" i="3"/>
  <c r="V307" i="3"/>
  <c r="W307" i="3"/>
  <c r="X307" i="3"/>
  <c r="Y307" i="3"/>
  <c r="Z307" i="3"/>
  <c r="AA307" i="3"/>
  <c r="AB307" i="3"/>
  <c r="AC307" i="3"/>
  <c r="AD307" i="3"/>
  <c r="U308" i="3"/>
  <c r="V308" i="3"/>
  <c r="W308" i="3"/>
  <c r="X308" i="3"/>
  <c r="Y308" i="3"/>
  <c r="Z308" i="3"/>
  <c r="AA308" i="3"/>
  <c r="AB308" i="3"/>
  <c r="AC308" i="3"/>
  <c r="AD308" i="3"/>
  <c r="U309" i="3"/>
  <c r="V309" i="3"/>
  <c r="W309" i="3"/>
  <c r="X309" i="3"/>
  <c r="Y309" i="3"/>
  <c r="Z309" i="3"/>
  <c r="AA309" i="3"/>
  <c r="AB309" i="3"/>
  <c r="AC309" i="3"/>
  <c r="AD309" i="3"/>
  <c r="U310" i="3"/>
  <c r="V310" i="3"/>
  <c r="W310" i="3"/>
  <c r="X310" i="3"/>
  <c r="Y310" i="3"/>
  <c r="Z310" i="3"/>
  <c r="AA310" i="3"/>
  <c r="AB310" i="3"/>
  <c r="AC310" i="3"/>
  <c r="AD310" i="3"/>
  <c r="U311" i="3"/>
  <c r="V311" i="3"/>
  <c r="W311" i="3"/>
  <c r="X311" i="3"/>
  <c r="Y311" i="3"/>
  <c r="Z311" i="3"/>
  <c r="AA311" i="3"/>
  <c r="AB311" i="3"/>
  <c r="AC311" i="3"/>
  <c r="AD311" i="3"/>
  <c r="U312" i="3"/>
  <c r="V312" i="3"/>
  <c r="W312" i="3"/>
  <c r="X312" i="3"/>
  <c r="Y312" i="3"/>
  <c r="Z312" i="3"/>
  <c r="AA312" i="3"/>
  <c r="AB312" i="3"/>
  <c r="AC312" i="3"/>
  <c r="AD312" i="3"/>
  <c r="U313" i="3"/>
  <c r="V313" i="3"/>
  <c r="W313" i="3"/>
  <c r="X313" i="3"/>
  <c r="Y313" i="3"/>
  <c r="Z313" i="3"/>
  <c r="AA313" i="3"/>
  <c r="AB313" i="3"/>
  <c r="AC313" i="3"/>
  <c r="AD313" i="3"/>
  <c r="U314" i="3"/>
  <c r="V314" i="3"/>
  <c r="W314" i="3"/>
  <c r="X314" i="3"/>
  <c r="Y314" i="3"/>
  <c r="Z314" i="3"/>
  <c r="AA314" i="3"/>
  <c r="AB314" i="3"/>
  <c r="AC314" i="3"/>
  <c r="AD314" i="3"/>
  <c r="U315" i="3"/>
  <c r="V315" i="3"/>
  <c r="W315" i="3"/>
  <c r="X315" i="3"/>
  <c r="Y315" i="3"/>
  <c r="Z315" i="3"/>
  <c r="AA315" i="3"/>
  <c r="AB315" i="3"/>
  <c r="AC315" i="3"/>
  <c r="AD315" i="3"/>
  <c r="U316" i="3"/>
  <c r="V316" i="3"/>
  <c r="W316" i="3"/>
  <c r="X316" i="3"/>
  <c r="Y316" i="3"/>
  <c r="Z316" i="3"/>
  <c r="AA316" i="3"/>
  <c r="AB316" i="3"/>
  <c r="AC316" i="3"/>
  <c r="AD316" i="3"/>
  <c r="U317" i="3"/>
  <c r="V317" i="3"/>
  <c r="W317" i="3"/>
  <c r="X317" i="3"/>
  <c r="Y317" i="3"/>
  <c r="Z317" i="3"/>
  <c r="AA317" i="3"/>
  <c r="AB317" i="3"/>
  <c r="AC317" i="3"/>
  <c r="AD317" i="3"/>
  <c r="U318" i="3"/>
  <c r="V318" i="3"/>
  <c r="W318" i="3"/>
  <c r="X318" i="3"/>
  <c r="Y318" i="3"/>
  <c r="Z318" i="3"/>
  <c r="AA318" i="3"/>
  <c r="AB318" i="3"/>
  <c r="AC318" i="3"/>
  <c r="AD318" i="3"/>
  <c r="U319" i="3"/>
  <c r="V319" i="3"/>
  <c r="W319" i="3"/>
  <c r="X319" i="3"/>
  <c r="Y319" i="3"/>
  <c r="Z319" i="3"/>
  <c r="AA319" i="3"/>
  <c r="AB319" i="3"/>
  <c r="AC319" i="3"/>
  <c r="AD319" i="3"/>
  <c r="U320" i="3"/>
  <c r="V320" i="3"/>
  <c r="W320" i="3"/>
  <c r="X320" i="3"/>
  <c r="Y320" i="3"/>
  <c r="Z320" i="3"/>
  <c r="AA320" i="3"/>
  <c r="AB320" i="3"/>
  <c r="AC320" i="3"/>
  <c r="AD320" i="3"/>
  <c r="U322" i="3"/>
  <c r="V322" i="3"/>
  <c r="W322" i="3"/>
  <c r="X322" i="3"/>
  <c r="Y322" i="3"/>
  <c r="Z322" i="3"/>
  <c r="AA322" i="3"/>
  <c r="AB322" i="3"/>
  <c r="AC322" i="3"/>
  <c r="AD322" i="3"/>
  <c r="U323" i="3"/>
  <c r="V323" i="3"/>
  <c r="W323" i="3"/>
  <c r="X323" i="3"/>
  <c r="Y323" i="3"/>
  <c r="Z323" i="3"/>
  <c r="AA323" i="3"/>
  <c r="AB323" i="3"/>
  <c r="AC323" i="3"/>
  <c r="AD323" i="3"/>
  <c r="U324" i="3"/>
  <c r="V324" i="3"/>
  <c r="W324" i="3"/>
  <c r="X324" i="3"/>
  <c r="Y324" i="3"/>
  <c r="Z324" i="3"/>
  <c r="AA324" i="3"/>
  <c r="AB324" i="3"/>
  <c r="AC324" i="3"/>
  <c r="AD324" i="3"/>
  <c r="U325" i="3"/>
  <c r="V325" i="3"/>
  <c r="W325" i="3"/>
  <c r="X325" i="3"/>
  <c r="Y325" i="3"/>
  <c r="Z325" i="3"/>
  <c r="AA325" i="3"/>
  <c r="AB325" i="3"/>
  <c r="AC325" i="3"/>
  <c r="AD325" i="3"/>
  <c r="U326" i="3"/>
  <c r="V326" i="3"/>
  <c r="W326" i="3"/>
  <c r="X326" i="3"/>
  <c r="Y326" i="3"/>
  <c r="Z326" i="3"/>
  <c r="AA326" i="3"/>
  <c r="AB326" i="3"/>
  <c r="AC326" i="3"/>
  <c r="AD326" i="3"/>
  <c r="U327" i="3"/>
  <c r="V327" i="3"/>
  <c r="W327" i="3"/>
  <c r="X327" i="3"/>
  <c r="Y327" i="3"/>
  <c r="Z327" i="3"/>
  <c r="AA327" i="3"/>
  <c r="AB327" i="3"/>
  <c r="AC327" i="3"/>
  <c r="AD327" i="3"/>
  <c r="U328" i="3"/>
  <c r="V328" i="3"/>
  <c r="W328" i="3"/>
  <c r="X328" i="3"/>
  <c r="Y328" i="3"/>
  <c r="Z328" i="3"/>
  <c r="AA328" i="3"/>
  <c r="AB328" i="3"/>
  <c r="AC328" i="3"/>
  <c r="AD328" i="3"/>
  <c r="U329" i="3"/>
  <c r="V329" i="3"/>
  <c r="W329" i="3"/>
  <c r="X329" i="3"/>
  <c r="Y329" i="3"/>
  <c r="Z329" i="3"/>
  <c r="AA329" i="3"/>
  <c r="AB329" i="3"/>
  <c r="AC329" i="3"/>
  <c r="AD329" i="3"/>
  <c r="U330" i="3"/>
  <c r="V330" i="3"/>
  <c r="W330" i="3"/>
  <c r="X330" i="3"/>
  <c r="Y330" i="3"/>
  <c r="Z330" i="3"/>
  <c r="AA330" i="3"/>
  <c r="AB330" i="3"/>
  <c r="AC330" i="3"/>
  <c r="AD330" i="3"/>
  <c r="U331" i="3"/>
  <c r="V331" i="3"/>
  <c r="W331" i="3"/>
  <c r="X331" i="3"/>
  <c r="Y331" i="3"/>
  <c r="Z331" i="3"/>
  <c r="AA331" i="3"/>
  <c r="AB331" i="3"/>
  <c r="AC331" i="3"/>
  <c r="AD331" i="3"/>
  <c r="U332" i="3"/>
  <c r="V332" i="3"/>
  <c r="W332" i="3"/>
  <c r="X332" i="3"/>
  <c r="Y332" i="3"/>
  <c r="Z332" i="3"/>
  <c r="AA332" i="3"/>
  <c r="AB332" i="3"/>
  <c r="AC332" i="3"/>
  <c r="AD332" i="3"/>
  <c r="U333" i="3"/>
  <c r="V333" i="3"/>
  <c r="W333" i="3"/>
  <c r="X333" i="3"/>
  <c r="Y333" i="3"/>
  <c r="Z333" i="3"/>
  <c r="AA333" i="3"/>
  <c r="AB333" i="3"/>
  <c r="AC333" i="3"/>
  <c r="AD333" i="3"/>
  <c r="U334" i="3"/>
  <c r="V334" i="3"/>
  <c r="W334" i="3"/>
  <c r="X334" i="3"/>
  <c r="Y334" i="3"/>
  <c r="Z334" i="3"/>
  <c r="AA334" i="3"/>
  <c r="AB334" i="3"/>
  <c r="AC334" i="3"/>
  <c r="AD334" i="3"/>
  <c r="U335" i="3"/>
  <c r="V335" i="3"/>
  <c r="W335" i="3"/>
  <c r="X335" i="3"/>
  <c r="Y335" i="3"/>
  <c r="Z335" i="3"/>
  <c r="AA335" i="3"/>
  <c r="AB335" i="3"/>
  <c r="AC335" i="3"/>
  <c r="AD335" i="3"/>
  <c r="U336" i="3"/>
  <c r="V336" i="3"/>
  <c r="W336" i="3"/>
  <c r="X336" i="3"/>
  <c r="Y336" i="3"/>
  <c r="Z336" i="3"/>
  <c r="AA336" i="3"/>
  <c r="AB336" i="3"/>
  <c r="AC336" i="3"/>
  <c r="AD336" i="3"/>
  <c r="U337" i="3"/>
  <c r="V337" i="3"/>
  <c r="W337" i="3"/>
  <c r="X337" i="3"/>
  <c r="Y337" i="3"/>
  <c r="Z337" i="3"/>
  <c r="AA337" i="3"/>
  <c r="AB337" i="3"/>
  <c r="AC337" i="3"/>
  <c r="AD337" i="3"/>
  <c r="U338" i="3"/>
  <c r="V338" i="3"/>
  <c r="W338" i="3"/>
  <c r="X338" i="3"/>
  <c r="Y338" i="3"/>
  <c r="Z338" i="3"/>
  <c r="AA338" i="3"/>
  <c r="AB338" i="3"/>
  <c r="AC338" i="3"/>
  <c r="AD338" i="3"/>
  <c r="U339" i="3"/>
  <c r="V339" i="3"/>
  <c r="W339" i="3"/>
  <c r="X339" i="3"/>
  <c r="Y339" i="3"/>
  <c r="Z339" i="3"/>
  <c r="AA339" i="3"/>
  <c r="AB339" i="3"/>
  <c r="AC339" i="3"/>
  <c r="AD339" i="3"/>
  <c r="U340" i="3"/>
  <c r="V340" i="3"/>
  <c r="W340" i="3"/>
  <c r="X340" i="3"/>
  <c r="Y340" i="3"/>
  <c r="Z340" i="3"/>
  <c r="AA340" i="3"/>
  <c r="AB340" i="3"/>
  <c r="AC340" i="3"/>
  <c r="AD340" i="3"/>
  <c r="U341" i="3"/>
  <c r="V341" i="3"/>
  <c r="W341" i="3"/>
  <c r="X341" i="3"/>
  <c r="Y341" i="3"/>
  <c r="Z341" i="3"/>
  <c r="AA341" i="3"/>
  <c r="AB341" i="3"/>
  <c r="AC341" i="3"/>
  <c r="AD341" i="3"/>
  <c r="U342" i="3"/>
  <c r="V342" i="3"/>
  <c r="W342" i="3"/>
  <c r="X342" i="3"/>
  <c r="Y342" i="3"/>
  <c r="Z342" i="3"/>
  <c r="AA342" i="3"/>
  <c r="AB342" i="3"/>
  <c r="AC342" i="3"/>
  <c r="AD342" i="3"/>
  <c r="U343" i="3"/>
  <c r="V343" i="3"/>
  <c r="W343" i="3"/>
  <c r="X343" i="3"/>
  <c r="Y343" i="3"/>
  <c r="Z343" i="3"/>
  <c r="AA343" i="3"/>
  <c r="AB343" i="3"/>
  <c r="AC343" i="3"/>
  <c r="AD343" i="3"/>
  <c r="U344" i="3"/>
  <c r="V344" i="3"/>
  <c r="W344" i="3"/>
  <c r="X344" i="3"/>
  <c r="Y344" i="3"/>
  <c r="Z344" i="3"/>
  <c r="AA344" i="3"/>
  <c r="AB344" i="3"/>
  <c r="AC344" i="3"/>
  <c r="AD344" i="3"/>
  <c r="U345" i="3"/>
  <c r="V345" i="3"/>
  <c r="W345" i="3"/>
  <c r="X345" i="3"/>
  <c r="Y345" i="3"/>
  <c r="Z345" i="3"/>
  <c r="AA345" i="3"/>
  <c r="AB345" i="3"/>
  <c r="AC345" i="3"/>
  <c r="AD345" i="3"/>
  <c r="U346" i="3"/>
  <c r="V346" i="3"/>
  <c r="W346" i="3"/>
  <c r="X346" i="3"/>
  <c r="Y346" i="3"/>
  <c r="Z346" i="3"/>
  <c r="AA346" i="3"/>
  <c r="AB346" i="3"/>
  <c r="AC346" i="3"/>
  <c r="AD346" i="3"/>
  <c r="U347" i="3"/>
  <c r="V347" i="3"/>
  <c r="W347" i="3"/>
  <c r="X347" i="3"/>
  <c r="Y347" i="3"/>
  <c r="Z347" i="3"/>
  <c r="AA347" i="3"/>
  <c r="AB347" i="3"/>
  <c r="AC347" i="3"/>
  <c r="AD347" i="3"/>
  <c r="U348" i="3"/>
  <c r="V348" i="3"/>
  <c r="W348" i="3"/>
  <c r="X348" i="3"/>
  <c r="Y348" i="3"/>
  <c r="Z348" i="3"/>
  <c r="AA348" i="3"/>
  <c r="AB348" i="3"/>
  <c r="AC348" i="3"/>
  <c r="AD348" i="3"/>
  <c r="U349" i="3"/>
  <c r="V349" i="3"/>
  <c r="W349" i="3"/>
  <c r="X349" i="3"/>
  <c r="Y349" i="3"/>
  <c r="Z349" i="3"/>
  <c r="AA349" i="3"/>
  <c r="AB349" i="3"/>
  <c r="AC349" i="3"/>
  <c r="AD349" i="3"/>
  <c r="U350" i="3"/>
  <c r="V350" i="3"/>
  <c r="W350" i="3"/>
  <c r="X350" i="3"/>
  <c r="Y350" i="3"/>
  <c r="Z350" i="3"/>
  <c r="AA350" i="3"/>
  <c r="AB350" i="3"/>
  <c r="AC350" i="3"/>
  <c r="AD350" i="3"/>
  <c r="U351" i="3"/>
  <c r="V351" i="3"/>
  <c r="W351" i="3"/>
  <c r="X351" i="3"/>
  <c r="Y351" i="3"/>
  <c r="Z351" i="3"/>
  <c r="AA351" i="3"/>
  <c r="AB351" i="3"/>
  <c r="AC351" i="3"/>
  <c r="AD351" i="3"/>
  <c r="U352" i="3"/>
  <c r="V352" i="3"/>
  <c r="W352" i="3"/>
  <c r="X352" i="3"/>
  <c r="Y352" i="3"/>
  <c r="Z352" i="3"/>
  <c r="AA352" i="3"/>
  <c r="AB352" i="3"/>
  <c r="AC352" i="3"/>
  <c r="AD352" i="3"/>
  <c r="U353" i="3"/>
  <c r="V353" i="3"/>
  <c r="W353" i="3"/>
  <c r="X353" i="3"/>
  <c r="Y353" i="3"/>
  <c r="Z353" i="3"/>
  <c r="AA353" i="3"/>
  <c r="AB353" i="3"/>
  <c r="AC353" i="3"/>
  <c r="AD353" i="3"/>
  <c r="U354" i="3"/>
  <c r="V354" i="3"/>
  <c r="W354" i="3"/>
  <c r="X354" i="3"/>
  <c r="Y354" i="3"/>
  <c r="Z354" i="3"/>
  <c r="AA354" i="3"/>
  <c r="AB354" i="3"/>
  <c r="AC354" i="3"/>
  <c r="AD354" i="3"/>
  <c r="U355" i="3"/>
  <c r="V355" i="3"/>
  <c r="W355" i="3"/>
  <c r="X355" i="3"/>
  <c r="Y355" i="3"/>
  <c r="Z355" i="3"/>
  <c r="AA355" i="3"/>
  <c r="AB355" i="3"/>
  <c r="AC355" i="3"/>
  <c r="AD355" i="3"/>
  <c r="U356" i="3"/>
  <c r="V356" i="3"/>
  <c r="W356" i="3"/>
  <c r="X356" i="3"/>
  <c r="Y356" i="3"/>
  <c r="Z356" i="3"/>
  <c r="AA356" i="3"/>
  <c r="AB356" i="3"/>
  <c r="AC356" i="3"/>
  <c r="AD356" i="3"/>
  <c r="U357" i="3"/>
  <c r="V357" i="3"/>
  <c r="W357" i="3"/>
  <c r="X357" i="3"/>
  <c r="Y357" i="3"/>
  <c r="Z357" i="3"/>
  <c r="AA357" i="3"/>
  <c r="AB357" i="3"/>
  <c r="AC357" i="3"/>
  <c r="AD357" i="3"/>
  <c r="P235" i="3"/>
  <c r="Q235" i="3"/>
  <c r="R235" i="3"/>
  <c r="S235" i="3"/>
  <c r="T235" i="3"/>
  <c r="P236" i="3"/>
  <c r="Q236" i="3"/>
  <c r="R236" i="3"/>
  <c r="S236" i="3"/>
  <c r="T236" i="3"/>
  <c r="P237" i="3"/>
  <c r="Q237" i="3"/>
  <c r="R237" i="3"/>
  <c r="S237" i="3"/>
  <c r="T237" i="3"/>
  <c r="P238" i="3"/>
  <c r="Q238" i="3"/>
  <c r="R238" i="3"/>
  <c r="S238" i="3"/>
  <c r="T238" i="3"/>
  <c r="P239" i="3"/>
  <c r="Q239" i="3"/>
  <c r="R239" i="3"/>
  <c r="S239" i="3"/>
  <c r="T239" i="3"/>
  <c r="P240" i="3"/>
  <c r="Q240" i="3"/>
  <c r="R240" i="3"/>
  <c r="S240" i="3"/>
  <c r="T240" i="3"/>
  <c r="P241" i="3"/>
  <c r="Q241" i="3"/>
  <c r="R241" i="3"/>
  <c r="S241" i="3"/>
  <c r="T241" i="3"/>
  <c r="P242" i="3"/>
  <c r="Q242" i="3"/>
  <c r="R242" i="3"/>
  <c r="S242" i="3"/>
  <c r="T242" i="3"/>
  <c r="P243" i="3"/>
  <c r="Q243" i="3"/>
  <c r="R243" i="3"/>
  <c r="S243" i="3"/>
  <c r="T243" i="3"/>
  <c r="P244" i="3"/>
  <c r="Q244" i="3"/>
  <c r="R244" i="3"/>
  <c r="S244" i="3"/>
  <c r="T244" i="3"/>
  <c r="P245" i="3"/>
  <c r="Q245" i="3"/>
  <c r="R245" i="3"/>
  <c r="S245" i="3"/>
  <c r="T245" i="3"/>
  <c r="P246" i="3"/>
  <c r="Q246" i="3"/>
  <c r="R246" i="3"/>
  <c r="S246" i="3"/>
  <c r="T246" i="3"/>
  <c r="P247" i="3"/>
  <c r="Q247" i="3"/>
  <c r="R247" i="3"/>
  <c r="S247" i="3"/>
  <c r="T247" i="3"/>
  <c r="P248" i="3"/>
  <c r="Q248" i="3"/>
  <c r="R248" i="3"/>
  <c r="S248" i="3"/>
  <c r="T248" i="3"/>
  <c r="P249" i="3"/>
  <c r="Q249" i="3"/>
  <c r="R249" i="3"/>
  <c r="S249" i="3"/>
  <c r="T249" i="3"/>
  <c r="P250" i="3"/>
  <c r="Q250" i="3"/>
  <c r="R250" i="3"/>
  <c r="S250" i="3"/>
  <c r="T250" i="3"/>
  <c r="P251" i="3"/>
  <c r="Q251" i="3"/>
  <c r="R251" i="3"/>
  <c r="S251" i="3"/>
  <c r="T251" i="3"/>
  <c r="P252" i="3"/>
  <c r="Q252" i="3"/>
  <c r="R252" i="3"/>
  <c r="S252" i="3"/>
  <c r="T252" i="3"/>
  <c r="P253" i="3"/>
  <c r="Q253" i="3"/>
  <c r="R253" i="3"/>
  <c r="S253" i="3"/>
  <c r="T253" i="3"/>
  <c r="P254" i="3"/>
  <c r="Q254" i="3"/>
  <c r="R254" i="3"/>
  <c r="S254" i="3"/>
  <c r="T254" i="3"/>
  <c r="P255" i="3"/>
  <c r="Q255" i="3"/>
  <c r="R255" i="3"/>
  <c r="S255" i="3"/>
  <c r="T255" i="3"/>
  <c r="P256" i="3"/>
  <c r="Q256" i="3"/>
  <c r="R256" i="3"/>
  <c r="S256" i="3"/>
  <c r="T256" i="3"/>
  <c r="P257" i="3"/>
  <c r="Q257" i="3"/>
  <c r="R257" i="3"/>
  <c r="S257" i="3"/>
  <c r="T257" i="3"/>
  <c r="P258" i="3"/>
  <c r="Q258" i="3"/>
  <c r="R258" i="3"/>
  <c r="S258" i="3"/>
  <c r="T258" i="3"/>
  <c r="P259" i="3"/>
  <c r="Q259" i="3"/>
  <c r="R259" i="3"/>
  <c r="S259" i="3"/>
  <c r="T259" i="3"/>
  <c r="P260" i="3"/>
  <c r="Q260" i="3"/>
  <c r="R260" i="3"/>
  <c r="S260" i="3"/>
  <c r="T260" i="3"/>
  <c r="P261" i="3"/>
  <c r="Q261" i="3"/>
  <c r="R261" i="3"/>
  <c r="S261" i="3"/>
  <c r="T261" i="3"/>
  <c r="P262" i="3"/>
  <c r="Q262" i="3"/>
  <c r="R262" i="3"/>
  <c r="S262" i="3"/>
  <c r="T262" i="3"/>
  <c r="P263" i="3"/>
  <c r="Q263" i="3"/>
  <c r="R263" i="3"/>
  <c r="S263" i="3"/>
  <c r="T263" i="3"/>
  <c r="P264" i="3"/>
  <c r="Q264" i="3"/>
  <c r="R264" i="3"/>
  <c r="S264" i="3"/>
  <c r="T264" i="3"/>
  <c r="P265" i="3"/>
  <c r="Q265" i="3"/>
  <c r="R265" i="3"/>
  <c r="S265" i="3"/>
  <c r="T265" i="3"/>
  <c r="P266" i="3"/>
  <c r="Q266" i="3"/>
  <c r="R266" i="3"/>
  <c r="S266" i="3"/>
  <c r="T266" i="3"/>
  <c r="P267" i="3"/>
  <c r="Q267" i="3"/>
  <c r="R267" i="3"/>
  <c r="S267" i="3"/>
  <c r="T267" i="3"/>
  <c r="P268" i="3"/>
  <c r="Q268" i="3"/>
  <c r="R268" i="3"/>
  <c r="S268" i="3"/>
  <c r="T268" i="3"/>
  <c r="P269" i="3"/>
  <c r="Q269" i="3"/>
  <c r="R269" i="3"/>
  <c r="S269" i="3"/>
  <c r="T269" i="3"/>
  <c r="P270" i="3"/>
  <c r="Q270" i="3"/>
  <c r="R270" i="3"/>
  <c r="S270" i="3"/>
  <c r="T270" i="3"/>
  <c r="P271" i="3"/>
  <c r="Q271" i="3"/>
  <c r="R271" i="3"/>
  <c r="S271" i="3"/>
  <c r="T271" i="3"/>
  <c r="P272" i="3"/>
  <c r="Q272" i="3"/>
  <c r="R272" i="3"/>
  <c r="S272" i="3"/>
  <c r="T272" i="3"/>
  <c r="P273" i="3"/>
  <c r="Q273" i="3"/>
  <c r="R273" i="3"/>
  <c r="S273" i="3"/>
  <c r="T273" i="3"/>
  <c r="P274" i="3"/>
  <c r="Q274" i="3"/>
  <c r="R274" i="3"/>
  <c r="S274" i="3"/>
  <c r="T274" i="3"/>
  <c r="P275" i="3"/>
  <c r="Q275" i="3"/>
  <c r="R275" i="3"/>
  <c r="S275" i="3"/>
  <c r="T275" i="3"/>
  <c r="P276" i="3"/>
  <c r="Q276" i="3"/>
  <c r="R276" i="3"/>
  <c r="S276" i="3"/>
  <c r="T276" i="3"/>
  <c r="P278" i="3"/>
  <c r="Q278" i="3"/>
  <c r="R278" i="3"/>
  <c r="S278" i="3"/>
  <c r="T278" i="3"/>
  <c r="P279" i="3"/>
  <c r="Q279" i="3"/>
  <c r="R279" i="3"/>
  <c r="S279" i="3"/>
  <c r="T279" i="3"/>
  <c r="P280" i="3"/>
  <c r="Q280" i="3"/>
  <c r="R280" i="3"/>
  <c r="S280" i="3"/>
  <c r="T280" i="3"/>
  <c r="P281" i="3"/>
  <c r="Q281" i="3"/>
  <c r="R281" i="3"/>
  <c r="S281" i="3"/>
  <c r="T281" i="3"/>
  <c r="P282" i="3"/>
  <c r="Q282" i="3"/>
  <c r="R282" i="3"/>
  <c r="S282" i="3"/>
  <c r="T282" i="3"/>
  <c r="P283" i="3"/>
  <c r="Q283" i="3"/>
  <c r="R283" i="3"/>
  <c r="S283" i="3"/>
  <c r="T283" i="3"/>
  <c r="P284" i="3"/>
  <c r="Q284" i="3"/>
  <c r="R284" i="3"/>
  <c r="S284" i="3"/>
  <c r="T284" i="3"/>
  <c r="P285" i="3"/>
  <c r="Q285" i="3"/>
  <c r="R285" i="3"/>
  <c r="S285" i="3"/>
  <c r="T285" i="3"/>
  <c r="P286" i="3"/>
  <c r="Q286" i="3"/>
  <c r="R286" i="3"/>
  <c r="S286" i="3"/>
  <c r="T286" i="3"/>
  <c r="P287" i="3"/>
  <c r="Q287" i="3"/>
  <c r="R287" i="3"/>
  <c r="S287" i="3"/>
  <c r="T287" i="3"/>
  <c r="P288" i="3"/>
  <c r="Q288" i="3"/>
  <c r="R288" i="3"/>
  <c r="S288" i="3"/>
  <c r="T288" i="3"/>
  <c r="P289" i="3"/>
  <c r="Q289" i="3"/>
  <c r="R289" i="3"/>
  <c r="S289" i="3"/>
  <c r="T289" i="3"/>
  <c r="P290" i="3"/>
  <c r="Q290" i="3"/>
  <c r="R290" i="3"/>
  <c r="S290" i="3"/>
  <c r="T290" i="3"/>
  <c r="P291" i="3"/>
  <c r="Q291" i="3"/>
  <c r="R291" i="3"/>
  <c r="S291" i="3"/>
  <c r="T291" i="3"/>
  <c r="P292" i="3"/>
  <c r="Q292" i="3"/>
  <c r="R292" i="3"/>
  <c r="S292" i="3"/>
  <c r="T292" i="3"/>
  <c r="P293" i="3"/>
  <c r="Q293" i="3"/>
  <c r="R293" i="3"/>
  <c r="S293" i="3"/>
  <c r="T293" i="3"/>
  <c r="P294" i="3"/>
  <c r="Q294" i="3"/>
  <c r="R294" i="3"/>
  <c r="S294" i="3"/>
  <c r="T294" i="3"/>
  <c r="P295" i="3"/>
  <c r="Q295" i="3"/>
  <c r="R295" i="3"/>
  <c r="S295" i="3"/>
  <c r="T295" i="3"/>
  <c r="P296" i="3"/>
  <c r="Q296" i="3"/>
  <c r="R296" i="3"/>
  <c r="S296" i="3"/>
  <c r="T296" i="3"/>
  <c r="P297" i="3"/>
  <c r="Q297" i="3"/>
  <c r="R297" i="3"/>
  <c r="S297" i="3"/>
  <c r="T297" i="3"/>
  <c r="P298" i="3"/>
  <c r="Q298" i="3"/>
  <c r="R298" i="3"/>
  <c r="S298" i="3"/>
  <c r="T298" i="3"/>
  <c r="P299" i="3"/>
  <c r="Q299" i="3"/>
  <c r="R299" i="3"/>
  <c r="S299" i="3"/>
  <c r="T299" i="3"/>
  <c r="P300" i="3"/>
  <c r="Q300" i="3"/>
  <c r="R300" i="3"/>
  <c r="S300" i="3"/>
  <c r="T300" i="3"/>
  <c r="P301" i="3"/>
  <c r="Q301" i="3"/>
  <c r="R301" i="3"/>
  <c r="S301" i="3"/>
  <c r="T301" i="3"/>
  <c r="P302" i="3"/>
  <c r="Q302" i="3"/>
  <c r="R302" i="3"/>
  <c r="S302" i="3"/>
  <c r="T302" i="3"/>
  <c r="P303" i="3"/>
  <c r="Q303" i="3"/>
  <c r="R303" i="3"/>
  <c r="S303" i="3"/>
  <c r="T303" i="3"/>
  <c r="P304" i="3"/>
  <c r="Q304" i="3"/>
  <c r="R304" i="3"/>
  <c r="S304" i="3"/>
  <c r="T304" i="3"/>
  <c r="P305" i="3"/>
  <c r="Q305" i="3"/>
  <c r="R305" i="3"/>
  <c r="S305" i="3"/>
  <c r="T305" i="3"/>
  <c r="P306" i="3"/>
  <c r="Q306" i="3"/>
  <c r="R306" i="3"/>
  <c r="S306" i="3"/>
  <c r="T306" i="3"/>
  <c r="P307" i="3"/>
  <c r="Q307" i="3"/>
  <c r="R307" i="3"/>
  <c r="S307" i="3"/>
  <c r="T307" i="3"/>
  <c r="P308" i="3"/>
  <c r="Q308" i="3"/>
  <c r="R308" i="3"/>
  <c r="S308" i="3"/>
  <c r="T308" i="3"/>
  <c r="P309" i="3"/>
  <c r="Q309" i="3"/>
  <c r="R309" i="3"/>
  <c r="S309" i="3"/>
  <c r="T309" i="3"/>
  <c r="P310" i="3"/>
  <c r="Q310" i="3"/>
  <c r="R310" i="3"/>
  <c r="S310" i="3"/>
  <c r="T310" i="3"/>
  <c r="P311" i="3"/>
  <c r="Q311" i="3"/>
  <c r="R311" i="3"/>
  <c r="S311" i="3"/>
  <c r="T311" i="3"/>
  <c r="P312" i="3"/>
  <c r="Q312" i="3"/>
  <c r="R312" i="3"/>
  <c r="S312" i="3"/>
  <c r="T312" i="3"/>
  <c r="P313" i="3"/>
  <c r="Q313" i="3"/>
  <c r="R313" i="3"/>
  <c r="S313" i="3"/>
  <c r="T313" i="3"/>
  <c r="P314" i="3"/>
  <c r="Q314" i="3"/>
  <c r="R314" i="3"/>
  <c r="S314" i="3"/>
  <c r="T314" i="3"/>
  <c r="P315" i="3"/>
  <c r="Q315" i="3"/>
  <c r="R315" i="3"/>
  <c r="S315" i="3"/>
  <c r="T315" i="3"/>
  <c r="P316" i="3"/>
  <c r="Q316" i="3"/>
  <c r="R316" i="3"/>
  <c r="S316" i="3"/>
  <c r="T316" i="3"/>
  <c r="P317" i="3"/>
  <c r="Q317" i="3"/>
  <c r="R317" i="3"/>
  <c r="S317" i="3"/>
  <c r="T317" i="3"/>
  <c r="P318" i="3"/>
  <c r="Q318" i="3"/>
  <c r="R318" i="3"/>
  <c r="S318" i="3"/>
  <c r="T318" i="3"/>
  <c r="P319" i="3"/>
  <c r="Q319" i="3"/>
  <c r="R319" i="3"/>
  <c r="S319" i="3"/>
  <c r="T319" i="3"/>
  <c r="P320" i="3"/>
  <c r="Q320" i="3"/>
  <c r="R320" i="3"/>
  <c r="S320" i="3"/>
  <c r="T320" i="3"/>
  <c r="P322" i="3"/>
  <c r="Q322" i="3"/>
  <c r="R322" i="3"/>
  <c r="S322" i="3"/>
  <c r="T322" i="3"/>
  <c r="P323" i="3"/>
  <c r="Q323" i="3"/>
  <c r="R323" i="3"/>
  <c r="S323" i="3"/>
  <c r="T323" i="3"/>
  <c r="P324" i="3"/>
  <c r="Q324" i="3"/>
  <c r="R324" i="3"/>
  <c r="S324" i="3"/>
  <c r="T324" i="3"/>
  <c r="P325" i="3"/>
  <c r="Q325" i="3"/>
  <c r="R325" i="3"/>
  <c r="S325" i="3"/>
  <c r="T325" i="3"/>
  <c r="P326" i="3"/>
  <c r="Q326" i="3"/>
  <c r="R326" i="3"/>
  <c r="S326" i="3"/>
  <c r="T326" i="3"/>
  <c r="P327" i="3"/>
  <c r="Q327" i="3"/>
  <c r="R327" i="3"/>
  <c r="S327" i="3"/>
  <c r="T327" i="3"/>
  <c r="P328" i="3"/>
  <c r="Q328" i="3"/>
  <c r="R328" i="3"/>
  <c r="S328" i="3"/>
  <c r="T328" i="3"/>
  <c r="P329" i="3"/>
  <c r="Q329" i="3"/>
  <c r="R329" i="3"/>
  <c r="S329" i="3"/>
  <c r="T329" i="3"/>
  <c r="P330" i="3"/>
  <c r="Q330" i="3"/>
  <c r="R330" i="3"/>
  <c r="S330" i="3"/>
  <c r="T330" i="3"/>
  <c r="P331" i="3"/>
  <c r="Q331" i="3"/>
  <c r="R331" i="3"/>
  <c r="S331" i="3"/>
  <c r="T331" i="3"/>
  <c r="P332" i="3"/>
  <c r="Q332" i="3"/>
  <c r="R332" i="3"/>
  <c r="S332" i="3"/>
  <c r="T332" i="3"/>
  <c r="P333" i="3"/>
  <c r="Q333" i="3"/>
  <c r="R333" i="3"/>
  <c r="S333" i="3"/>
  <c r="T333" i="3"/>
  <c r="P334" i="3"/>
  <c r="Q334" i="3"/>
  <c r="R334" i="3"/>
  <c r="S334" i="3"/>
  <c r="T334" i="3"/>
  <c r="P335" i="3"/>
  <c r="Q335" i="3"/>
  <c r="R335" i="3"/>
  <c r="S335" i="3"/>
  <c r="T335" i="3"/>
  <c r="P336" i="3"/>
  <c r="Q336" i="3"/>
  <c r="R336" i="3"/>
  <c r="S336" i="3"/>
  <c r="T336" i="3"/>
  <c r="P337" i="3"/>
  <c r="Q337" i="3"/>
  <c r="R337" i="3"/>
  <c r="S337" i="3"/>
  <c r="T337" i="3"/>
  <c r="P338" i="3"/>
  <c r="Q338" i="3"/>
  <c r="R338" i="3"/>
  <c r="S338" i="3"/>
  <c r="T338" i="3"/>
  <c r="P339" i="3"/>
  <c r="Q339" i="3"/>
  <c r="R339" i="3"/>
  <c r="S339" i="3"/>
  <c r="T339" i="3"/>
  <c r="P340" i="3"/>
  <c r="Q340" i="3"/>
  <c r="R340" i="3"/>
  <c r="S340" i="3"/>
  <c r="T340" i="3"/>
  <c r="P341" i="3"/>
  <c r="Q341" i="3"/>
  <c r="R341" i="3"/>
  <c r="S341" i="3"/>
  <c r="T341" i="3"/>
  <c r="P342" i="3"/>
  <c r="Q342" i="3"/>
  <c r="R342" i="3"/>
  <c r="S342" i="3"/>
  <c r="T342" i="3"/>
  <c r="P343" i="3"/>
  <c r="Q343" i="3"/>
  <c r="R343" i="3"/>
  <c r="S343" i="3"/>
  <c r="T343" i="3"/>
  <c r="P344" i="3"/>
  <c r="Q344" i="3"/>
  <c r="R344" i="3"/>
  <c r="S344" i="3"/>
  <c r="T344" i="3"/>
  <c r="P345" i="3"/>
  <c r="Q345" i="3"/>
  <c r="R345" i="3"/>
  <c r="S345" i="3"/>
  <c r="T345" i="3"/>
  <c r="P346" i="3"/>
  <c r="Q346" i="3"/>
  <c r="R346" i="3"/>
  <c r="S346" i="3"/>
  <c r="T346" i="3"/>
  <c r="P347" i="3"/>
  <c r="Q347" i="3"/>
  <c r="R347" i="3"/>
  <c r="S347" i="3"/>
  <c r="T347" i="3"/>
  <c r="P348" i="3"/>
  <c r="Q348" i="3"/>
  <c r="R348" i="3"/>
  <c r="S348" i="3"/>
  <c r="T348" i="3"/>
  <c r="P349" i="3"/>
  <c r="Q349" i="3"/>
  <c r="R349" i="3"/>
  <c r="S349" i="3"/>
  <c r="T349" i="3"/>
  <c r="P350" i="3"/>
  <c r="Q350" i="3"/>
  <c r="R350" i="3"/>
  <c r="S350" i="3"/>
  <c r="T350" i="3"/>
  <c r="P351" i="3"/>
  <c r="Q351" i="3"/>
  <c r="R351" i="3"/>
  <c r="S351" i="3"/>
  <c r="T351" i="3"/>
  <c r="P352" i="3"/>
  <c r="Q352" i="3"/>
  <c r="R352" i="3"/>
  <c r="S352" i="3"/>
  <c r="T352" i="3"/>
  <c r="P353" i="3"/>
  <c r="Q353" i="3"/>
  <c r="R353" i="3"/>
  <c r="S353" i="3"/>
  <c r="T353" i="3"/>
  <c r="P354" i="3"/>
  <c r="Q354" i="3"/>
  <c r="R354" i="3"/>
  <c r="S354" i="3"/>
  <c r="T354" i="3"/>
  <c r="P355" i="3"/>
  <c r="Q355" i="3"/>
  <c r="R355" i="3"/>
  <c r="S355" i="3"/>
  <c r="T355" i="3"/>
  <c r="P356" i="3"/>
  <c r="Q356" i="3"/>
  <c r="R356" i="3"/>
  <c r="S356" i="3"/>
  <c r="T356" i="3"/>
  <c r="P357" i="3"/>
  <c r="Q357" i="3"/>
  <c r="R357" i="3"/>
  <c r="S357" i="3"/>
  <c r="T357" i="3"/>
  <c r="K235" i="3"/>
  <c r="L235" i="3"/>
  <c r="M235" i="3"/>
  <c r="N235" i="3"/>
  <c r="O235" i="3"/>
  <c r="K236" i="3"/>
  <c r="L236" i="3"/>
  <c r="M236" i="3"/>
  <c r="N236" i="3"/>
  <c r="O236" i="3"/>
  <c r="K237" i="3"/>
  <c r="L237" i="3"/>
  <c r="M237" i="3"/>
  <c r="N237" i="3"/>
  <c r="O237" i="3"/>
  <c r="K238" i="3"/>
  <c r="L238" i="3"/>
  <c r="M238" i="3"/>
  <c r="N238" i="3"/>
  <c r="O238" i="3"/>
  <c r="K239" i="3"/>
  <c r="L239" i="3"/>
  <c r="M239" i="3"/>
  <c r="N239" i="3"/>
  <c r="O239" i="3"/>
  <c r="K240" i="3"/>
  <c r="L240" i="3"/>
  <c r="M240" i="3"/>
  <c r="N240" i="3"/>
  <c r="O240" i="3"/>
  <c r="K241" i="3"/>
  <c r="L241" i="3"/>
  <c r="M241" i="3"/>
  <c r="N241" i="3"/>
  <c r="O241" i="3"/>
  <c r="K242" i="3"/>
  <c r="L242" i="3"/>
  <c r="M242" i="3"/>
  <c r="N242" i="3"/>
  <c r="O242" i="3"/>
  <c r="K243" i="3"/>
  <c r="L243" i="3"/>
  <c r="M243" i="3"/>
  <c r="N243" i="3"/>
  <c r="O243" i="3"/>
  <c r="K244" i="3"/>
  <c r="L244" i="3"/>
  <c r="M244" i="3"/>
  <c r="N244" i="3"/>
  <c r="O244" i="3"/>
  <c r="K245" i="3"/>
  <c r="L245" i="3"/>
  <c r="M245" i="3"/>
  <c r="N245" i="3"/>
  <c r="O245" i="3"/>
  <c r="K246" i="3"/>
  <c r="L246" i="3"/>
  <c r="M246" i="3"/>
  <c r="N246" i="3"/>
  <c r="O246" i="3"/>
  <c r="K247" i="3"/>
  <c r="L247" i="3"/>
  <c r="M247" i="3"/>
  <c r="N247" i="3"/>
  <c r="O247" i="3"/>
  <c r="K248" i="3"/>
  <c r="L248" i="3"/>
  <c r="M248" i="3"/>
  <c r="N248" i="3"/>
  <c r="O248" i="3"/>
  <c r="K249" i="3"/>
  <c r="L249" i="3"/>
  <c r="M249" i="3"/>
  <c r="N249" i="3"/>
  <c r="O249" i="3"/>
  <c r="K250" i="3"/>
  <c r="L250" i="3"/>
  <c r="M250" i="3"/>
  <c r="N250" i="3"/>
  <c r="O250" i="3"/>
  <c r="K251" i="3"/>
  <c r="L251" i="3"/>
  <c r="M251" i="3"/>
  <c r="N251" i="3"/>
  <c r="O251" i="3"/>
  <c r="K252" i="3"/>
  <c r="L252" i="3"/>
  <c r="M252" i="3"/>
  <c r="N252" i="3"/>
  <c r="O252" i="3"/>
  <c r="K253" i="3"/>
  <c r="L253" i="3"/>
  <c r="M253" i="3"/>
  <c r="N253" i="3"/>
  <c r="O253" i="3"/>
  <c r="K254" i="3"/>
  <c r="L254" i="3"/>
  <c r="M254" i="3"/>
  <c r="N254" i="3"/>
  <c r="O254" i="3"/>
  <c r="K255" i="3"/>
  <c r="L255" i="3"/>
  <c r="M255" i="3"/>
  <c r="N255" i="3"/>
  <c r="O255" i="3"/>
  <c r="K256" i="3"/>
  <c r="L256" i="3"/>
  <c r="M256" i="3"/>
  <c r="N256" i="3"/>
  <c r="O256" i="3"/>
  <c r="K257" i="3"/>
  <c r="L257" i="3"/>
  <c r="M257" i="3"/>
  <c r="N257" i="3"/>
  <c r="O257" i="3"/>
  <c r="K258" i="3"/>
  <c r="L258" i="3"/>
  <c r="M258" i="3"/>
  <c r="N258" i="3"/>
  <c r="O258" i="3"/>
  <c r="K259" i="3"/>
  <c r="L259" i="3"/>
  <c r="M259" i="3"/>
  <c r="N259" i="3"/>
  <c r="O259" i="3"/>
  <c r="K260" i="3"/>
  <c r="L260" i="3"/>
  <c r="M260" i="3"/>
  <c r="N260" i="3"/>
  <c r="O260" i="3"/>
  <c r="K261" i="3"/>
  <c r="L261" i="3"/>
  <c r="M261" i="3"/>
  <c r="N261" i="3"/>
  <c r="O261" i="3"/>
  <c r="K262" i="3"/>
  <c r="L262" i="3"/>
  <c r="M262" i="3"/>
  <c r="N262" i="3"/>
  <c r="O262" i="3"/>
  <c r="K263" i="3"/>
  <c r="L263" i="3"/>
  <c r="M263" i="3"/>
  <c r="N263" i="3"/>
  <c r="O263" i="3"/>
  <c r="K264" i="3"/>
  <c r="L264" i="3"/>
  <c r="M264" i="3"/>
  <c r="N264" i="3"/>
  <c r="O264" i="3"/>
  <c r="K265" i="3"/>
  <c r="L265" i="3"/>
  <c r="M265" i="3"/>
  <c r="N265" i="3"/>
  <c r="O265" i="3"/>
  <c r="K266" i="3"/>
  <c r="L266" i="3"/>
  <c r="M266" i="3"/>
  <c r="N266" i="3"/>
  <c r="O266" i="3"/>
  <c r="K267" i="3"/>
  <c r="L267" i="3"/>
  <c r="M267" i="3"/>
  <c r="N267" i="3"/>
  <c r="O267" i="3"/>
  <c r="K268" i="3"/>
  <c r="L268" i="3"/>
  <c r="M268" i="3"/>
  <c r="N268" i="3"/>
  <c r="O268" i="3"/>
  <c r="K269" i="3"/>
  <c r="L269" i="3"/>
  <c r="M269" i="3"/>
  <c r="N269" i="3"/>
  <c r="O269" i="3"/>
  <c r="K270" i="3"/>
  <c r="L270" i="3"/>
  <c r="M270" i="3"/>
  <c r="N270" i="3"/>
  <c r="O270" i="3"/>
  <c r="K271" i="3"/>
  <c r="L271" i="3"/>
  <c r="M271" i="3"/>
  <c r="N271" i="3"/>
  <c r="O271" i="3"/>
  <c r="K272" i="3"/>
  <c r="L272" i="3"/>
  <c r="M272" i="3"/>
  <c r="N272" i="3"/>
  <c r="O272" i="3"/>
  <c r="K273" i="3"/>
  <c r="L273" i="3"/>
  <c r="M273" i="3"/>
  <c r="N273" i="3"/>
  <c r="O273" i="3"/>
  <c r="K274" i="3"/>
  <c r="L274" i="3"/>
  <c r="M274" i="3"/>
  <c r="N274" i="3"/>
  <c r="O274" i="3"/>
  <c r="K275" i="3"/>
  <c r="L275" i="3"/>
  <c r="M275" i="3"/>
  <c r="N275" i="3"/>
  <c r="O275" i="3"/>
  <c r="K276" i="3"/>
  <c r="L276" i="3"/>
  <c r="M276" i="3"/>
  <c r="N276" i="3"/>
  <c r="O276" i="3"/>
  <c r="K278" i="3"/>
  <c r="L278" i="3"/>
  <c r="M278" i="3"/>
  <c r="N278" i="3"/>
  <c r="O278" i="3"/>
  <c r="K279" i="3"/>
  <c r="L279" i="3"/>
  <c r="M279" i="3"/>
  <c r="N279" i="3"/>
  <c r="O279" i="3"/>
  <c r="K280" i="3"/>
  <c r="L280" i="3"/>
  <c r="M280" i="3"/>
  <c r="N280" i="3"/>
  <c r="O280" i="3"/>
  <c r="K281" i="3"/>
  <c r="L281" i="3"/>
  <c r="M281" i="3"/>
  <c r="N281" i="3"/>
  <c r="O281" i="3"/>
  <c r="K282" i="3"/>
  <c r="L282" i="3"/>
  <c r="M282" i="3"/>
  <c r="N282" i="3"/>
  <c r="O282" i="3"/>
  <c r="K283" i="3"/>
  <c r="L283" i="3"/>
  <c r="M283" i="3"/>
  <c r="N283" i="3"/>
  <c r="O283" i="3"/>
  <c r="K284" i="3"/>
  <c r="L284" i="3"/>
  <c r="M284" i="3"/>
  <c r="N284" i="3"/>
  <c r="O284" i="3"/>
  <c r="K285" i="3"/>
  <c r="L285" i="3"/>
  <c r="M285" i="3"/>
  <c r="N285" i="3"/>
  <c r="O285" i="3"/>
  <c r="K286" i="3"/>
  <c r="L286" i="3"/>
  <c r="M286" i="3"/>
  <c r="N286" i="3"/>
  <c r="O286" i="3"/>
  <c r="K287" i="3"/>
  <c r="L287" i="3"/>
  <c r="M287" i="3"/>
  <c r="N287" i="3"/>
  <c r="O287" i="3"/>
  <c r="K288" i="3"/>
  <c r="L288" i="3"/>
  <c r="M288" i="3"/>
  <c r="N288" i="3"/>
  <c r="O288" i="3"/>
  <c r="K289" i="3"/>
  <c r="L289" i="3"/>
  <c r="M289" i="3"/>
  <c r="N289" i="3"/>
  <c r="O289" i="3"/>
  <c r="K290" i="3"/>
  <c r="L290" i="3"/>
  <c r="M290" i="3"/>
  <c r="N290" i="3"/>
  <c r="O290" i="3"/>
  <c r="K291" i="3"/>
  <c r="L291" i="3"/>
  <c r="M291" i="3"/>
  <c r="N291" i="3"/>
  <c r="O291" i="3"/>
  <c r="K292" i="3"/>
  <c r="L292" i="3"/>
  <c r="M292" i="3"/>
  <c r="N292" i="3"/>
  <c r="O292" i="3"/>
  <c r="K293" i="3"/>
  <c r="L293" i="3"/>
  <c r="M293" i="3"/>
  <c r="N293" i="3"/>
  <c r="O293" i="3"/>
  <c r="K294" i="3"/>
  <c r="L294" i="3"/>
  <c r="M294" i="3"/>
  <c r="N294" i="3"/>
  <c r="O294" i="3"/>
  <c r="K295" i="3"/>
  <c r="L295" i="3"/>
  <c r="M295" i="3"/>
  <c r="N295" i="3"/>
  <c r="O295" i="3"/>
  <c r="K296" i="3"/>
  <c r="L296" i="3"/>
  <c r="M296" i="3"/>
  <c r="N296" i="3"/>
  <c r="O296" i="3"/>
  <c r="K297" i="3"/>
  <c r="L297" i="3"/>
  <c r="M297" i="3"/>
  <c r="N297" i="3"/>
  <c r="O297" i="3"/>
  <c r="K298" i="3"/>
  <c r="L298" i="3"/>
  <c r="M298" i="3"/>
  <c r="N298" i="3"/>
  <c r="O298" i="3"/>
  <c r="K299" i="3"/>
  <c r="L299" i="3"/>
  <c r="M299" i="3"/>
  <c r="N299" i="3"/>
  <c r="O299" i="3"/>
  <c r="K300" i="3"/>
  <c r="L300" i="3"/>
  <c r="M300" i="3"/>
  <c r="N300" i="3"/>
  <c r="O300" i="3"/>
  <c r="K301" i="3"/>
  <c r="L301" i="3"/>
  <c r="M301" i="3"/>
  <c r="N301" i="3"/>
  <c r="O301" i="3"/>
  <c r="K302" i="3"/>
  <c r="L302" i="3"/>
  <c r="M302" i="3"/>
  <c r="N302" i="3"/>
  <c r="O302" i="3"/>
  <c r="K303" i="3"/>
  <c r="L303" i="3"/>
  <c r="M303" i="3"/>
  <c r="N303" i="3"/>
  <c r="O303" i="3"/>
  <c r="K304" i="3"/>
  <c r="L304" i="3"/>
  <c r="M304" i="3"/>
  <c r="N304" i="3"/>
  <c r="O304" i="3"/>
  <c r="K305" i="3"/>
  <c r="L305" i="3"/>
  <c r="M305" i="3"/>
  <c r="N305" i="3"/>
  <c r="O305" i="3"/>
  <c r="K306" i="3"/>
  <c r="L306" i="3"/>
  <c r="M306" i="3"/>
  <c r="N306" i="3"/>
  <c r="O306" i="3"/>
  <c r="K307" i="3"/>
  <c r="L307" i="3"/>
  <c r="M307" i="3"/>
  <c r="N307" i="3"/>
  <c r="O307" i="3"/>
  <c r="K308" i="3"/>
  <c r="L308" i="3"/>
  <c r="M308" i="3"/>
  <c r="N308" i="3"/>
  <c r="O308" i="3"/>
  <c r="K309" i="3"/>
  <c r="L309" i="3"/>
  <c r="M309" i="3"/>
  <c r="N309" i="3"/>
  <c r="O309" i="3"/>
  <c r="K310" i="3"/>
  <c r="L310" i="3"/>
  <c r="M310" i="3"/>
  <c r="N310" i="3"/>
  <c r="O310" i="3"/>
  <c r="K311" i="3"/>
  <c r="L311" i="3"/>
  <c r="M311" i="3"/>
  <c r="N311" i="3"/>
  <c r="O311" i="3"/>
  <c r="K312" i="3"/>
  <c r="L312" i="3"/>
  <c r="M312" i="3"/>
  <c r="N312" i="3"/>
  <c r="O312" i="3"/>
  <c r="K313" i="3"/>
  <c r="L313" i="3"/>
  <c r="M313" i="3"/>
  <c r="N313" i="3"/>
  <c r="O313" i="3"/>
  <c r="K314" i="3"/>
  <c r="L314" i="3"/>
  <c r="M314" i="3"/>
  <c r="N314" i="3"/>
  <c r="O314" i="3"/>
  <c r="K315" i="3"/>
  <c r="L315" i="3"/>
  <c r="M315" i="3"/>
  <c r="N315" i="3"/>
  <c r="O315" i="3"/>
  <c r="K316" i="3"/>
  <c r="L316" i="3"/>
  <c r="M316" i="3"/>
  <c r="N316" i="3"/>
  <c r="O316" i="3"/>
  <c r="K317" i="3"/>
  <c r="L317" i="3"/>
  <c r="M317" i="3"/>
  <c r="N317" i="3"/>
  <c r="O317" i="3"/>
  <c r="K318" i="3"/>
  <c r="L318" i="3"/>
  <c r="M318" i="3"/>
  <c r="N318" i="3"/>
  <c r="O318" i="3"/>
  <c r="K319" i="3"/>
  <c r="L319" i="3"/>
  <c r="M319" i="3"/>
  <c r="N319" i="3"/>
  <c r="O319" i="3"/>
  <c r="K320" i="3"/>
  <c r="L320" i="3"/>
  <c r="M320" i="3"/>
  <c r="N320" i="3"/>
  <c r="O320" i="3"/>
  <c r="K322" i="3"/>
  <c r="L322" i="3"/>
  <c r="M322" i="3"/>
  <c r="N322" i="3"/>
  <c r="O322" i="3"/>
  <c r="K323" i="3"/>
  <c r="L323" i="3"/>
  <c r="M323" i="3"/>
  <c r="N323" i="3"/>
  <c r="O323" i="3"/>
  <c r="K324" i="3"/>
  <c r="L324" i="3"/>
  <c r="M324" i="3"/>
  <c r="N324" i="3"/>
  <c r="O324" i="3"/>
  <c r="K325" i="3"/>
  <c r="L325" i="3"/>
  <c r="M325" i="3"/>
  <c r="N325" i="3"/>
  <c r="O325" i="3"/>
  <c r="K326" i="3"/>
  <c r="L326" i="3"/>
  <c r="M326" i="3"/>
  <c r="N326" i="3"/>
  <c r="O326" i="3"/>
  <c r="K327" i="3"/>
  <c r="L327" i="3"/>
  <c r="M327" i="3"/>
  <c r="N327" i="3"/>
  <c r="O327" i="3"/>
  <c r="K328" i="3"/>
  <c r="L328" i="3"/>
  <c r="M328" i="3"/>
  <c r="N328" i="3"/>
  <c r="O328" i="3"/>
  <c r="K329" i="3"/>
  <c r="L329" i="3"/>
  <c r="M329" i="3"/>
  <c r="N329" i="3"/>
  <c r="O329" i="3"/>
  <c r="K330" i="3"/>
  <c r="L330" i="3"/>
  <c r="M330" i="3"/>
  <c r="N330" i="3"/>
  <c r="O330" i="3"/>
  <c r="K331" i="3"/>
  <c r="L331" i="3"/>
  <c r="M331" i="3"/>
  <c r="N331" i="3"/>
  <c r="O331" i="3"/>
  <c r="K332" i="3"/>
  <c r="L332" i="3"/>
  <c r="M332" i="3"/>
  <c r="N332" i="3"/>
  <c r="O332" i="3"/>
  <c r="K333" i="3"/>
  <c r="L333" i="3"/>
  <c r="M333" i="3"/>
  <c r="N333" i="3"/>
  <c r="O333" i="3"/>
  <c r="K334" i="3"/>
  <c r="L334" i="3"/>
  <c r="M334" i="3"/>
  <c r="N334" i="3"/>
  <c r="O334" i="3"/>
  <c r="K335" i="3"/>
  <c r="L335" i="3"/>
  <c r="M335" i="3"/>
  <c r="N335" i="3"/>
  <c r="O335" i="3"/>
  <c r="K336" i="3"/>
  <c r="L336" i="3"/>
  <c r="M336" i="3"/>
  <c r="N336" i="3"/>
  <c r="O336" i="3"/>
  <c r="K337" i="3"/>
  <c r="L337" i="3"/>
  <c r="M337" i="3"/>
  <c r="N337" i="3"/>
  <c r="O337" i="3"/>
  <c r="K338" i="3"/>
  <c r="L338" i="3"/>
  <c r="M338" i="3"/>
  <c r="N338" i="3"/>
  <c r="O338" i="3"/>
  <c r="K339" i="3"/>
  <c r="L339" i="3"/>
  <c r="M339" i="3"/>
  <c r="N339" i="3"/>
  <c r="O339" i="3"/>
  <c r="K340" i="3"/>
  <c r="L340" i="3"/>
  <c r="M340" i="3"/>
  <c r="N340" i="3"/>
  <c r="O340" i="3"/>
  <c r="K341" i="3"/>
  <c r="L341" i="3"/>
  <c r="M341" i="3"/>
  <c r="N341" i="3"/>
  <c r="O341" i="3"/>
  <c r="K342" i="3"/>
  <c r="L342" i="3"/>
  <c r="M342" i="3"/>
  <c r="N342" i="3"/>
  <c r="O342" i="3"/>
  <c r="K343" i="3"/>
  <c r="L343" i="3"/>
  <c r="M343" i="3"/>
  <c r="N343" i="3"/>
  <c r="O343" i="3"/>
  <c r="K344" i="3"/>
  <c r="L344" i="3"/>
  <c r="M344" i="3"/>
  <c r="N344" i="3"/>
  <c r="O344" i="3"/>
  <c r="K345" i="3"/>
  <c r="L345" i="3"/>
  <c r="M345" i="3"/>
  <c r="N345" i="3"/>
  <c r="O345" i="3"/>
  <c r="K346" i="3"/>
  <c r="L346" i="3"/>
  <c r="M346" i="3"/>
  <c r="N346" i="3"/>
  <c r="O346" i="3"/>
  <c r="K347" i="3"/>
  <c r="L347" i="3"/>
  <c r="M347" i="3"/>
  <c r="N347" i="3"/>
  <c r="O347" i="3"/>
  <c r="K348" i="3"/>
  <c r="L348" i="3"/>
  <c r="M348" i="3"/>
  <c r="N348" i="3"/>
  <c r="O348" i="3"/>
  <c r="K349" i="3"/>
  <c r="L349" i="3"/>
  <c r="M349" i="3"/>
  <c r="N349" i="3"/>
  <c r="O349" i="3"/>
  <c r="K350" i="3"/>
  <c r="L350" i="3"/>
  <c r="M350" i="3"/>
  <c r="N350" i="3"/>
  <c r="O350" i="3"/>
  <c r="K351" i="3"/>
  <c r="L351" i="3"/>
  <c r="M351" i="3"/>
  <c r="N351" i="3"/>
  <c r="O351" i="3"/>
  <c r="K352" i="3"/>
  <c r="L352" i="3"/>
  <c r="M352" i="3"/>
  <c r="N352" i="3"/>
  <c r="O352" i="3"/>
  <c r="K353" i="3"/>
  <c r="L353" i="3"/>
  <c r="M353" i="3"/>
  <c r="N353" i="3"/>
  <c r="O353" i="3"/>
  <c r="K354" i="3"/>
  <c r="L354" i="3"/>
  <c r="M354" i="3"/>
  <c r="N354" i="3"/>
  <c r="O354" i="3"/>
  <c r="K355" i="3"/>
  <c r="L355" i="3"/>
  <c r="M355" i="3"/>
  <c r="N355" i="3"/>
  <c r="O355" i="3"/>
  <c r="K356" i="3"/>
  <c r="L356" i="3"/>
  <c r="M356" i="3"/>
  <c r="N356" i="3"/>
  <c r="O356" i="3"/>
  <c r="K357" i="3"/>
  <c r="L357" i="3"/>
  <c r="M357" i="3"/>
  <c r="N357" i="3"/>
  <c r="O357" i="3"/>
  <c r="K234" i="3"/>
  <c r="AR235" i="3"/>
  <c r="AS235" i="3"/>
  <c r="AT235" i="3"/>
  <c r="AU235" i="3"/>
  <c r="AV235" i="3"/>
  <c r="AR236" i="3"/>
  <c r="AS236" i="3"/>
  <c r="AT236" i="3"/>
  <c r="AU236" i="3"/>
  <c r="AV236" i="3"/>
  <c r="AR237" i="3"/>
  <c r="AS237" i="3"/>
  <c r="AT237" i="3"/>
  <c r="AU237" i="3"/>
  <c r="AV237" i="3"/>
  <c r="AR238" i="3"/>
  <c r="AS238" i="3"/>
  <c r="AT238" i="3"/>
  <c r="AU238" i="3"/>
  <c r="AV238" i="3"/>
  <c r="AR239" i="3"/>
  <c r="AS239" i="3"/>
  <c r="AT239" i="3"/>
  <c r="AU239" i="3"/>
  <c r="AV239" i="3"/>
  <c r="AR240" i="3"/>
  <c r="AS240" i="3"/>
  <c r="AT240" i="3"/>
  <c r="AU240" i="3"/>
  <c r="AV240" i="3"/>
  <c r="AR241" i="3"/>
  <c r="AS241" i="3"/>
  <c r="AT241" i="3"/>
  <c r="AU241" i="3"/>
  <c r="AV241" i="3"/>
  <c r="AR242" i="3"/>
  <c r="AS242" i="3"/>
  <c r="AT242" i="3"/>
  <c r="AU242" i="3"/>
  <c r="AV242" i="3"/>
  <c r="AR243" i="3"/>
  <c r="AS243" i="3"/>
  <c r="AT243" i="3"/>
  <c r="AU243" i="3"/>
  <c r="AV243" i="3"/>
  <c r="AR244" i="3"/>
  <c r="AS244" i="3"/>
  <c r="AT244" i="3"/>
  <c r="AU244" i="3"/>
  <c r="AV244" i="3"/>
  <c r="AR245" i="3"/>
  <c r="AS245" i="3"/>
  <c r="AT245" i="3"/>
  <c r="AU245" i="3"/>
  <c r="AV245" i="3"/>
  <c r="AR246" i="3"/>
  <c r="AS246" i="3"/>
  <c r="AT246" i="3"/>
  <c r="AU246" i="3"/>
  <c r="AV246" i="3"/>
  <c r="AR247" i="3"/>
  <c r="AS247" i="3"/>
  <c r="AT247" i="3"/>
  <c r="AU247" i="3"/>
  <c r="AV247" i="3"/>
  <c r="AR248" i="3"/>
  <c r="AS248" i="3"/>
  <c r="AT248" i="3"/>
  <c r="AU248" i="3"/>
  <c r="AV248" i="3"/>
  <c r="AR249" i="3"/>
  <c r="AS249" i="3"/>
  <c r="AT249" i="3"/>
  <c r="AU249" i="3"/>
  <c r="AV249" i="3"/>
  <c r="AR250" i="3"/>
  <c r="AS250" i="3"/>
  <c r="AT250" i="3"/>
  <c r="AU250" i="3"/>
  <c r="AV250" i="3"/>
  <c r="AR251" i="3"/>
  <c r="AS251" i="3"/>
  <c r="AT251" i="3"/>
  <c r="AU251" i="3"/>
  <c r="AV251" i="3"/>
  <c r="AR252" i="3"/>
  <c r="AS252" i="3"/>
  <c r="AT252" i="3"/>
  <c r="AU252" i="3"/>
  <c r="AV252" i="3"/>
  <c r="AR253" i="3"/>
  <c r="AS253" i="3"/>
  <c r="AT253" i="3"/>
  <c r="AU253" i="3"/>
  <c r="AV253" i="3"/>
  <c r="AR254" i="3"/>
  <c r="AS254" i="3"/>
  <c r="AT254" i="3"/>
  <c r="AU254" i="3"/>
  <c r="AV254" i="3"/>
  <c r="AR255" i="3"/>
  <c r="AS255" i="3"/>
  <c r="AT255" i="3"/>
  <c r="AU255" i="3"/>
  <c r="AV255" i="3"/>
  <c r="AR256" i="3"/>
  <c r="AS256" i="3"/>
  <c r="AT256" i="3"/>
  <c r="AU256" i="3"/>
  <c r="AV256" i="3"/>
  <c r="AR257" i="3"/>
  <c r="AS257" i="3"/>
  <c r="AT257" i="3"/>
  <c r="AU257" i="3"/>
  <c r="AV257" i="3"/>
  <c r="AR258" i="3"/>
  <c r="AS258" i="3"/>
  <c r="AT258" i="3"/>
  <c r="AU258" i="3"/>
  <c r="AV258" i="3"/>
  <c r="AR259" i="3"/>
  <c r="AS259" i="3"/>
  <c r="AT259" i="3"/>
  <c r="AU259" i="3"/>
  <c r="AV259" i="3"/>
  <c r="AR260" i="3"/>
  <c r="AS260" i="3"/>
  <c r="AT260" i="3"/>
  <c r="AU260" i="3"/>
  <c r="AV260" i="3"/>
  <c r="AR261" i="3"/>
  <c r="AS261" i="3"/>
  <c r="AT261" i="3"/>
  <c r="AU261" i="3"/>
  <c r="AV261" i="3"/>
  <c r="AR262" i="3"/>
  <c r="AS262" i="3"/>
  <c r="AT262" i="3"/>
  <c r="AU262" i="3"/>
  <c r="AV262" i="3"/>
  <c r="AR263" i="3"/>
  <c r="AS263" i="3"/>
  <c r="AT263" i="3"/>
  <c r="AU263" i="3"/>
  <c r="AV263" i="3"/>
  <c r="AR264" i="3"/>
  <c r="AS264" i="3"/>
  <c r="AT264" i="3"/>
  <c r="AU264" i="3"/>
  <c r="AV264" i="3"/>
  <c r="AR265" i="3"/>
  <c r="AS265" i="3"/>
  <c r="AT265" i="3"/>
  <c r="AU265" i="3"/>
  <c r="AV265" i="3"/>
  <c r="AR266" i="3"/>
  <c r="AS266" i="3"/>
  <c r="AT266" i="3"/>
  <c r="AU266" i="3"/>
  <c r="AV266" i="3"/>
  <c r="AR267" i="3"/>
  <c r="AS267" i="3"/>
  <c r="AT267" i="3"/>
  <c r="AU267" i="3"/>
  <c r="AV267" i="3"/>
  <c r="AR268" i="3"/>
  <c r="AS268" i="3"/>
  <c r="AT268" i="3"/>
  <c r="AU268" i="3"/>
  <c r="AV268" i="3"/>
  <c r="AR269" i="3"/>
  <c r="AS269" i="3"/>
  <c r="AT269" i="3"/>
  <c r="AU269" i="3"/>
  <c r="AV269" i="3"/>
  <c r="AR270" i="3"/>
  <c r="AS270" i="3"/>
  <c r="AT270" i="3"/>
  <c r="AU270" i="3"/>
  <c r="AV270" i="3"/>
  <c r="AR271" i="3"/>
  <c r="AS271" i="3"/>
  <c r="AT271" i="3"/>
  <c r="AU271" i="3"/>
  <c r="AV271" i="3"/>
  <c r="AR272" i="3"/>
  <c r="AS272" i="3"/>
  <c r="AT272" i="3"/>
  <c r="AU272" i="3"/>
  <c r="AV272" i="3"/>
  <c r="AR273" i="3"/>
  <c r="AS273" i="3"/>
  <c r="AT273" i="3"/>
  <c r="AU273" i="3"/>
  <c r="AV273" i="3"/>
  <c r="AR274" i="3"/>
  <c r="AS274" i="3"/>
  <c r="AT274" i="3"/>
  <c r="AU274" i="3"/>
  <c r="AV274" i="3"/>
  <c r="AR275" i="3"/>
  <c r="AS275" i="3"/>
  <c r="AT275" i="3"/>
  <c r="AU275" i="3"/>
  <c r="AV275" i="3"/>
  <c r="AR276" i="3"/>
  <c r="AS276" i="3"/>
  <c r="AT276" i="3"/>
  <c r="AU276" i="3"/>
  <c r="AV276" i="3"/>
  <c r="AR277" i="3"/>
  <c r="AS277" i="3"/>
  <c r="AT277" i="3"/>
  <c r="AU277" i="3"/>
  <c r="AV277" i="3"/>
  <c r="AR278" i="3"/>
  <c r="AS278" i="3"/>
  <c r="AT278" i="3"/>
  <c r="AU278" i="3"/>
  <c r="AV278" i="3"/>
  <c r="AR279" i="3"/>
  <c r="AS279" i="3"/>
  <c r="AT279" i="3"/>
  <c r="AU279" i="3"/>
  <c r="AV279" i="3"/>
  <c r="AR280" i="3"/>
  <c r="AS280" i="3"/>
  <c r="AT280" i="3"/>
  <c r="AU280" i="3"/>
  <c r="AV280" i="3"/>
  <c r="AR281" i="3"/>
  <c r="AS281" i="3"/>
  <c r="AT281" i="3"/>
  <c r="AU281" i="3"/>
  <c r="AV281" i="3"/>
  <c r="AR282" i="3"/>
  <c r="AS282" i="3"/>
  <c r="AT282" i="3"/>
  <c r="AU282" i="3"/>
  <c r="AV282" i="3"/>
  <c r="AR283" i="3"/>
  <c r="AS283" i="3"/>
  <c r="AT283" i="3"/>
  <c r="AU283" i="3"/>
  <c r="AV283" i="3"/>
  <c r="AR284" i="3"/>
  <c r="AS284" i="3"/>
  <c r="AT284" i="3"/>
  <c r="AU284" i="3"/>
  <c r="AV284" i="3"/>
  <c r="AR285" i="3"/>
  <c r="AS285" i="3"/>
  <c r="AT285" i="3"/>
  <c r="AU285" i="3"/>
  <c r="AV285" i="3"/>
  <c r="AR286" i="3"/>
  <c r="AS286" i="3"/>
  <c r="AT286" i="3"/>
  <c r="AU286" i="3"/>
  <c r="AV286" i="3"/>
  <c r="AR287" i="3"/>
  <c r="AS287" i="3"/>
  <c r="AT287" i="3"/>
  <c r="AU287" i="3"/>
  <c r="AV287" i="3"/>
  <c r="AR288" i="3"/>
  <c r="AS288" i="3"/>
  <c r="AT288" i="3"/>
  <c r="AU288" i="3"/>
  <c r="AV288" i="3"/>
  <c r="AR289" i="3"/>
  <c r="AS289" i="3"/>
  <c r="AT289" i="3"/>
  <c r="AU289" i="3"/>
  <c r="AV289" i="3"/>
  <c r="AR290" i="3"/>
  <c r="AS290" i="3"/>
  <c r="AT290" i="3"/>
  <c r="AU290" i="3"/>
  <c r="AV290" i="3"/>
  <c r="AR291" i="3"/>
  <c r="AS291" i="3"/>
  <c r="AT291" i="3"/>
  <c r="AU291" i="3"/>
  <c r="AV291" i="3"/>
  <c r="AR292" i="3"/>
  <c r="AS292" i="3"/>
  <c r="AT292" i="3"/>
  <c r="AU292" i="3"/>
  <c r="AV292" i="3"/>
  <c r="AR293" i="3"/>
  <c r="AS293" i="3"/>
  <c r="AT293" i="3"/>
  <c r="AU293" i="3"/>
  <c r="AV293" i="3"/>
  <c r="AR294" i="3"/>
  <c r="AS294" i="3"/>
  <c r="AT294" i="3"/>
  <c r="AU294" i="3"/>
  <c r="AV294" i="3"/>
  <c r="AR295" i="3"/>
  <c r="AS295" i="3"/>
  <c r="AT295" i="3"/>
  <c r="AU295" i="3"/>
  <c r="AV295" i="3"/>
  <c r="AR296" i="3"/>
  <c r="AS296" i="3"/>
  <c r="AT296" i="3"/>
  <c r="AU296" i="3"/>
  <c r="AV296" i="3"/>
  <c r="AR297" i="3"/>
  <c r="AS297" i="3"/>
  <c r="AT297" i="3"/>
  <c r="AU297" i="3"/>
  <c r="AV297" i="3"/>
  <c r="AR298" i="3"/>
  <c r="AS298" i="3"/>
  <c r="AT298" i="3"/>
  <c r="AU298" i="3"/>
  <c r="AV298" i="3"/>
  <c r="AR299" i="3"/>
  <c r="AS299" i="3"/>
  <c r="AT299" i="3"/>
  <c r="AU299" i="3"/>
  <c r="AV299" i="3"/>
  <c r="AR300" i="3"/>
  <c r="AS300" i="3"/>
  <c r="AT300" i="3"/>
  <c r="AU300" i="3"/>
  <c r="AV300" i="3"/>
  <c r="AR301" i="3"/>
  <c r="AS301" i="3"/>
  <c r="AT301" i="3"/>
  <c r="AU301" i="3"/>
  <c r="AV301" i="3"/>
  <c r="AR302" i="3"/>
  <c r="AS302" i="3"/>
  <c r="AT302" i="3"/>
  <c r="AU302" i="3"/>
  <c r="AV302" i="3"/>
  <c r="AR303" i="3"/>
  <c r="AS303" i="3"/>
  <c r="AT303" i="3"/>
  <c r="AU303" i="3"/>
  <c r="AV303" i="3"/>
  <c r="AR304" i="3"/>
  <c r="AS304" i="3"/>
  <c r="AT304" i="3"/>
  <c r="AU304" i="3"/>
  <c r="AV304" i="3"/>
  <c r="AR305" i="3"/>
  <c r="AS305" i="3"/>
  <c r="AT305" i="3"/>
  <c r="AU305" i="3"/>
  <c r="AV305" i="3"/>
  <c r="AR306" i="3"/>
  <c r="AS306" i="3"/>
  <c r="AT306" i="3"/>
  <c r="AU306" i="3"/>
  <c r="AV306" i="3"/>
  <c r="AR307" i="3"/>
  <c r="AS307" i="3"/>
  <c r="AT307" i="3"/>
  <c r="AU307" i="3"/>
  <c r="AV307" i="3"/>
  <c r="AR308" i="3"/>
  <c r="AS308" i="3"/>
  <c r="AT308" i="3"/>
  <c r="AU308" i="3"/>
  <c r="AV308" i="3"/>
  <c r="AR309" i="3"/>
  <c r="AS309" i="3"/>
  <c r="AT309" i="3"/>
  <c r="AU309" i="3"/>
  <c r="AV309" i="3"/>
  <c r="AR310" i="3"/>
  <c r="AS310" i="3"/>
  <c r="AT310" i="3"/>
  <c r="AU310" i="3"/>
  <c r="AV310" i="3"/>
  <c r="AR311" i="3"/>
  <c r="AS311" i="3"/>
  <c r="AT311" i="3"/>
  <c r="AU311" i="3"/>
  <c r="AV311" i="3"/>
  <c r="AR312" i="3"/>
  <c r="AS312" i="3"/>
  <c r="AT312" i="3"/>
  <c r="AU312" i="3"/>
  <c r="AV312" i="3"/>
  <c r="AR313" i="3"/>
  <c r="AS313" i="3"/>
  <c r="AT313" i="3"/>
  <c r="AU313" i="3"/>
  <c r="AV313" i="3"/>
  <c r="AR314" i="3"/>
  <c r="AS314" i="3"/>
  <c r="AT314" i="3"/>
  <c r="AU314" i="3"/>
  <c r="AV314" i="3"/>
  <c r="AR315" i="3"/>
  <c r="AS315" i="3"/>
  <c r="AT315" i="3"/>
  <c r="AU315" i="3"/>
  <c r="AV315" i="3"/>
  <c r="AR316" i="3"/>
  <c r="AS316" i="3"/>
  <c r="AT316" i="3"/>
  <c r="AU316" i="3"/>
  <c r="AV316" i="3"/>
  <c r="AR317" i="3"/>
  <c r="AS317" i="3"/>
  <c r="AT317" i="3"/>
  <c r="AU317" i="3"/>
  <c r="AV317" i="3"/>
  <c r="AR318" i="3"/>
  <c r="AS318" i="3"/>
  <c r="AT318" i="3"/>
  <c r="AU318" i="3"/>
  <c r="AV318" i="3"/>
  <c r="AR319" i="3"/>
  <c r="AS319" i="3"/>
  <c r="AT319" i="3"/>
  <c r="AU319" i="3"/>
  <c r="AV319" i="3"/>
  <c r="AR320" i="3"/>
  <c r="AS320" i="3"/>
  <c r="AT320" i="3"/>
  <c r="AU320" i="3"/>
  <c r="AV320" i="3"/>
  <c r="AR322" i="3"/>
  <c r="AS322" i="3"/>
  <c r="AT322" i="3"/>
  <c r="AU322" i="3"/>
  <c r="AV322" i="3"/>
  <c r="AR323" i="3"/>
  <c r="AS323" i="3"/>
  <c r="AT323" i="3"/>
  <c r="AU323" i="3"/>
  <c r="AV323" i="3"/>
  <c r="AR324" i="3"/>
  <c r="AS324" i="3"/>
  <c r="AT324" i="3"/>
  <c r="AU324" i="3"/>
  <c r="AV324" i="3"/>
  <c r="AR325" i="3"/>
  <c r="AS325" i="3"/>
  <c r="AT325" i="3"/>
  <c r="AU325" i="3"/>
  <c r="AV325" i="3"/>
  <c r="AR326" i="3"/>
  <c r="AS326" i="3"/>
  <c r="AT326" i="3"/>
  <c r="AU326" i="3"/>
  <c r="AV326" i="3"/>
  <c r="AR327" i="3"/>
  <c r="AS327" i="3"/>
  <c r="AT327" i="3"/>
  <c r="AU327" i="3"/>
  <c r="AV327" i="3"/>
  <c r="AR328" i="3"/>
  <c r="AS328" i="3"/>
  <c r="AT328" i="3"/>
  <c r="AU328" i="3"/>
  <c r="AV328" i="3"/>
  <c r="AR329" i="3"/>
  <c r="AS329" i="3"/>
  <c r="AT329" i="3"/>
  <c r="AU329" i="3"/>
  <c r="AV329" i="3"/>
  <c r="AR330" i="3"/>
  <c r="AS330" i="3"/>
  <c r="AT330" i="3"/>
  <c r="AU330" i="3"/>
  <c r="AV330" i="3"/>
  <c r="AR331" i="3"/>
  <c r="AS331" i="3"/>
  <c r="AT331" i="3"/>
  <c r="AU331" i="3"/>
  <c r="AV331" i="3"/>
  <c r="AR332" i="3"/>
  <c r="AS332" i="3"/>
  <c r="AT332" i="3"/>
  <c r="AU332" i="3"/>
  <c r="AV332" i="3"/>
  <c r="AR333" i="3"/>
  <c r="AS333" i="3"/>
  <c r="AT333" i="3"/>
  <c r="AU333" i="3"/>
  <c r="AV333" i="3"/>
  <c r="AR334" i="3"/>
  <c r="AS334" i="3"/>
  <c r="AT334" i="3"/>
  <c r="AU334" i="3"/>
  <c r="AV334" i="3"/>
  <c r="AR335" i="3"/>
  <c r="AS335" i="3"/>
  <c r="AT335" i="3"/>
  <c r="AU335" i="3"/>
  <c r="AV335" i="3"/>
  <c r="AR336" i="3"/>
  <c r="AS336" i="3"/>
  <c r="AT336" i="3"/>
  <c r="AU336" i="3"/>
  <c r="AV336" i="3"/>
  <c r="AR337" i="3"/>
  <c r="AS337" i="3"/>
  <c r="AT337" i="3"/>
  <c r="AU337" i="3"/>
  <c r="AV337" i="3"/>
  <c r="AR338" i="3"/>
  <c r="AS338" i="3"/>
  <c r="AT338" i="3"/>
  <c r="AU338" i="3"/>
  <c r="AV338" i="3"/>
  <c r="AR339" i="3"/>
  <c r="AS339" i="3"/>
  <c r="AT339" i="3"/>
  <c r="AU339" i="3"/>
  <c r="AV339" i="3"/>
  <c r="AR340" i="3"/>
  <c r="AS340" i="3"/>
  <c r="AT340" i="3"/>
  <c r="AU340" i="3"/>
  <c r="AV340" i="3"/>
  <c r="AR341" i="3"/>
  <c r="AS341" i="3"/>
  <c r="AT341" i="3"/>
  <c r="AU341" i="3"/>
  <c r="AV341" i="3"/>
  <c r="AR342" i="3"/>
  <c r="AS342" i="3"/>
  <c r="AT342" i="3"/>
  <c r="AU342" i="3"/>
  <c r="AV342" i="3"/>
  <c r="AR343" i="3"/>
  <c r="AS343" i="3"/>
  <c r="AT343" i="3"/>
  <c r="AU343" i="3"/>
  <c r="AV343" i="3"/>
  <c r="AR344" i="3"/>
  <c r="AS344" i="3"/>
  <c r="AT344" i="3"/>
  <c r="AU344" i="3"/>
  <c r="AV344" i="3"/>
  <c r="AR345" i="3"/>
  <c r="AS345" i="3"/>
  <c r="AT345" i="3"/>
  <c r="AU345" i="3"/>
  <c r="AV345" i="3"/>
  <c r="AR346" i="3"/>
  <c r="AS346" i="3"/>
  <c r="AT346" i="3"/>
  <c r="AU346" i="3"/>
  <c r="AV346" i="3"/>
  <c r="AR347" i="3"/>
  <c r="AS347" i="3"/>
  <c r="AT347" i="3"/>
  <c r="AU347" i="3"/>
  <c r="AV347" i="3"/>
  <c r="AR348" i="3"/>
  <c r="AS348" i="3"/>
  <c r="AT348" i="3"/>
  <c r="AU348" i="3"/>
  <c r="AV348" i="3"/>
  <c r="AR349" i="3"/>
  <c r="AS349" i="3"/>
  <c r="AT349" i="3"/>
  <c r="AU349" i="3"/>
  <c r="AV349" i="3"/>
  <c r="AR350" i="3"/>
  <c r="AS350" i="3"/>
  <c r="AT350" i="3"/>
  <c r="AU350" i="3"/>
  <c r="AV350" i="3"/>
  <c r="AR351" i="3"/>
  <c r="AS351" i="3"/>
  <c r="AT351" i="3"/>
  <c r="AU351" i="3"/>
  <c r="AV351" i="3"/>
  <c r="AR352" i="3"/>
  <c r="AS352" i="3"/>
  <c r="AT352" i="3"/>
  <c r="AU352" i="3"/>
  <c r="AV352" i="3"/>
  <c r="AR353" i="3"/>
  <c r="AS353" i="3"/>
  <c r="AT353" i="3"/>
  <c r="AU353" i="3"/>
  <c r="AV353" i="3"/>
  <c r="AR354" i="3"/>
  <c r="AS354" i="3"/>
  <c r="AT354" i="3"/>
  <c r="AU354" i="3"/>
  <c r="AV354" i="3"/>
  <c r="AR355" i="3"/>
  <c r="AS355" i="3"/>
  <c r="AT355" i="3"/>
  <c r="AU355" i="3"/>
  <c r="AV355" i="3"/>
  <c r="AR356" i="3"/>
  <c r="AS356" i="3"/>
  <c r="AT356" i="3"/>
  <c r="AU356" i="3"/>
  <c r="AV356" i="3"/>
  <c r="AR357" i="3"/>
  <c r="AS357" i="3"/>
  <c r="AT357" i="3"/>
  <c r="AU357" i="3"/>
  <c r="AV357" i="3"/>
  <c r="AV234" i="3"/>
  <c r="AU234" i="3"/>
  <c r="AT234" i="3"/>
  <c r="AS234" i="3"/>
  <c r="AR234" i="3"/>
  <c r="AM235" i="3"/>
  <c r="AN235" i="3"/>
  <c r="AO235" i="3"/>
  <c r="AP235" i="3"/>
  <c r="AQ235" i="3"/>
  <c r="AM236" i="3"/>
  <c r="AN236" i="3"/>
  <c r="AO236" i="3"/>
  <c r="AP236" i="3"/>
  <c r="AQ236" i="3"/>
  <c r="AM237" i="3"/>
  <c r="AN237" i="3"/>
  <c r="AO237" i="3"/>
  <c r="AP237" i="3"/>
  <c r="AQ237" i="3"/>
  <c r="AM238" i="3"/>
  <c r="AN238" i="3"/>
  <c r="AO238" i="3"/>
  <c r="AP238" i="3"/>
  <c r="AQ238" i="3"/>
  <c r="AM239" i="3"/>
  <c r="AN239" i="3"/>
  <c r="AO239" i="3"/>
  <c r="AP239" i="3"/>
  <c r="AQ239" i="3"/>
  <c r="AM240" i="3"/>
  <c r="AN240" i="3"/>
  <c r="AO240" i="3"/>
  <c r="AP240" i="3"/>
  <c r="AQ240" i="3"/>
  <c r="AM241" i="3"/>
  <c r="AN241" i="3"/>
  <c r="AO241" i="3"/>
  <c r="AP241" i="3"/>
  <c r="AQ241" i="3"/>
  <c r="AM242" i="3"/>
  <c r="AN242" i="3"/>
  <c r="AO242" i="3"/>
  <c r="AP242" i="3"/>
  <c r="AQ242" i="3"/>
  <c r="AM243" i="3"/>
  <c r="AN243" i="3"/>
  <c r="AO243" i="3"/>
  <c r="AP243" i="3"/>
  <c r="AQ243" i="3"/>
  <c r="AM244" i="3"/>
  <c r="AN244" i="3"/>
  <c r="AO244" i="3"/>
  <c r="AP244" i="3"/>
  <c r="AQ244" i="3"/>
  <c r="AM245" i="3"/>
  <c r="AN245" i="3"/>
  <c r="AO245" i="3"/>
  <c r="AP245" i="3"/>
  <c r="AQ245" i="3"/>
  <c r="AM246" i="3"/>
  <c r="AN246" i="3"/>
  <c r="AO246" i="3"/>
  <c r="AP246" i="3"/>
  <c r="AQ246" i="3"/>
  <c r="AM247" i="3"/>
  <c r="AN247" i="3"/>
  <c r="AO247" i="3"/>
  <c r="AP247" i="3"/>
  <c r="AQ247" i="3"/>
  <c r="AM248" i="3"/>
  <c r="AN248" i="3"/>
  <c r="AO248" i="3"/>
  <c r="AP248" i="3"/>
  <c r="AQ248" i="3"/>
  <c r="AM249" i="3"/>
  <c r="AN249" i="3"/>
  <c r="AO249" i="3"/>
  <c r="AP249" i="3"/>
  <c r="AQ249" i="3"/>
  <c r="AM250" i="3"/>
  <c r="AN250" i="3"/>
  <c r="AO250" i="3"/>
  <c r="AP250" i="3"/>
  <c r="AQ250" i="3"/>
  <c r="AM251" i="3"/>
  <c r="AN251" i="3"/>
  <c r="AO251" i="3"/>
  <c r="AP251" i="3"/>
  <c r="AQ251" i="3"/>
  <c r="AM252" i="3"/>
  <c r="AN252" i="3"/>
  <c r="AO252" i="3"/>
  <c r="AP252" i="3"/>
  <c r="AQ252" i="3"/>
  <c r="AM253" i="3"/>
  <c r="AN253" i="3"/>
  <c r="AO253" i="3"/>
  <c r="AP253" i="3"/>
  <c r="AQ253" i="3"/>
  <c r="AM254" i="3"/>
  <c r="AN254" i="3"/>
  <c r="AO254" i="3"/>
  <c r="AP254" i="3"/>
  <c r="AQ254" i="3"/>
  <c r="AM255" i="3"/>
  <c r="AN255" i="3"/>
  <c r="AO255" i="3"/>
  <c r="AP255" i="3"/>
  <c r="AQ255" i="3"/>
  <c r="AM256" i="3"/>
  <c r="AN256" i="3"/>
  <c r="AO256" i="3"/>
  <c r="AP256" i="3"/>
  <c r="AQ256" i="3"/>
  <c r="AM257" i="3"/>
  <c r="AN257" i="3"/>
  <c r="AO257" i="3"/>
  <c r="AP257" i="3"/>
  <c r="AQ257" i="3"/>
  <c r="AM258" i="3"/>
  <c r="AN258" i="3"/>
  <c r="AO258" i="3"/>
  <c r="AP258" i="3"/>
  <c r="AQ258" i="3"/>
  <c r="AM259" i="3"/>
  <c r="AN259" i="3"/>
  <c r="AO259" i="3"/>
  <c r="AP259" i="3"/>
  <c r="AQ259" i="3"/>
  <c r="AM260" i="3"/>
  <c r="AN260" i="3"/>
  <c r="AO260" i="3"/>
  <c r="AP260" i="3"/>
  <c r="AQ260" i="3"/>
  <c r="AM261" i="3"/>
  <c r="AN261" i="3"/>
  <c r="AO261" i="3"/>
  <c r="AP261" i="3"/>
  <c r="AQ261" i="3"/>
  <c r="AM262" i="3"/>
  <c r="AN262" i="3"/>
  <c r="AO262" i="3"/>
  <c r="AP262" i="3"/>
  <c r="AQ262" i="3"/>
  <c r="AM263" i="3"/>
  <c r="AN263" i="3"/>
  <c r="AO263" i="3"/>
  <c r="AP263" i="3"/>
  <c r="AQ263" i="3"/>
  <c r="AM264" i="3"/>
  <c r="AN264" i="3"/>
  <c r="AO264" i="3"/>
  <c r="AP264" i="3"/>
  <c r="AQ264" i="3"/>
  <c r="AM265" i="3"/>
  <c r="AN265" i="3"/>
  <c r="AO265" i="3"/>
  <c r="AP265" i="3"/>
  <c r="AQ265" i="3"/>
  <c r="AM266" i="3"/>
  <c r="AN266" i="3"/>
  <c r="AO266" i="3"/>
  <c r="AP266" i="3"/>
  <c r="AQ266" i="3"/>
  <c r="AM267" i="3"/>
  <c r="AN267" i="3"/>
  <c r="AO267" i="3"/>
  <c r="AP267" i="3"/>
  <c r="AQ267" i="3"/>
  <c r="AM268" i="3"/>
  <c r="AN268" i="3"/>
  <c r="AO268" i="3"/>
  <c r="AP268" i="3"/>
  <c r="AQ268" i="3"/>
  <c r="AM269" i="3"/>
  <c r="AN269" i="3"/>
  <c r="AO269" i="3"/>
  <c r="AP269" i="3"/>
  <c r="AQ269" i="3"/>
  <c r="AM270" i="3"/>
  <c r="AN270" i="3"/>
  <c r="AO270" i="3"/>
  <c r="AP270" i="3"/>
  <c r="AQ270" i="3"/>
  <c r="AM271" i="3"/>
  <c r="AN271" i="3"/>
  <c r="AO271" i="3"/>
  <c r="AP271" i="3"/>
  <c r="AQ271" i="3"/>
  <c r="AM272" i="3"/>
  <c r="AN272" i="3"/>
  <c r="AO272" i="3"/>
  <c r="AP272" i="3"/>
  <c r="AQ272" i="3"/>
  <c r="AM273" i="3"/>
  <c r="AN273" i="3"/>
  <c r="AO273" i="3"/>
  <c r="AP273" i="3"/>
  <c r="AQ273" i="3"/>
  <c r="AM274" i="3"/>
  <c r="AN274" i="3"/>
  <c r="AO274" i="3"/>
  <c r="AP274" i="3"/>
  <c r="AQ274" i="3"/>
  <c r="AM275" i="3"/>
  <c r="AN275" i="3"/>
  <c r="AO275" i="3"/>
  <c r="AP275" i="3"/>
  <c r="AQ275" i="3"/>
  <c r="AM276" i="3"/>
  <c r="AN276" i="3"/>
  <c r="AO276" i="3"/>
  <c r="AP276" i="3"/>
  <c r="AQ276" i="3"/>
  <c r="AM278" i="3"/>
  <c r="AN278" i="3"/>
  <c r="AO278" i="3"/>
  <c r="AP278" i="3"/>
  <c r="AQ278" i="3"/>
  <c r="AM279" i="3"/>
  <c r="AN279" i="3"/>
  <c r="AO279" i="3"/>
  <c r="AP279" i="3"/>
  <c r="AQ279" i="3"/>
  <c r="AM280" i="3"/>
  <c r="AN280" i="3"/>
  <c r="AO280" i="3"/>
  <c r="AP280" i="3"/>
  <c r="AQ280" i="3"/>
  <c r="AM281" i="3"/>
  <c r="AN281" i="3"/>
  <c r="AO281" i="3"/>
  <c r="AP281" i="3"/>
  <c r="AQ281" i="3"/>
  <c r="AM282" i="3"/>
  <c r="AN282" i="3"/>
  <c r="AO282" i="3"/>
  <c r="AP282" i="3"/>
  <c r="AQ282" i="3"/>
  <c r="AM283" i="3"/>
  <c r="AN283" i="3"/>
  <c r="AO283" i="3"/>
  <c r="AP283" i="3"/>
  <c r="AQ283" i="3"/>
  <c r="AM284" i="3"/>
  <c r="AN284" i="3"/>
  <c r="AO284" i="3"/>
  <c r="AP284" i="3"/>
  <c r="AQ284" i="3"/>
  <c r="AM285" i="3"/>
  <c r="AN285" i="3"/>
  <c r="AO285" i="3"/>
  <c r="AP285" i="3"/>
  <c r="AQ285" i="3"/>
  <c r="AM286" i="3"/>
  <c r="AN286" i="3"/>
  <c r="AO286" i="3"/>
  <c r="AP286" i="3"/>
  <c r="AQ286" i="3"/>
  <c r="AM287" i="3"/>
  <c r="AN287" i="3"/>
  <c r="AO287" i="3"/>
  <c r="AP287" i="3"/>
  <c r="AQ287" i="3"/>
  <c r="AM288" i="3"/>
  <c r="AN288" i="3"/>
  <c r="AO288" i="3"/>
  <c r="AP288" i="3"/>
  <c r="AQ288" i="3"/>
  <c r="AM289" i="3"/>
  <c r="AN289" i="3"/>
  <c r="AO289" i="3"/>
  <c r="AP289" i="3"/>
  <c r="AQ289" i="3"/>
  <c r="AM290" i="3"/>
  <c r="AN290" i="3"/>
  <c r="AO290" i="3"/>
  <c r="AP290" i="3"/>
  <c r="AQ290" i="3"/>
  <c r="AM291" i="3"/>
  <c r="AN291" i="3"/>
  <c r="AO291" i="3"/>
  <c r="AP291" i="3"/>
  <c r="AQ291" i="3"/>
  <c r="AM292" i="3"/>
  <c r="AN292" i="3"/>
  <c r="AO292" i="3"/>
  <c r="AP292" i="3"/>
  <c r="AQ292" i="3"/>
  <c r="AM293" i="3"/>
  <c r="AN293" i="3"/>
  <c r="AO293" i="3"/>
  <c r="AP293" i="3"/>
  <c r="AQ293" i="3"/>
  <c r="AM294" i="3"/>
  <c r="AN294" i="3"/>
  <c r="AO294" i="3"/>
  <c r="AP294" i="3"/>
  <c r="AQ294" i="3"/>
  <c r="AM295" i="3"/>
  <c r="AN295" i="3"/>
  <c r="AO295" i="3"/>
  <c r="AP295" i="3"/>
  <c r="AQ295" i="3"/>
  <c r="AM296" i="3"/>
  <c r="AN296" i="3"/>
  <c r="AO296" i="3"/>
  <c r="AP296" i="3"/>
  <c r="AQ296" i="3"/>
  <c r="AM297" i="3"/>
  <c r="AN297" i="3"/>
  <c r="AO297" i="3"/>
  <c r="AP297" i="3"/>
  <c r="AQ297" i="3"/>
  <c r="AM298" i="3"/>
  <c r="AN298" i="3"/>
  <c r="AO298" i="3"/>
  <c r="AP298" i="3"/>
  <c r="AQ298" i="3"/>
  <c r="AM299" i="3"/>
  <c r="AN299" i="3"/>
  <c r="AO299" i="3"/>
  <c r="AP299" i="3"/>
  <c r="AQ299" i="3"/>
  <c r="AM300" i="3"/>
  <c r="AN300" i="3"/>
  <c r="AO300" i="3"/>
  <c r="AP300" i="3"/>
  <c r="AQ300" i="3"/>
  <c r="AM301" i="3"/>
  <c r="AN301" i="3"/>
  <c r="AO301" i="3"/>
  <c r="AP301" i="3"/>
  <c r="AQ301" i="3"/>
  <c r="AM302" i="3"/>
  <c r="AN302" i="3"/>
  <c r="AO302" i="3"/>
  <c r="AP302" i="3"/>
  <c r="AQ302" i="3"/>
  <c r="AM303" i="3"/>
  <c r="AN303" i="3"/>
  <c r="AO303" i="3"/>
  <c r="AP303" i="3"/>
  <c r="AQ303" i="3"/>
  <c r="AM304" i="3"/>
  <c r="AN304" i="3"/>
  <c r="AO304" i="3"/>
  <c r="AP304" i="3"/>
  <c r="AQ304" i="3"/>
  <c r="AM305" i="3"/>
  <c r="AN305" i="3"/>
  <c r="AO305" i="3"/>
  <c r="AP305" i="3"/>
  <c r="AQ305" i="3"/>
  <c r="AM306" i="3"/>
  <c r="AN306" i="3"/>
  <c r="AO306" i="3"/>
  <c r="AP306" i="3"/>
  <c r="AQ306" i="3"/>
  <c r="AM307" i="3"/>
  <c r="AN307" i="3"/>
  <c r="AO307" i="3"/>
  <c r="AP307" i="3"/>
  <c r="AQ307" i="3"/>
  <c r="AM308" i="3"/>
  <c r="AN308" i="3"/>
  <c r="AO308" i="3"/>
  <c r="AP308" i="3"/>
  <c r="AQ308" i="3"/>
  <c r="AM309" i="3"/>
  <c r="AN309" i="3"/>
  <c r="AO309" i="3"/>
  <c r="AP309" i="3"/>
  <c r="AQ309" i="3"/>
  <c r="AM310" i="3"/>
  <c r="AN310" i="3"/>
  <c r="AO310" i="3"/>
  <c r="AP310" i="3"/>
  <c r="AQ310" i="3"/>
  <c r="AM311" i="3"/>
  <c r="AN311" i="3"/>
  <c r="AO311" i="3"/>
  <c r="AP311" i="3"/>
  <c r="AQ311" i="3"/>
  <c r="AM312" i="3"/>
  <c r="AN312" i="3"/>
  <c r="AO312" i="3"/>
  <c r="AP312" i="3"/>
  <c r="AQ312" i="3"/>
  <c r="AM313" i="3"/>
  <c r="AN313" i="3"/>
  <c r="AO313" i="3"/>
  <c r="AP313" i="3"/>
  <c r="AQ313" i="3"/>
  <c r="AM314" i="3"/>
  <c r="AN314" i="3"/>
  <c r="AO314" i="3"/>
  <c r="AP314" i="3"/>
  <c r="AQ314" i="3"/>
  <c r="AM315" i="3"/>
  <c r="AN315" i="3"/>
  <c r="AO315" i="3"/>
  <c r="AP315" i="3"/>
  <c r="AQ315" i="3"/>
  <c r="AM316" i="3"/>
  <c r="AN316" i="3"/>
  <c r="AO316" i="3"/>
  <c r="AP316" i="3"/>
  <c r="AQ316" i="3"/>
  <c r="AM317" i="3"/>
  <c r="AN317" i="3"/>
  <c r="AO317" i="3"/>
  <c r="AP317" i="3"/>
  <c r="AQ317" i="3"/>
  <c r="AM318" i="3"/>
  <c r="AN318" i="3"/>
  <c r="AO318" i="3"/>
  <c r="AP318" i="3"/>
  <c r="AQ318" i="3"/>
  <c r="AM319" i="3"/>
  <c r="AN319" i="3"/>
  <c r="AO319" i="3"/>
  <c r="AP319" i="3"/>
  <c r="AQ319" i="3"/>
  <c r="AM320" i="3"/>
  <c r="AN320" i="3"/>
  <c r="AO320" i="3"/>
  <c r="AP320" i="3"/>
  <c r="AQ320" i="3"/>
  <c r="AM322" i="3"/>
  <c r="AN322" i="3"/>
  <c r="AO322" i="3"/>
  <c r="AP322" i="3"/>
  <c r="AQ322" i="3"/>
  <c r="AM323" i="3"/>
  <c r="AN323" i="3"/>
  <c r="AO323" i="3"/>
  <c r="AP323" i="3"/>
  <c r="AQ323" i="3"/>
  <c r="AM324" i="3"/>
  <c r="AN324" i="3"/>
  <c r="AO324" i="3"/>
  <c r="AP324" i="3"/>
  <c r="AQ324" i="3"/>
  <c r="AM325" i="3"/>
  <c r="AN325" i="3"/>
  <c r="AO325" i="3"/>
  <c r="AP325" i="3"/>
  <c r="AQ325" i="3"/>
  <c r="AM326" i="3"/>
  <c r="AN326" i="3"/>
  <c r="AO326" i="3"/>
  <c r="AP326" i="3"/>
  <c r="AQ326" i="3"/>
  <c r="AM327" i="3"/>
  <c r="AN327" i="3"/>
  <c r="AO327" i="3"/>
  <c r="AP327" i="3"/>
  <c r="AQ327" i="3"/>
  <c r="AM328" i="3"/>
  <c r="AN328" i="3"/>
  <c r="AO328" i="3"/>
  <c r="AP328" i="3"/>
  <c r="AQ328" i="3"/>
  <c r="AM329" i="3"/>
  <c r="AN329" i="3"/>
  <c r="AO329" i="3"/>
  <c r="AP329" i="3"/>
  <c r="AQ329" i="3"/>
  <c r="AM330" i="3"/>
  <c r="AN330" i="3"/>
  <c r="AO330" i="3"/>
  <c r="AP330" i="3"/>
  <c r="AQ330" i="3"/>
  <c r="AM331" i="3"/>
  <c r="AN331" i="3"/>
  <c r="AO331" i="3"/>
  <c r="AP331" i="3"/>
  <c r="AQ331" i="3"/>
  <c r="AM332" i="3"/>
  <c r="AN332" i="3"/>
  <c r="AO332" i="3"/>
  <c r="AP332" i="3"/>
  <c r="AQ332" i="3"/>
  <c r="AM333" i="3"/>
  <c r="AN333" i="3"/>
  <c r="AO333" i="3"/>
  <c r="AP333" i="3"/>
  <c r="AQ333" i="3"/>
  <c r="AM334" i="3"/>
  <c r="AN334" i="3"/>
  <c r="AO334" i="3"/>
  <c r="AP334" i="3"/>
  <c r="AQ334" i="3"/>
  <c r="AM335" i="3"/>
  <c r="AN335" i="3"/>
  <c r="AO335" i="3"/>
  <c r="AP335" i="3"/>
  <c r="AQ335" i="3"/>
  <c r="AM336" i="3"/>
  <c r="AN336" i="3"/>
  <c r="AO336" i="3"/>
  <c r="AP336" i="3"/>
  <c r="AQ336" i="3"/>
  <c r="AM337" i="3"/>
  <c r="AN337" i="3"/>
  <c r="AO337" i="3"/>
  <c r="AP337" i="3"/>
  <c r="AQ337" i="3"/>
  <c r="AM338" i="3"/>
  <c r="AN338" i="3"/>
  <c r="AO338" i="3"/>
  <c r="AP338" i="3"/>
  <c r="AQ338" i="3"/>
  <c r="AM339" i="3"/>
  <c r="AN339" i="3"/>
  <c r="AO339" i="3"/>
  <c r="AP339" i="3"/>
  <c r="AQ339" i="3"/>
  <c r="AM340" i="3"/>
  <c r="AN340" i="3"/>
  <c r="AO340" i="3"/>
  <c r="AP340" i="3"/>
  <c r="AQ340" i="3"/>
  <c r="AM341" i="3"/>
  <c r="AN341" i="3"/>
  <c r="AO341" i="3"/>
  <c r="AP341" i="3"/>
  <c r="AQ341" i="3"/>
  <c r="AM342" i="3"/>
  <c r="AN342" i="3"/>
  <c r="AO342" i="3"/>
  <c r="AP342" i="3"/>
  <c r="AQ342" i="3"/>
  <c r="AM343" i="3"/>
  <c r="AN343" i="3"/>
  <c r="AO343" i="3"/>
  <c r="AP343" i="3"/>
  <c r="AQ343" i="3"/>
  <c r="AM344" i="3"/>
  <c r="AN344" i="3"/>
  <c r="AO344" i="3"/>
  <c r="AP344" i="3"/>
  <c r="AQ344" i="3"/>
  <c r="AM345" i="3"/>
  <c r="AN345" i="3"/>
  <c r="AO345" i="3"/>
  <c r="AP345" i="3"/>
  <c r="AQ345" i="3"/>
  <c r="AM346" i="3"/>
  <c r="AN346" i="3"/>
  <c r="AO346" i="3"/>
  <c r="AP346" i="3"/>
  <c r="AQ346" i="3"/>
  <c r="AM347" i="3"/>
  <c r="AN347" i="3"/>
  <c r="AO347" i="3"/>
  <c r="AP347" i="3"/>
  <c r="AQ347" i="3"/>
  <c r="AM348" i="3"/>
  <c r="AN348" i="3"/>
  <c r="AO348" i="3"/>
  <c r="AP348" i="3"/>
  <c r="AQ348" i="3"/>
  <c r="AM349" i="3"/>
  <c r="AN349" i="3"/>
  <c r="AO349" i="3"/>
  <c r="AP349" i="3"/>
  <c r="AQ349" i="3"/>
  <c r="AM350" i="3"/>
  <c r="AN350" i="3"/>
  <c r="AO350" i="3"/>
  <c r="AP350" i="3"/>
  <c r="AQ350" i="3"/>
  <c r="AM351" i="3"/>
  <c r="AN351" i="3"/>
  <c r="AO351" i="3"/>
  <c r="AP351" i="3"/>
  <c r="AQ351" i="3"/>
  <c r="AM352" i="3"/>
  <c r="AN352" i="3"/>
  <c r="AO352" i="3"/>
  <c r="AP352" i="3"/>
  <c r="AQ352" i="3"/>
  <c r="AM353" i="3"/>
  <c r="AN353" i="3"/>
  <c r="AO353" i="3"/>
  <c r="AP353" i="3"/>
  <c r="AQ353" i="3"/>
  <c r="AM354" i="3"/>
  <c r="AN354" i="3"/>
  <c r="AO354" i="3"/>
  <c r="AP354" i="3"/>
  <c r="AQ354" i="3"/>
  <c r="AM355" i="3"/>
  <c r="AN355" i="3"/>
  <c r="AO355" i="3"/>
  <c r="AP355" i="3"/>
  <c r="AQ355" i="3"/>
  <c r="AM356" i="3"/>
  <c r="AN356" i="3"/>
  <c r="AO356" i="3"/>
  <c r="AP356" i="3"/>
  <c r="AQ356" i="3"/>
  <c r="AM357" i="3"/>
  <c r="AN357" i="3"/>
  <c r="AO357" i="3"/>
  <c r="AP357" i="3"/>
  <c r="AQ357" i="3"/>
  <c r="AQ234" i="3"/>
  <c r="AP234" i="3"/>
  <c r="AO234" i="3"/>
  <c r="AN234" i="3"/>
  <c r="AM234" i="3"/>
  <c r="AR189" i="3"/>
  <c r="AS189" i="3"/>
  <c r="AT189" i="3"/>
  <c r="AU189" i="3"/>
  <c r="AV189" i="3"/>
  <c r="AR190" i="3"/>
  <c r="AS190" i="3"/>
  <c r="AT190" i="3"/>
  <c r="AU190" i="3"/>
  <c r="AV190" i="3"/>
  <c r="AR191" i="3"/>
  <c r="AS191" i="3"/>
  <c r="AT191" i="3"/>
  <c r="AU191" i="3"/>
  <c r="AV191" i="3"/>
  <c r="AR192" i="3"/>
  <c r="AS192" i="3"/>
  <c r="AT192" i="3"/>
  <c r="AU192" i="3"/>
  <c r="AV192" i="3"/>
  <c r="AR193" i="3"/>
  <c r="AS193" i="3"/>
  <c r="AT193" i="3"/>
  <c r="AU193" i="3"/>
  <c r="AV193" i="3"/>
  <c r="AR194" i="3"/>
  <c r="AS194" i="3"/>
  <c r="AT194" i="3"/>
  <c r="AU194" i="3"/>
  <c r="AV194" i="3"/>
  <c r="AR195" i="3"/>
  <c r="AS195" i="3"/>
  <c r="AT195" i="3"/>
  <c r="AU195" i="3"/>
  <c r="AV195" i="3"/>
  <c r="AR196" i="3"/>
  <c r="AS196" i="3"/>
  <c r="AT196" i="3"/>
  <c r="AU196" i="3"/>
  <c r="AV196" i="3"/>
  <c r="AR197" i="3"/>
  <c r="AS197" i="3"/>
  <c r="AT197" i="3"/>
  <c r="AU197" i="3"/>
  <c r="AV197" i="3"/>
  <c r="AR198" i="3"/>
  <c r="AS198" i="3"/>
  <c r="AT198" i="3"/>
  <c r="AU198" i="3"/>
  <c r="AV198" i="3"/>
  <c r="AR199" i="3"/>
  <c r="AS199" i="3"/>
  <c r="AT199" i="3"/>
  <c r="AU199" i="3"/>
  <c r="AV199" i="3"/>
  <c r="AR200" i="3"/>
  <c r="AS200" i="3"/>
  <c r="AT200" i="3"/>
  <c r="AU200" i="3"/>
  <c r="AV200" i="3"/>
  <c r="AR201" i="3"/>
  <c r="AS201" i="3"/>
  <c r="AT201" i="3"/>
  <c r="AU201" i="3"/>
  <c r="AV201" i="3"/>
  <c r="AR202" i="3"/>
  <c r="AS202" i="3"/>
  <c r="AT202" i="3"/>
  <c r="AU202" i="3"/>
  <c r="AV202" i="3"/>
  <c r="AR203" i="3"/>
  <c r="AS203" i="3"/>
  <c r="AT203" i="3"/>
  <c r="AU203" i="3"/>
  <c r="AV203" i="3"/>
  <c r="AR204" i="3"/>
  <c r="AS204" i="3"/>
  <c r="AT204" i="3"/>
  <c r="AU204" i="3"/>
  <c r="AV204" i="3"/>
  <c r="AR205" i="3"/>
  <c r="AS205" i="3"/>
  <c r="AT205" i="3"/>
  <c r="AU205" i="3"/>
  <c r="AV205" i="3"/>
  <c r="AR206" i="3"/>
  <c r="AS206" i="3"/>
  <c r="AT206" i="3"/>
  <c r="AU206" i="3"/>
  <c r="AV206" i="3"/>
  <c r="AR207" i="3"/>
  <c r="AS207" i="3"/>
  <c r="AT207" i="3"/>
  <c r="AU207" i="3"/>
  <c r="AV207" i="3"/>
  <c r="AR208" i="3"/>
  <c r="AS208" i="3"/>
  <c r="AT208" i="3"/>
  <c r="AU208" i="3"/>
  <c r="AV208" i="3"/>
  <c r="AR209" i="3"/>
  <c r="AS209" i="3"/>
  <c r="AT209" i="3"/>
  <c r="AU209" i="3"/>
  <c r="AV209" i="3"/>
  <c r="AR210" i="3"/>
  <c r="AS210" i="3"/>
  <c r="AT210" i="3"/>
  <c r="AU210" i="3"/>
  <c r="AV210" i="3"/>
  <c r="AR211" i="3"/>
  <c r="AS211" i="3"/>
  <c r="AT211" i="3"/>
  <c r="AU211" i="3"/>
  <c r="AV211" i="3"/>
  <c r="AR212" i="3"/>
  <c r="AS212" i="3"/>
  <c r="AT212" i="3"/>
  <c r="AU212" i="3"/>
  <c r="AV212" i="3"/>
  <c r="AR213" i="3"/>
  <c r="AS213" i="3"/>
  <c r="AT213" i="3"/>
  <c r="AU213" i="3"/>
  <c r="AV213" i="3"/>
  <c r="AR214" i="3"/>
  <c r="AS214" i="3"/>
  <c r="AT214" i="3"/>
  <c r="AU214" i="3"/>
  <c r="AV214" i="3"/>
  <c r="AR215" i="3"/>
  <c r="AS215" i="3"/>
  <c r="AT215" i="3"/>
  <c r="AU215" i="3"/>
  <c r="AV215" i="3"/>
  <c r="AR216" i="3"/>
  <c r="AS216" i="3"/>
  <c r="AT216" i="3"/>
  <c r="AU216" i="3"/>
  <c r="AV216" i="3"/>
  <c r="AR217" i="3"/>
  <c r="AS217" i="3"/>
  <c r="AT217" i="3"/>
  <c r="AU217" i="3"/>
  <c r="AV217" i="3"/>
  <c r="AR218" i="3"/>
  <c r="AS218" i="3"/>
  <c r="AT218" i="3"/>
  <c r="AU218" i="3"/>
  <c r="AV218" i="3"/>
  <c r="AR219" i="3"/>
  <c r="AS219" i="3"/>
  <c r="AT219" i="3"/>
  <c r="AU219" i="3"/>
  <c r="AV219" i="3"/>
  <c r="AR220" i="3"/>
  <c r="AS220" i="3"/>
  <c r="AT220" i="3"/>
  <c r="AU220" i="3"/>
  <c r="AV220" i="3"/>
  <c r="AR221" i="3"/>
  <c r="AS221" i="3"/>
  <c r="AT221" i="3"/>
  <c r="AU221" i="3"/>
  <c r="AV221" i="3"/>
  <c r="AR222" i="3"/>
  <c r="AS222" i="3"/>
  <c r="AT222" i="3"/>
  <c r="AU222" i="3"/>
  <c r="AV222" i="3"/>
  <c r="AR223" i="3"/>
  <c r="AS223" i="3"/>
  <c r="AT223" i="3"/>
  <c r="AU223" i="3"/>
  <c r="AV223" i="3"/>
  <c r="AR224" i="3"/>
  <c r="AS224" i="3"/>
  <c r="AT224" i="3"/>
  <c r="AU224" i="3"/>
  <c r="AV224" i="3"/>
  <c r="AR225" i="3"/>
  <c r="AS225" i="3"/>
  <c r="AT225" i="3"/>
  <c r="AU225" i="3"/>
  <c r="AV225" i="3"/>
  <c r="AR226" i="3"/>
  <c r="AS226" i="3"/>
  <c r="AT226" i="3"/>
  <c r="AU226" i="3"/>
  <c r="AV226" i="3"/>
  <c r="AR227" i="3"/>
  <c r="AS227" i="3"/>
  <c r="AT227" i="3"/>
  <c r="AU227" i="3"/>
  <c r="AV227" i="3"/>
  <c r="AR228" i="3"/>
  <c r="AS228" i="3"/>
  <c r="AT228" i="3"/>
  <c r="AU228" i="3"/>
  <c r="AV228" i="3"/>
  <c r="AR229" i="3"/>
  <c r="AS229" i="3"/>
  <c r="AT229" i="3"/>
  <c r="AU229" i="3"/>
  <c r="AV229" i="3"/>
  <c r="AR230" i="3"/>
  <c r="AS230" i="3"/>
  <c r="AT230" i="3"/>
  <c r="AU230" i="3"/>
  <c r="AV230" i="3"/>
  <c r="AR231" i="3"/>
  <c r="AS231" i="3"/>
  <c r="AT231" i="3"/>
  <c r="AU231" i="3"/>
  <c r="AV231" i="3"/>
  <c r="AV188" i="3"/>
  <c r="AU188" i="3"/>
  <c r="AT188" i="3"/>
  <c r="AS188" i="3"/>
  <c r="AR188" i="3"/>
  <c r="AM189" i="3"/>
  <c r="AN189" i="3"/>
  <c r="AO189" i="3"/>
  <c r="AP189" i="3"/>
  <c r="AQ189" i="3"/>
  <c r="AM190" i="3"/>
  <c r="AN190" i="3"/>
  <c r="AO190" i="3"/>
  <c r="AP190" i="3"/>
  <c r="AQ190" i="3"/>
  <c r="AM191" i="3"/>
  <c r="AN191" i="3"/>
  <c r="AO191" i="3"/>
  <c r="AP191" i="3"/>
  <c r="AQ191" i="3"/>
  <c r="AM192" i="3"/>
  <c r="AN192" i="3"/>
  <c r="AO192" i="3"/>
  <c r="AP192" i="3"/>
  <c r="AQ192" i="3"/>
  <c r="AM193" i="3"/>
  <c r="AN193" i="3"/>
  <c r="AO193" i="3"/>
  <c r="AP193" i="3"/>
  <c r="AQ193" i="3"/>
  <c r="AM194" i="3"/>
  <c r="AN194" i="3"/>
  <c r="AO194" i="3"/>
  <c r="AP194" i="3"/>
  <c r="AQ194" i="3"/>
  <c r="AM195" i="3"/>
  <c r="AN195" i="3"/>
  <c r="AO195" i="3"/>
  <c r="AP195" i="3"/>
  <c r="AQ195" i="3"/>
  <c r="AM196" i="3"/>
  <c r="AN196" i="3"/>
  <c r="AO196" i="3"/>
  <c r="AP196" i="3"/>
  <c r="AQ196" i="3"/>
  <c r="AM197" i="3"/>
  <c r="AN197" i="3"/>
  <c r="AO197" i="3"/>
  <c r="AP197" i="3"/>
  <c r="AQ197" i="3"/>
  <c r="AM198" i="3"/>
  <c r="AN198" i="3"/>
  <c r="AO198" i="3"/>
  <c r="AP198" i="3"/>
  <c r="AQ198" i="3"/>
  <c r="AM199" i="3"/>
  <c r="AN199" i="3"/>
  <c r="AO199" i="3"/>
  <c r="AP199" i="3"/>
  <c r="AQ199" i="3"/>
  <c r="AM200" i="3"/>
  <c r="AN200" i="3"/>
  <c r="AO200" i="3"/>
  <c r="AP200" i="3"/>
  <c r="AQ200" i="3"/>
  <c r="AM201" i="3"/>
  <c r="AN201" i="3"/>
  <c r="AO201" i="3"/>
  <c r="AP201" i="3"/>
  <c r="AQ201" i="3"/>
  <c r="AM202" i="3"/>
  <c r="AN202" i="3"/>
  <c r="AO202" i="3"/>
  <c r="AP202" i="3"/>
  <c r="AQ202" i="3"/>
  <c r="AM203" i="3"/>
  <c r="AN203" i="3"/>
  <c r="AO203" i="3"/>
  <c r="AP203" i="3"/>
  <c r="AQ203" i="3"/>
  <c r="AM204" i="3"/>
  <c r="AN204" i="3"/>
  <c r="AO204" i="3"/>
  <c r="AP204" i="3"/>
  <c r="AQ204" i="3"/>
  <c r="AM205" i="3"/>
  <c r="AN205" i="3"/>
  <c r="AO205" i="3"/>
  <c r="AP205" i="3"/>
  <c r="AQ205" i="3"/>
  <c r="AM206" i="3"/>
  <c r="AN206" i="3"/>
  <c r="AO206" i="3"/>
  <c r="AP206" i="3"/>
  <c r="AQ206" i="3"/>
  <c r="AM207" i="3"/>
  <c r="AN207" i="3"/>
  <c r="AO207" i="3"/>
  <c r="AP207" i="3"/>
  <c r="AQ207" i="3"/>
  <c r="AM208" i="3"/>
  <c r="AN208" i="3"/>
  <c r="AO208" i="3"/>
  <c r="AP208" i="3"/>
  <c r="AQ208" i="3"/>
  <c r="AM209" i="3"/>
  <c r="AN209" i="3"/>
  <c r="AO209" i="3"/>
  <c r="AP209" i="3"/>
  <c r="AQ209" i="3"/>
  <c r="AM210" i="3"/>
  <c r="AN210" i="3"/>
  <c r="AO210" i="3"/>
  <c r="AP210" i="3"/>
  <c r="AQ210" i="3"/>
  <c r="AM211" i="3"/>
  <c r="AN211" i="3"/>
  <c r="AO211" i="3"/>
  <c r="AP211" i="3"/>
  <c r="AQ211" i="3"/>
  <c r="AM212" i="3"/>
  <c r="AN212" i="3"/>
  <c r="AO212" i="3"/>
  <c r="AP212" i="3"/>
  <c r="AQ212" i="3"/>
  <c r="AM213" i="3"/>
  <c r="AN213" i="3"/>
  <c r="AO213" i="3"/>
  <c r="AP213" i="3"/>
  <c r="AQ213" i="3"/>
  <c r="AM214" i="3"/>
  <c r="AN214" i="3"/>
  <c r="AO214" i="3"/>
  <c r="AP214" i="3"/>
  <c r="AQ214" i="3"/>
  <c r="AM215" i="3"/>
  <c r="AN215" i="3"/>
  <c r="AO215" i="3"/>
  <c r="AP215" i="3"/>
  <c r="AQ215" i="3"/>
  <c r="AM216" i="3"/>
  <c r="AN216" i="3"/>
  <c r="AO216" i="3"/>
  <c r="AP216" i="3"/>
  <c r="AQ216" i="3"/>
  <c r="AM217" i="3"/>
  <c r="AN217" i="3"/>
  <c r="AO217" i="3"/>
  <c r="AP217" i="3"/>
  <c r="AQ217" i="3"/>
  <c r="AM218" i="3"/>
  <c r="AN218" i="3"/>
  <c r="AO218" i="3"/>
  <c r="AP218" i="3"/>
  <c r="AQ218" i="3"/>
  <c r="AM219" i="3"/>
  <c r="AN219" i="3"/>
  <c r="AO219" i="3"/>
  <c r="AP219" i="3"/>
  <c r="AQ219" i="3"/>
  <c r="AM220" i="3"/>
  <c r="AN220" i="3"/>
  <c r="AO220" i="3"/>
  <c r="AP220" i="3"/>
  <c r="AQ220" i="3"/>
  <c r="AM221" i="3"/>
  <c r="AN221" i="3"/>
  <c r="AO221" i="3"/>
  <c r="AP221" i="3"/>
  <c r="AQ221" i="3"/>
  <c r="AM222" i="3"/>
  <c r="AN222" i="3"/>
  <c r="AO222" i="3"/>
  <c r="AP222" i="3"/>
  <c r="AQ222" i="3"/>
  <c r="AM223" i="3"/>
  <c r="AN223" i="3"/>
  <c r="AO223" i="3"/>
  <c r="AP223" i="3"/>
  <c r="AQ223" i="3"/>
  <c r="AM224" i="3"/>
  <c r="AN224" i="3"/>
  <c r="AO224" i="3"/>
  <c r="AP224" i="3"/>
  <c r="AQ224" i="3"/>
  <c r="AM225" i="3"/>
  <c r="AN225" i="3"/>
  <c r="AO225" i="3"/>
  <c r="AP225" i="3"/>
  <c r="AQ225" i="3"/>
  <c r="AM226" i="3"/>
  <c r="AN226" i="3"/>
  <c r="AO226" i="3"/>
  <c r="AP226" i="3"/>
  <c r="AQ226" i="3"/>
  <c r="AM227" i="3"/>
  <c r="AN227" i="3"/>
  <c r="AO227" i="3"/>
  <c r="AP227" i="3"/>
  <c r="AQ227" i="3"/>
  <c r="AM228" i="3"/>
  <c r="AN228" i="3"/>
  <c r="AO228" i="3"/>
  <c r="AP228" i="3"/>
  <c r="AQ228" i="3"/>
  <c r="AM229" i="3"/>
  <c r="AN229" i="3"/>
  <c r="AO229" i="3"/>
  <c r="AP229" i="3"/>
  <c r="AQ229" i="3"/>
  <c r="AM230" i="3"/>
  <c r="AN230" i="3"/>
  <c r="AO230" i="3"/>
  <c r="AP230" i="3"/>
  <c r="AQ230" i="3"/>
  <c r="AM231" i="3"/>
  <c r="AN231" i="3"/>
  <c r="AO231" i="3"/>
  <c r="AP231" i="3"/>
  <c r="AQ231" i="3"/>
  <c r="AQ188" i="3"/>
  <c r="AP188" i="3"/>
  <c r="AO188" i="3"/>
  <c r="AN188" i="3"/>
  <c r="AM188" i="3"/>
  <c r="AZ235" i="3"/>
  <c r="BA235" i="3"/>
  <c r="BB235" i="3"/>
  <c r="AZ236" i="3"/>
  <c r="BA236" i="3"/>
  <c r="BB236" i="3"/>
  <c r="AZ237" i="3"/>
  <c r="BA237" i="3"/>
  <c r="BB237" i="3"/>
  <c r="AZ238" i="3"/>
  <c r="BA238" i="3"/>
  <c r="BB238" i="3"/>
  <c r="AZ239" i="3"/>
  <c r="BA239" i="3"/>
  <c r="BB239" i="3"/>
  <c r="AZ240" i="3"/>
  <c r="BA240" i="3"/>
  <c r="BB240" i="3"/>
  <c r="AZ241" i="3"/>
  <c r="BA241" i="3"/>
  <c r="BB241" i="3"/>
  <c r="AZ242" i="3"/>
  <c r="BA242" i="3"/>
  <c r="BB242" i="3"/>
  <c r="AZ243" i="3"/>
  <c r="BA243" i="3"/>
  <c r="BB243" i="3"/>
  <c r="AZ244" i="3"/>
  <c r="BA244" i="3"/>
  <c r="BB244" i="3"/>
  <c r="AZ245" i="3"/>
  <c r="BA245" i="3"/>
  <c r="BB245" i="3"/>
  <c r="AZ246" i="3"/>
  <c r="BA246" i="3"/>
  <c r="BB246" i="3"/>
  <c r="AZ247" i="3"/>
  <c r="BA247" i="3"/>
  <c r="BB247" i="3"/>
  <c r="AZ248" i="3"/>
  <c r="BA248" i="3"/>
  <c r="BB248" i="3"/>
  <c r="AZ249" i="3"/>
  <c r="BA249" i="3"/>
  <c r="BB249" i="3"/>
  <c r="AZ250" i="3"/>
  <c r="BA250" i="3"/>
  <c r="BB250" i="3"/>
  <c r="AZ251" i="3"/>
  <c r="BA251" i="3"/>
  <c r="BB251" i="3"/>
  <c r="AZ252" i="3"/>
  <c r="BA252" i="3"/>
  <c r="BB252" i="3"/>
  <c r="AZ253" i="3"/>
  <c r="BA253" i="3"/>
  <c r="BB253" i="3"/>
  <c r="AZ254" i="3"/>
  <c r="BA254" i="3"/>
  <c r="BB254" i="3"/>
  <c r="AZ255" i="3"/>
  <c r="BA255" i="3"/>
  <c r="BB255" i="3"/>
  <c r="AZ256" i="3"/>
  <c r="BA256" i="3"/>
  <c r="BB256" i="3"/>
  <c r="AZ257" i="3"/>
  <c r="BA257" i="3"/>
  <c r="BB257" i="3"/>
  <c r="AZ258" i="3"/>
  <c r="BA258" i="3"/>
  <c r="BB258" i="3"/>
  <c r="AZ259" i="3"/>
  <c r="BA259" i="3"/>
  <c r="BB259" i="3"/>
  <c r="AZ260" i="3"/>
  <c r="BA260" i="3"/>
  <c r="BB260" i="3"/>
  <c r="AZ261" i="3"/>
  <c r="BA261" i="3"/>
  <c r="BB261" i="3"/>
  <c r="AZ262" i="3"/>
  <c r="BA262" i="3"/>
  <c r="BB262" i="3"/>
  <c r="AZ263" i="3"/>
  <c r="BA263" i="3"/>
  <c r="BB263" i="3"/>
  <c r="AZ264" i="3"/>
  <c r="BA264" i="3"/>
  <c r="BB264" i="3"/>
  <c r="AZ265" i="3"/>
  <c r="BA265" i="3"/>
  <c r="BB265" i="3"/>
  <c r="AZ266" i="3"/>
  <c r="BA266" i="3"/>
  <c r="BB266" i="3"/>
  <c r="AZ267" i="3"/>
  <c r="BA267" i="3"/>
  <c r="BB267" i="3"/>
  <c r="AZ268" i="3"/>
  <c r="BA268" i="3"/>
  <c r="BB268" i="3"/>
  <c r="AZ269" i="3"/>
  <c r="BA269" i="3"/>
  <c r="BB269" i="3"/>
  <c r="AZ270" i="3"/>
  <c r="BA270" i="3"/>
  <c r="BB270" i="3"/>
  <c r="AZ271" i="3"/>
  <c r="BA271" i="3"/>
  <c r="BB271" i="3"/>
  <c r="AZ272" i="3"/>
  <c r="BA272" i="3"/>
  <c r="BB272" i="3"/>
  <c r="AZ273" i="3"/>
  <c r="BA273" i="3"/>
  <c r="BB273" i="3"/>
  <c r="AZ274" i="3"/>
  <c r="BA274" i="3"/>
  <c r="BB274" i="3"/>
  <c r="AZ275" i="3"/>
  <c r="BA275" i="3"/>
  <c r="BB275" i="3"/>
  <c r="AZ276" i="3"/>
  <c r="BA276" i="3"/>
  <c r="BB276" i="3"/>
  <c r="AZ278" i="3"/>
  <c r="BA278" i="3"/>
  <c r="BB278" i="3"/>
  <c r="AZ279" i="3"/>
  <c r="BA279" i="3"/>
  <c r="BB279" i="3"/>
  <c r="AZ280" i="3"/>
  <c r="BA280" i="3"/>
  <c r="BB280" i="3"/>
  <c r="AZ281" i="3"/>
  <c r="BA281" i="3"/>
  <c r="BB281" i="3"/>
  <c r="AZ282" i="3"/>
  <c r="BA282" i="3"/>
  <c r="BB282" i="3"/>
  <c r="AZ283" i="3"/>
  <c r="BA283" i="3"/>
  <c r="BB283" i="3"/>
  <c r="AZ284" i="3"/>
  <c r="BA284" i="3"/>
  <c r="BB284" i="3"/>
  <c r="AZ285" i="3"/>
  <c r="BA285" i="3"/>
  <c r="BB285" i="3"/>
  <c r="AZ286" i="3"/>
  <c r="BA286" i="3"/>
  <c r="BB286" i="3"/>
  <c r="AZ287" i="3"/>
  <c r="BA287" i="3"/>
  <c r="BB287" i="3"/>
  <c r="AZ288" i="3"/>
  <c r="BA288" i="3"/>
  <c r="BB288" i="3"/>
  <c r="AZ289" i="3"/>
  <c r="BA289" i="3"/>
  <c r="BB289" i="3"/>
  <c r="AZ290" i="3"/>
  <c r="BA290" i="3"/>
  <c r="BB290" i="3"/>
  <c r="AZ291" i="3"/>
  <c r="BA291" i="3"/>
  <c r="BB291" i="3"/>
  <c r="AZ292" i="3"/>
  <c r="BA292" i="3"/>
  <c r="BB292" i="3"/>
  <c r="AZ293" i="3"/>
  <c r="BA293" i="3"/>
  <c r="BB293" i="3"/>
  <c r="AZ294" i="3"/>
  <c r="BA294" i="3"/>
  <c r="BB294" i="3"/>
  <c r="AZ295" i="3"/>
  <c r="BA295" i="3"/>
  <c r="BB295" i="3"/>
  <c r="AZ296" i="3"/>
  <c r="BA296" i="3"/>
  <c r="BB296" i="3"/>
  <c r="AZ297" i="3"/>
  <c r="BA297" i="3"/>
  <c r="BB297" i="3"/>
  <c r="AZ298" i="3"/>
  <c r="BA298" i="3"/>
  <c r="BB298" i="3"/>
  <c r="AZ299" i="3"/>
  <c r="BA299" i="3"/>
  <c r="BB299" i="3"/>
  <c r="AZ300" i="3"/>
  <c r="BA300" i="3"/>
  <c r="BB300" i="3"/>
  <c r="AZ301" i="3"/>
  <c r="BA301" i="3"/>
  <c r="BB301" i="3"/>
  <c r="AZ302" i="3"/>
  <c r="BA302" i="3"/>
  <c r="BB302" i="3"/>
  <c r="AZ303" i="3"/>
  <c r="BA303" i="3"/>
  <c r="BB303" i="3"/>
  <c r="AZ304" i="3"/>
  <c r="BA304" i="3"/>
  <c r="BB304" i="3"/>
  <c r="AZ305" i="3"/>
  <c r="BA305" i="3"/>
  <c r="BB305" i="3"/>
  <c r="AZ306" i="3"/>
  <c r="BA306" i="3"/>
  <c r="BB306" i="3"/>
  <c r="AZ307" i="3"/>
  <c r="BA307" i="3"/>
  <c r="BB307" i="3"/>
  <c r="AZ308" i="3"/>
  <c r="BA308" i="3"/>
  <c r="BB308" i="3"/>
  <c r="AZ309" i="3"/>
  <c r="BA309" i="3"/>
  <c r="BB309" i="3"/>
  <c r="AZ310" i="3"/>
  <c r="BA310" i="3"/>
  <c r="BB310" i="3"/>
  <c r="AZ311" i="3"/>
  <c r="BA311" i="3"/>
  <c r="BB311" i="3"/>
  <c r="AZ312" i="3"/>
  <c r="BA312" i="3"/>
  <c r="BB312" i="3"/>
  <c r="AZ313" i="3"/>
  <c r="BA313" i="3"/>
  <c r="BB313" i="3"/>
  <c r="AZ314" i="3"/>
  <c r="BA314" i="3"/>
  <c r="BB314" i="3"/>
  <c r="AZ315" i="3"/>
  <c r="BA315" i="3"/>
  <c r="BB315" i="3"/>
  <c r="AZ316" i="3"/>
  <c r="BA316" i="3"/>
  <c r="BB316" i="3"/>
  <c r="AZ317" i="3"/>
  <c r="BA317" i="3"/>
  <c r="BB317" i="3"/>
  <c r="AZ318" i="3"/>
  <c r="BA318" i="3"/>
  <c r="BB318" i="3"/>
  <c r="AZ319" i="3"/>
  <c r="BA319" i="3"/>
  <c r="BB319" i="3"/>
  <c r="AZ320" i="3"/>
  <c r="BA320" i="3"/>
  <c r="BB320" i="3"/>
  <c r="AZ322" i="3"/>
  <c r="BA322" i="3"/>
  <c r="BB322" i="3"/>
  <c r="AZ323" i="3"/>
  <c r="BA323" i="3"/>
  <c r="BB323" i="3"/>
  <c r="AZ324" i="3"/>
  <c r="BA324" i="3"/>
  <c r="BB324" i="3"/>
  <c r="AZ325" i="3"/>
  <c r="BA325" i="3"/>
  <c r="BB325" i="3"/>
  <c r="AZ326" i="3"/>
  <c r="BA326" i="3"/>
  <c r="BB326" i="3"/>
  <c r="AZ327" i="3"/>
  <c r="BA327" i="3"/>
  <c r="BB327" i="3"/>
  <c r="AZ328" i="3"/>
  <c r="BA328" i="3"/>
  <c r="BB328" i="3"/>
  <c r="AZ329" i="3"/>
  <c r="BA329" i="3"/>
  <c r="BB329" i="3"/>
  <c r="AZ330" i="3"/>
  <c r="BA330" i="3"/>
  <c r="BB330" i="3"/>
  <c r="AZ331" i="3"/>
  <c r="BA331" i="3"/>
  <c r="BB331" i="3"/>
  <c r="AZ332" i="3"/>
  <c r="BA332" i="3"/>
  <c r="BB332" i="3"/>
  <c r="AZ333" i="3"/>
  <c r="BA333" i="3"/>
  <c r="BB333" i="3"/>
  <c r="AZ334" i="3"/>
  <c r="BA334" i="3"/>
  <c r="BB334" i="3"/>
  <c r="AZ335" i="3"/>
  <c r="BA335" i="3"/>
  <c r="BB335" i="3"/>
  <c r="AZ336" i="3"/>
  <c r="BA336" i="3"/>
  <c r="BB336" i="3"/>
  <c r="AZ337" i="3"/>
  <c r="BA337" i="3"/>
  <c r="BB337" i="3"/>
  <c r="AZ338" i="3"/>
  <c r="BA338" i="3"/>
  <c r="BB338" i="3"/>
  <c r="AZ339" i="3"/>
  <c r="BA339" i="3"/>
  <c r="BB339" i="3"/>
  <c r="AZ340" i="3"/>
  <c r="BA340" i="3"/>
  <c r="BB340" i="3"/>
  <c r="AZ341" i="3"/>
  <c r="BA341" i="3"/>
  <c r="BB341" i="3"/>
  <c r="AZ342" i="3"/>
  <c r="BA342" i="3"/>
  <c r="BB342" i="3"/>
  <c r="AZ343" i="3"/>
  <c r="BA343" i="3"/>
  <c r="BB343" i="3"/>
  <c r="AZ344" i="3"/>
  <c r="BA344" i="3"/>
  <c r="BB344" i="3"/>
  <c r="AZ345" i="3"/>
  <c r="BA345" i="3"/>
  <c r="BB345" i="3"/>
  <c r="AZ346" i="3"/>
  <c r="BA346" i="3"/>
  <c r="BB346" i="3"/>
  <c r="AZ347" i="3"/>
  <c r="BA347" i="3"/>
  <c r="BB347" i="3"/>
  <c r="AZ348" i="3"/>
  <c r="BA348" i="3"/>
  <c r="BB348" i="3"/>
  <c r="AZ349" i="3"/>
  <c r="BA349" i="3"/>
  <c r="BB349" i="3"/>
  <c r="AZ350" i="3"/>
  <c r="BA350" i="3"/>
  <c r="BB350" i="3"/>
  <c r="AZ351" i="3"/>
  <c r="BA351" i="3"/>
  <c r="BB351" i="3"/>
  <c r="AZ352" i="3"/>
  <c r="BA352" i="3"/>
  <c r="BB352" i="3"/>
  <c r="AZ353" i="3"/>
  <c r="BA353" i="3"/>
  <c r="BB353" i="3"/>
  <c r="AZ354" i="3"/>
  <c r="BA354" i="3"/>
  <c r="BB354" i="3"/>
  <c r="AZ355" i="3"/>
  <c r="BA355" i="3"/>
  <c r="BB355" i="3"/>
  <c r="AZ356" i="3"/>
  <c r="BA356" i="3"/>
  <c r="BB356" i="3"/>
  <c r="AZ357" i="3"/>
  <c r="BA357" i="3"/>
  <c r="BB357" i="3"/>
  <c r="BB234" i="3"/>
  <c r="BA234" i="3"/>
  <c r="AZ234" i="3"/>
  <c r="AZ189" i="3"/>
  <c r="BA189" i="3"/>
  <c r="BB189" i="3"/>
  <c r="AZ190" i="3"/>
  <c r="BA190" i="3"/>
  <c r="BB190" i="3"/>
  <c r="AZ191" i="3"/>
  <c r="BA191" i="3"/>
  <c r="BB191" i="3"/>
  <c r="AZ192" i="3"/>
  <c r="BA192" i="3"/>
  <c r="BB192" i="3"/>
  <c r="AZ193" i="3"/>
  <c r="BA193" i="3"/>
  <c r="BB193" i="3"/>
  <c r="AZ194" i="3"/>
  <c r="BA194" i="3"/>
  <c r="BB194" i="3"/>
  <c r="AZ195" i="3"/>
  <c r="BA195" i="3"/>
  <c r="BB195" i="3"/>
  <c r="AZ196" i="3"/>
  <c r="BA196" i="3"/>
  <c r="BB196" i="3"/>
  <c r="AZ197" i="3"/>
  <c r="BA197" i="3"/>
  <c r="BB197" i="3"/>
  <c r="AZ198" i="3"/>
  <c r="BA198" i="3"/>
  <c r="BB198" i="3"/>
  <c r="AZ199" i="3"/>
  <c r="BA199" i="3"/>
  <c r="BB199" i="3"/>
  <c r="AZ200" i="3"/>
  <c r="BA200" i="3"/>
  <c r="BB200" i="3"/>
  <c r="AZ201" i="3"/>
  <c r="BA201" i="3"/>
  <c r="BB201" i="3"/>
  <c r="AZ202" i="3"/>
  <c r="BA202" i="3"/>
  <c r="BB202" i="3"/>
  <c r="AZ203" i="3"/>
  <c r="BA203" i="3"/>
  <c r="BB203" i="3"/>
  <c r="AZ204" i="3"/>
  <c r="BA204" i="3"/>
  <c r="BB204" i="3"/>
  <c r="AZ205" i="3"/>
  <c r="BA205" i="3"/>
  <c r="BB205" i="3"/>
  <c r="AZ206" i="3"/>
  <c r="BA206" i="3"/>
  <c r="BB206" i="3"/>
  <c r="AZ207" i="3"/>
  <c r="BA207" i="3"/>
  <c r="BB207" i="3"/>
  <c r="AZ208" i="3"/>
  <c r="BA208" i="3"/>
  <c r="BB208" i="3"/>
  <c r="AZ209" i="3"/>
  <c r="BA209" i="3"/>
  <c r="BB209" i="3"/>
  <c r="AZ210" i="3"/>
  <c r="BA210" i="3"/>
  <c r="BB210" i="3"/>
  <c r="AZ211" i="3"/>
  <c r="BA211" i="3"/>
  <c r="BB211" i="3"/>
  <c r="AZ212" i="3"/>
  <c r="BA212" i="3"/>
  <c r="BB212" i="3"/>
  <c r="AZ213" i="3"/>
  <c r="BA213" i="3"/>
  <c r="BB213" i="3"/>
  <c r="AZ214" i="3"/>
  <c r="BA214" i="3"/>
  <c r="BB214" i="3"/>
  <c r="AZ215" i="3"/>
  <c r="BA215" i="3"/>
  <c r="BB215" i="3"/>
  <c r="AZ216" i="3"/>
  <c r="BA216" i="3"/>
  <c r="BB216" i="3"/>
  <c r="AZ217" i="3"/>
  <c r="BA217" i="3"/>
  <c r="BB217" i="3"/>
  <c r="AZ218" i="3"/>
  <c r="BA218" i="3"/>
  <c r="BB218" i="3"/>
  <c r="AZ219" i="3"/>
  <c r="BA219" i="3"/>
  <c r="BB219" i="3"/>
  <c r="AZ220" i="3"/>
  <c r="BA220" i="3"/>
  <c r="BB220" i="3"/>
  <c r="AZ221" i="3"/>
  <c r="BA221" i="3"/>
  <c r="BB221" i="3"/>
  <c r="AZ222" i="3"/>
  <c r="BA222" i="3"/>
  <c r="BB222" i="3"/>
  <c r="AZ223" i="3"/>
  <c r="BA223" i="3"/>
  <c r="BB223" i="3"/>
  <c r="AZ224" i="3"/>
  <c r="BA224" i="3"/>
  <c r="BB224" i="3"/>
  <c r="AZ225" i="3"/>
  <c r="BA225" i="3"/>
  <c r="BB225" i="3"/>
  <c r="AZ226" i="3"/>
  <c r="BA226" i="3"/>
  <c r="BB226" i="3"/>
  <c r="AZ227" i="3"/>
  <c r="BA227" i="3"/>
  <c r="BB227" i="3"/>
  <c r="AZ228" i="3"/>
  <c r="BA228" i="3"/>
  <c r="BB228" i="3"/>
  <c r="AZ229" i="3"/>
  <c r="BA229" i="3"/>
  <c r="BB229" i="3"/>
  <c r="AZ230" i="3"/>
  <c r="BA230" i="3"/>
  <c r="BB230" i="3"/>
  <c r="AZ231" i="3"/>
  <c r="BA231" i="3"/>
  <c r="BB231" i="3"/>
  <c r="BA188" i="3"/>
  <c r="BB188" i="3"/>
  <c r="AZ188" i="3"/>
  <c r="AW235" i="3"/>
  <c r="AX235" i="3"/>
  <c r="AY235" i="3"/>
  <c r="AW236" i="3"/>
  <c r="AX236" i="3"/>
  <c r="AY236" i="3"/>
  <c r="AW237" i="3"/>
  <c r="AX237" i="3"/>
  <c r="AY237" i="3"/>
  <c r="AW238" i="3"/>
  <c r="AX238" i="3"/>
  <c r="AY238" i="3"/>
  <c r="AW239" i="3"/>
  <c r="AX239" i="3"/>
  <c r="AY239" i="3"/>
  <c r="AW240" i="3"/>
  <c r="AX240" i="3"/>
  <c r="AY240" i="3"/>
  <c r="AW241" i="3"/>
  <c r="AX241" i="3"/>
  <c r="AY241" i="3"/>
  <c r="AW242" i="3"/>
  <c r="AX242" i="3"/>
  <c r="AY242" i="3"/>
  <c r="AW243" i="3"/>
  <c r="AX243" i="3"/>
  <c r="AY243" i="3"/>
  <c r="AW244" i="3"/>
  <c r="AX244" i="3"/>
  <c r="AY244" i="3"/>
  <c r="AW245" i="3"/>
  <c r="AX245" i="3"/>
  <c r="AY245" i="3"/>
  <c r="AW246" i="3"/>
  <c r="AX246" i="3"/>
  <c r="AY246" i="3"/>
  <c r="AW247" i="3"/>
  <c r="AX247" i="3"/>
  <c r="AY247" i="3"/>
  <c r="AW248" i="3"/>
  <c r="AX248" i="3"/>
  <c r="AY248" i="3"/>
  <c r="AW249" i="3"/>
  <c r="AX249" i="3"/>
  <c r="AY249" i="3"/>
  <c r="AW250" i="3"/>
  <c r="AX250" i="3"/>
  <c r="AY250" i="3"/>
  <c r="AW251" i="3"/>
  <c r="AX251" i="3"/>
  <c r="AY251" i="3"/>
  <c r="AW252" i="3"/>
  <c r="AX252" i="3"/>
  <c r="AY252" i="3"/>
  <c r="AW253" i="3"/>
  <c r="AX253" i="3"/>
  <c r="AY253" i="3"/>
  <c r="AW254" i="3"/>
  <c r="AX254" i="3"/>
  <c r="AY254" i="3"/>
  <c r="AW255" i="3"/>
  <c r="AX255" i="3"/>
  <c r="AY255" i="3"/>
  <c r="AW256" i="3"/>
  <c r="AX256" i="3"/>
  <c r="AY256" i="3"/>
  <c r="AW257" i="3"/>
  <c r="AX257" i="3"/>
  <c r="AY257" i="3"/>
  <c r="AW258" i="3"/>
  <c r="AX258" i="3"/>
  <c r="AY258" i="3"/>
  <c r="AW259" i="3"/>
  <c r="AX259" i="3"/>
  <c r="AY259" i="3"/>
  <c r="AW260" i="3"/>
  <c r="AX260" i="3"/>
  <c r="AY260" i="3"/>
  <c r="AW261" i="3"/>
  <c r="AX261" i="3"/>
  <c r="AY261" i="3"/>
  <c r="AW262" i="3"/>
  <c r="AX262" i="3"/>
  <c r="AY262" i="3"/>
  <c r="AW263" i="3"/>
  <c r="AX263" i="3"/>
  <c r="AY263" i="3"/>
  <c r="AW264" i="3"/>
  <c r="AX264" i="3"/>
  <c r="AY264" i="3"/>
  <c r="AW265" i="3"/>
  <c r="AX265" i="3"/>
  <c r="AY265" i="3"/>
  <c r="AW266" i="3"/>
  <c r="AX266" i="3"/>
  <c r="AY266" i="3"/>
  <c r="AW267" i="3"/>
  <c r="AX267" i="3"/>
  <c r="AY267" i="3"/>
  <c r="AW268" i="3"/>
  <c r="AX268" i="3"/>
  <c r="AY268" i="3"/>
  <c r="AW269" i="3"/>
  <c r="AX269" i="3"/>
  <c r="AY269" i="3"/>
  <c r="AW270" i="3"/>
  <c r="AX270" i="3"/>
  <c r="AY270" i="3"/>
  <c r="AW271" i="3"/>
  <c r="AX271" i="3"/>
  <c r="AY271" i="3"/>
  <c r="AW272" i="3"/>
  <c r="AX272" i="3"/>
  <c r="AY272" i="3"/>
  <c r="AW273" i="3"/>
  <c r="AX273" i="3"/>
  <c r="AY273" i="3"/>
  <c r="AW274" i="3"/>
  <c r="AX274" i="3"/>
  <c r="AY274" i="3"/>
  <c r="AW275" i="3"/>
  <c r="AX275" i="3"/>
  <c r="AY275" i="3"/>
  <c r="AW276" i="3"/>
  <c r="AX276" i="3"/>
  <c r="AY276" i="3"/>
  <c r="AW278" i="3"/>
  <c r="AX278" i="3"/>
  <c r="AY278" i="3"/>
  <c r="AW279" i="3"/>
  <c r="AX279" i="3"/>
  <c r="AY279" i="3"/>
  <c r="AW280" i="3"/>
  <c r="AX280" i="3"/>
  <c r="AY280" i="3"/>
  <c r="AW281" i="3"/>
  <c r="AX281" i="3"/>
  <c r="AY281" i="3"/>
  <c r="AW282" i="3"/>
  <c r="AX282" i="3"/>
  <c r="AY282" i="3"/>
  <c r="AW283" i="3"/>
  <c r="AX283" i="3"/>
  <c r="AY283" i="3"/>
  <c r="AW284" i="3"/>
  <c r="AX284" i="3"/>
  <c r="AY284" i="3"/>
  <c r="AW285" i="3"/>
  <c r="AX285" i="3"/>
  <c r="AY285" i="3"/>
  <c r="AW286" i="3"/>
  <c r="AX286" i="3"/>
  <c r="AY286" i="3"/>
  <c r="AW287" i="3"/>
  <c r="AX287" i="3"/>
  <c r="AY287" i="3"/>
  <c r="AW288" i="3"/>
  <c r="AX288" i="3"/>
  <c r="AY288" i="3"/>
  <c r="AW289" i="3"/>
  <c r="AX289" i="3"/>
  <c r="AY289" i="3"/>
  <c r="AW290" i="3"/>
  <c r="AX290" i="3"/>
  <c r="AY290" i="3"/>
  <c r="AW291" i="3"/>
  <c r="AX291" i="3"/>
  <c r="AY291" i="3"/>
  <c r="AW292" i="3"/>
  <c r="AX292" i="3"/>
  <c r="AY292" i="3"/>
  <c r="AW293" i="3"/>
  <c r="AX293" i="3"/>
  <c r="AY293" i="3"/>
  <c r="AW294" i="3"/>
  <c r="AX294" i="3"/>
  <c r="AY294" i="3"/>
  <c r="AW295" i="3"/>
  <c r="AX295" i="3"/>
  <c r="AY295" i="3"/>
  <c r="AW296" i="3"/>
  <c r="AX296" i="3"/>
  <c r="AY296" i="3"/>
  <c r="AW297" i="3"/>
  <c r="AX297" i="3"/>
  <c r="AY297" i="3"/>
  <c r="AW298" i="3"/>
  <c r="AX298" i="3"/>
  <c r="AY298" i="3"/>
  <c r="AW299" i="3"/>
  <c r="AX299" i="3"/>
  <c r="AY299" i="3"/>
  <c r="AW300" i="3"/>
  <c r="AX300" i="3"/>
  <c r="AY300" i="3"/>
  <c r="AW301" i="3"/>
  <c r="AX301" i="3"/>
  <c r="AY301" i="3"/>
  <c r="AW302" i="3"/>
  <c r="AX302" i="3"/>
  <c r="AY302" i="3"/>
  <c r="AW303" i="3"/>
  <c r="AX303" i="3"/>
  <c r="AY303" i="3"/>
  <c r="AW304" i="3"/>
  <c r="AX304" i="3"/>
  <c r="AY304" i="3"/>
  <c r="AW305" i="3"/>
  <c r="AX305" i="3"/>
  <c r="AY305" i="3"/>
  <c r="AW306" i="3"/>
  <c r="AX306" i="3"/>
  <c r="AY306" i="3"/>
  <c r="AW307" i="3"/>
  <c r="AX307" i="3"/>
  <c r="AY307" i="3"/>
  <c r="AW308" i="3"/>
  <c r="AX308" i="3"/>
  <c r="AY308" i="3"/>
  <c r="AW309" i="3"/>
  <c r="AX309" i="3"/>
  <c r="AY309" i="3"/>
  <c r="AW310" i="3"/>
  <c r="AX310" i="3"/>
  <c r="AY310" i="3"/>
  <c r="AW311" i="3"/>
  <c r="AX311" i="3"/>
  <c r="AY311" i="3"/>
  <c r="AW312" i="3"/>
  <c r="AX312" i="3"/>
  <c r="AY312" i="3"/>
  <c r="AW313" i="3"/>
  <c r="AX313" i="3"/>
  <c r="AY313" i="3"/>
  <c r="AW314" i="3"/>
  <c r="AX314" i="3"/>
  <c r="AY314" i="3"/>
  <c r="AW315" i="3"/>
  <c r="AX315" i="3"/>
  <c r="AY315" i="3"/>
  <c r="AW316" i="3"/>
  <c r="AX316" i="3"/>
  <c r="AY316" i="3"/>
  <c r="AW317" i="3"/>
  <c r="AX317" i="3"/>
  <c r="AY317" i="3"/>
  <c r="AW318" i="3"/>
  <c r="AX318" i="3"/>
  <c r="AY318" i="3"/>
  <c r="AW319" i="3"/>
  <c r="AX319" i="3"/>
  <c r="AY319" i="3"/>
  <c r="AW320" i="3"/>
  <c r="AX320" i="3"/>
  <c r="AY320" i="3"/>
  <c r="AW322" i="3"/>
  <c r="AX322" i="3"/>
  <c r="AY322" i="3"/>
  <c r="AW323" i="3"/>
  <c r="AX323" i="3"/>
  <c r="AY323" i="3"/>
  <c r="AW324" i="3"/>
  <c r="AX324" i="3"/>
  <c r="AY324" i="3"/>
  <c r="AW325" i="3"/>
  <c r="AX325" i="3"/>
  <c r="AY325" i="3"/>
  <c r="AW326" i="3"/>
  <c r="AX326" i="3"/>
  <c r="AY326" i="3"/>
  <c r="AW327" i="3"/>
  <c r="AX327" i="3"/>
  <c r="AY327" i="3"/>
  <c r="AW328" i="3"/>
  <c r="AX328" i="3"/>
  <c r="AY328" i="3"/>
  <c r="AW329" i="3"/>
  <c r="AX329" i="3"/>
  <c r="AY329" i="3"/>
  <c r="AW330" i="3"/>
  <c r="AX330" i="3"/>
  <c r="AY330" i="3"/>
  <c r="AW331" i="3"/>
  <c r="AX331" i="3"/>
  <c r="AY331" i="3"/>
  <c r="AW332" i="3"/>
  <c r="AX332" i="3"/>
  <c r="AY332" i="3"/>
  <c r="AW333" i="3"/>
  <c r="AX333" i="3"/>
  <c r="AY333" i="3"/>
  <c r="AW334" i="3"/>
  <c r="AX334" i="3"/>
  <c r="AY334" i="3"/>
  <c r="AW335" i="3"/>
  <c r="AX335" i="3"/>
  <c r="AY335" i="3"/>
  <c r="AW336" i="3"/>
  <c r="AX336" i="3"/>
  <c r="AY336" i="3"/>
  <c r="AW337" i="3"/>
  <c r="AX337" i="3"/>
  <c r="AY337" i="3"/>
  <c r="AW338" i="3"/>
  <c r="AX338" i="3"/>
  <c r="AY338" i="3"/>
  <c r="AW339" i="3"/>
  <c r="AX339" i="3"/>
  <c r="AY339" i="3"/>
  <c r="AW340" i="3"/>
  <c r="AX340" i="3"/>
  <c r="AY340" i="3"/>
  <c r="AW341" i="3"/>
  <c r="AX341" i="3"/>
  <c r="AY341" i="3"/>
  <c r="AW342" i="3"/>
  <c r="AX342" i="3"/>
  <c r="AY342" i="3"/>
  <c r="AW343" i="3"/>
  <c r="AX343" i="3"/>
  <c r="AY343" i="3"/>
  <c r="AW344" i="3"/>
  <c r="AX344" i="3"/>
  <c r="AY344" i="3"/>
  <c r="AW345" i="3"/>
  <c r="AX345" i="3"/>
  <c r="AY345" i="3"/>
  <c r="AW346" i="3"/>
  <c r="AX346" i="3"/>
  <c r="AY346" i="3"/>
  <c r="AW347" i="3"/>
  <c r="AX347" i="3"/>
  <c r="AY347" i="3"/>
  <c r="AW348" i="3"/>
  <c r="AX348" i="3"/>
  <c r="AY348" i="3"/>
  <c r="AW349" i="3"/>
  <c r="AX349" i="3"/>
  <c r="AY349" i="3"/>
  <c r="AW350" i="3"/>
  <c r="AX350" i="3"/>
  <c r="AY350" i="3"/>
  <c r="AW351" i="3"/>
  <c r="AX351" i="3"/>
  <c r="AY351" i="3"/>
  <c r="AW352" i="3"/>
  <c r="AX352" i="3"/>
  <c r="AY352" i="3"/>
  <c r="AW353" i="3"/>
  <c r="AX353" i="3"/>
  <c r="AY353" i="3"/>
  <c r="AW354" i="3"/>
  <c r="AX354" i="3"/>
  <c r="AY354" i="3"/>
  <c r="AW355" i="3"/>
  <c r="AX355" i="3"/>
  <c r="AY355" i="3"/>
  <c r="AW356" i="3"/>
  <c r="AX356" i="3"/>
  <c r="AY356" i="3"/>
  <c r="AW357" i="3"/>
  <c r="AX357" i="3"/>
  <c r="AY357" i="3"/>
  <c r="AX234" i="3"/>
  <c r="AY234" i="3"/>
  <c r="AW234" i="3"/>
  <c r="AW189" i="3"/>
  <c r="AX189" i="3"/>
  <c r="AY189" i="3"/>
  <c r="AW190" i="3"/>
  <c r="AX190" i="3"/>
  <c r="AY190" i="3"/>
  <c r="AW191" i="3"/>
  <c r="AX191" i="3"/>
  <c r="AY191" i="3"/>
  <c r="AW192" i="3"/>
  <c r="AX192" i="3"/>
  <c r="AY192" i="3"/>
  <c r="AW193" i="3"/>
  <c r="AX193" i="3"/>
  <c r="AY193" i="3"/>
  <c r="AW194" i="3"/>
  <c r="AX194" i="3"/>
  <c r="AY194" i="3"/>
  <c r="AW195" i="3"/>
  <c r="AX195" i="3"/>
  <c r="AY195" i="3"/>
  <c r="AW196" i="3"/>
  <c r="AX196" i="3"/>
  <c r="AY196" i="3"/>
  <c r="AW197" i="3"/>
  <c r="AX197" i="3"/>
  <c r="AY197" i="3"/>
  <c r="AW198" i="3"/>
  <c r="AX198" i="3"/>
  <c r="AY198" i="3"/>
  <c r="AW199" i="3"/>
  <c r="AX199" i="3"/>
  <c r="AY199" i="3"/>
  <c r="AW200" i="3"/>
  <c r="AX200" i="3"/>
  <c r="AY200" i="3"/>
  <c r="AW201" i="3"/>
  <c r="AX201" i="3"/>
  <c r="AY201" i="3"/>
  <c r="AW202" i="3"/>
  <c r="AX202" i="3"/>
  <c r="AY202" i="3"/>
  <c r="AW203" i="3"/>
  <c r="AX203" i="3"/>
  <c r="AY203" i="3"/>
  <c r="AW204" i="3"/>
  <c r="AX204" i="3"/>
  <c r="AY204" i="3"/>
  <c r="AW205" i="3"/>
  <c r="AX205" i="3"/>
  <c r="AY205" i="3"/>
  <c r="AW206" i="3"/>
  <c r="AX206" i="3"/>
  <c r="AY206" i="3"/>
  <c r="AW207" i="3"/>
  <c r="AX207" i="3"/>
  <c r="AY207" i="3"/>
  <c r="AW208" i="3"/>
  <c r="AX208" i="3"/>
  <c r="AY208" i="3"/>
  <c r="AW209" i="3"/>
  <c r="AX209" i="3"/>
  <c r="AY209" i="3"/>
  <c r="AW210" i="3"/>
  <c r="AX210" i="3"/>
  <c r="AY210" i="3"/>
  <c r="AW211" i="3"/>
  <c r="AX211" i="3"/>
  <c r="AY211" i="3"/>
  <c r="AW212" i="3"/>
  <c r="AX212" i="3"/>
  <c r="AY212" i="3"/>
  <c r="AW213" i="3"/>
  <c r="AX213" i="3"/>
  <c r="AY213" i="3"/>
  <c r="AW214" i="3"/>
  <c r="AX214" i="3"/>
  <c r="AY214" i="3"/>
  <c r="AW215" i="3"/>
  <c r="AX215" i="3"/>
  <c r="AY215" i="3"/>
  <c r="AW216" i="3"/>
  <c r="AX216" i="3"/>
  <c r="AY216" i="3"/>
  <c r="AW217" i="3"/>
  <c r="AX217" i="3"/>
  <c r="AY217" i="3"/>
  <c r="AW218" i="3"/>
  <c r="AX218" i="3"/>
  <c r="AY218" i="3"/>
  <c r="AW219" i="3"/>
  <c r="AX219" i="3"/>
  <c r="AY219" i="3"/>
  <c r="AW220" i="3"/>
  <c r="AX220" i="3"/>
  <c r="AY220" i="3"/>
  <c r="AW221" i="3"/>
  <c r="AX221" i="3"/>
  <c r="AY221" i="3"/>
  <c r="AW222" i="3"/>
  <c r="AX222" i="3"/>
  <c r="AY222" i="3"/>
  <c r="AW223" i="3"/>
  <c r="AX223" i="3"/>
  <c r="AY223" i="3"/>
  <c r="AW224" i="3"/>
  <c r="AX224" i="3"/>
  <c r="AY224" i="3"/>
  <c r="AW225" i="3"/>
  <c r="AX225" i="3"/>
  <c r="AY225" i="3"/>
  <c r="AW226" i="3"/>
  <c r="AX226" i="3"/>
  <c r="AY226" i="3"/>
  <c r="AW227" i="3"/>
  <c r="AX227" i="3"/>
  <c r="AY227" i="3"/>
  <c r="AW228" i="3"/>
  <c r="AX228" i="3"/>
  <c r="AY228" i="3"/>
  <c r="AW229" i="3"/>
  <c r="AX229" i="3"/>
  <c r="AY229" i="3"/>
  <c r="AW230" i="3"/>
  <c r="AX230" i="3"/>
  <c r="AY230" i="3"/>
  <c r="AW231" i="3"/>
  <c r="AX231" i="3"/>
  <c r="AY231" i="3"/>
  <c r="AX188" i="3"/>
  <c r="AY188" i="3"/>
  <c r="AW188" i="3"/>
  <c r="AL234" i="3"/>
  <c r="AK234" i="3"/>
  <c r="AI234" i="3"/>
  <c r="AF234" i="3"/>
  <c r="AD234" i="3"/>
  <c r="AC234" i="3"/>
  <c r="AB234" i="3"/>
  <c r="AA234" i="3"/>
  <c r="Z234" i="3"/>
  <c r="Y234" i="3"/>
  <c r="X234" i="3"/>
  <c r="W234" i="3"/>
  <c r="V234" i="3"/>
  <c r="T234" i="3"/>
  <c r="S234" i="3"/>
  <c r="R234" i="3"/>
  <c r="Q234" i="3"/>
  <c r="P234" i="3"/>
  <c r="O234" i="3"/>
  <c r="N234" i="3"/>
  <c r="M234" i="3"/>
  <c r="L234" i="3"/>
  <c r="AS109" i="3"/>
  <c r="AT109" i="3"/>
  <c r="AU109" i="3"/>
  <c r="AV109" i="3"/>
  <c r="AR109" i="3"/>
  <c r="AN109" i="3"/>
  <c r="AO109" i="3"/>
  <c r="AP109" i="3"/>
  <c r="AQ109" i="3"/>
  <c r="AM109" i="3"/>
  <c r="AA109" i="3"/>
  <c r="AB109" i="3"/>
  <c r="AC109" i="3"/>
  <c r="AD109" i="3"/>
  <c r="Z109" i="3"/>
  <c r="V109" i="3"/>
  <c r="W109" i="3"/>
  <c r="X109" i="3"/>
  <c r="Y109" i="3"/>
  <c r="U109" i="3"/>
  <c r="Q109" i="3"/>
  <c r="R109" i="3"/>
  <c r="AG109" i="3" s="1"/>
  <c r="S109" i="3"/>
  <c r="AI109" i="3" s="1"/>
  <c r="T109" i="3"/>
  <c r="AW109" i="3" s="1"/>
  <c r="P109" i="3"/>
  <c r="L109" i="3"/>
  <c r="M109" i="3"/>
  <c r="N109" i="3"/>
  <c r="O109" i="3"/>
  <c r="K109" i="3"/>
  <c r="AS110" i="3"/>
  <c r="AT110" i="3"/>
  <c r="AY110" i="3" s="1"/>
  <c r="AU110" i="3"/>
  <c r="AV110" i="3"/>
  <c r="AR110" i="3"/>
  <c r="AN110" i="3"/>
  <c r="AO110" i="3"/>
  <c r="AP110" i="3"/>
  <c r="AQ110" i="3"/>
  <c r="AM110" i="3"/>
  <c r="AA110" i="3"/>
  <c r="AB110" i="3"/>
  <c r="AC110" i="3"/>
  <c r="AD110" i="3"/>
  <c r="Z110" i="3"/>
  <c r="V110" i="3"/>
  <c r="W110" i="3"/>
  <c r="X110" i="3"/>
  <c r="Y110" i="3"/>
  <c r="U110" i="3"/>
  <c r="Q110" i="3"/>
  <c r="R110" i="3"/>
  <c r="S110" i="3"/>
  <c r="T110" i="3"/>
  <c r="AH110" i="3" s="1"/>
  <c r="P110" i="3"/>
  <c r="L110" i="3"/>
  <c r="M110" i="3"/>
  <c r="N110" i="3"/>
  <c r="O110" i="3"/>
  <c r="K110" i="3"/>
  <c r="K111" i="3"/>
  <c r="AS117" i="3"/>
  <c r="AT117" i="3"/>
  <c r="AU117" i="3"/>
  <c r="AV117" i="3"/>
  <c r="AR117" i="3"/>
  <c r="AN117" i="3"/>
  <c r="AO117" i="3"/>
  <c r="AP117" i="3"/>
  <c r="AQ117" i="3"/>
  <c r="AM117" i="3"/>
  <c r="AA117" i="3"/>
  <c r="AB117" i="3"/>
  <c r="AC117" i="3"/>
  <c r="AD117" i="3"/>
  <c r="Z117" i="3"/>
  <c r="Q117" i="3"/>
  <c r="R117" i="3"/>
  <c r="S117" i="3"/>
  <c r="T117" i="3"/>
  <c r="AE117" i="3" s="1"/>
  <c r="P117" i="3"/>
  <c r="L117" i="3"/>
  <c r="M117" i="3"/>
  <c r="N117" i="3"/>
  <c r="O117" i="3"/>
  <c r="K117" i="3"/>
  <c r="H1106" i="10"/>
  <c r="Y117" i="3" s="1"/>
  <c r="G1106" i="10"/>
  <c r="X117" i="3" s="1"/>
  <c r="F1106" i="10"/>
  <c r="W117" i="3" s="1"/>
  <c r="E1106" i="10"/>
  <c r="V117" i="3" s="1"/>
  <c r="D1106" i="10"/>
  <c r="U117" i="3" s="1"/>
  <c r="AL305" i="13" l="1"/>
  <c r="AK301" i="13"/>
  <c r="AL301" i="13"/>
  <c r="AL297" i="13"/>
  <c r="AK297" i="13"/>
  <c r="AK296" i="13"/>
  <c r="AK293" i="13"/>
  <c r="AL293" i="13"/>
  <c r="AK289" i="13"/>
  <c r="AL289" i="13"/>
  <c r="AL285" i="13"/>
  <c r="AK285" i="13"/>
  <c r="AK281" i="13"/>
  <c r="AL281" i="13"/>
  <c r="AM278" i="13"/>
  <c r="AG120" i="13"/>
  <c r="AJ120" i="13"/>
  <c r="AH120" i="13"/>
  <c r="AK120" i="13"/>
  <c r="AL278" i="13"/>
  <c r="AK304" i="13"/>
  <c r="AL304" i="13"/>
  <c r="AK292" i="13"/>
  <c r="AL292" i="13"/>
  <c r="AK280" i="13"/>
  <c r="AL280" i="13"/>
  <c r="AK268" i="13"/>
  <c r="AL268" i="13"/>
  <c r="AK256" i="13"/>
  <c r="AL256" i="13"/>
  <c r="AK244" i="13"/>
  <c r="AL244" i="13"/>
  <c r="AL232" i="13"/>
  <c r="AK232" i="13"/>
  <c r="AL220" i="13"/>
  <c r="AK220" i="13"/>
  <c r="AK302" i="13"/>
  <c r="AK290" i="13"/>
  <c r="AK278" i="13"/>
  <c r="AK266" i="13"/>
  <c r="AK254" i="13"/>
  <c r="AK242" i="13"/>
  <c r="AK229" i="13"/>
  <c r="AK217" i="13"/>
  <c r="AL306" i="13"/>
  <c r="AL294" i="13"/>
  <c r="AL282" i="13"/>
  <c r="AL270" i="13"/>
  <c r="AL258" i="13"/>
  <c r="AL246" i="13"/>
  <c r="AL233" i="13"/>
  <c r="AL221" i="13"/>
  <c r="AK300" i="13"/>
  <c r="AK288" i="13"/>
  <c r="AK276" i="13"/>
  <c r="AK264" i="13"/>
  <c r="AK252" i="13"/>
  <c r="AK239" i="13"/>
  <c r="AK227" i="13"/>
  <c r="AK215" i="13"/>
  <c r="AK299" i="13"/>
  <c r="AK287" i="13"/>
  <c r="AK275" i="13"/>
  <c r="AK263" i="13"/>
  <c r="AK251" i="13"/>
  <c r="AK238" i="13"/>
  <c r="AK226" i="13"/>
  <c r="AK214" i="13"/>
  <c r="AL303" i="13"/>
  <c r="AL291" i="13"/>
  <c r="AL279" i="13"/>
  <c r="AL267" i="13"/>
  <c r="AL255" i="13"/>
  <c r="AL243" i="13"/>
  <c r="AL230" i="13"/>
  <c r="AL218" i="13"/>
  <c r="AK298" i="13"/>
  <c r="AK286" i="13"/>
  <c r="AK274" i="13"/>
  <c r="AK262" i="13"/>
  <c r="AK250" i="13"/>
  <c r="AK237" i="13"/>
  <c r="AK225" i="13"/>
  <c r="AK213" i="13"/>
  <c r="AK284" i="13"/>
  <c r="AK272" i="13"/>
  <c r="AK260" i="13"/>
  <c r="AK248" i="13"/>
  <c r="AK235" i="13"/>
  <c r="AK223" i="13"/>
  <c r="AK211" i="13"/>
  <c r="AK307" i="13"/>
  <c r="AK295" i="13"/>
  <c r="AK283" i="13"/>
  <c r="AK271" i="13"/>
  <c r="AK259" i="13"/>
  <c r="AK247" i="13"/>
  <c r="AK234" i="13"/>
  <c r="AK222" i="13"/>
  <c r="AK210" i="13"/>
  <c r="AK209" i="13"/>
  <c r="AK83" i="13"/>
  <c r="AL241" i="13"/>
  <c r="AK241" i="13"/>
  <c r="AI83" i="13"/>
  <c r="AH83" i="13"/>
  <c r="AF83" i="13"/>
  <c r="AE83" i="13"/>
  <c r="AN241" i="13"/>
  <c r="AM241" i="13"/>
  <c r="AG241" i="13"/>
  <c r="AH3" i="13"/>
  <c r="AI3" i="13"/>
  <c r="X305" i="13"/>
  <c r="Y232" i="13"/>
  <c r="Q186" i="13"/>
  <c r="Y169" i="13"/>
  <c r="Y205" i="13"/>
  <c r="Y209" i="13"/>
  <c r="Y222" i="13"/>
  <c r="Y224" i="13"/>
  <c r="Y226" i="13"/>
  <c r="Y228" i="13"/>
  <c r="Y230" i="13"/>
  <c r="BC43" i="13"/>
  <c r="BC203" i="13" s="1"/>
  <c r="V165" i="13"/>
  <c r="V169" i="13"/>
  <c r="P188" i="13"/>
  <c r="P190" i="13"/>
  <c r="P192" i="13"/>
  <c r="P200" i="13"/>
  <c r="P202" i="13"/>
  <c r="Y219" i="13"/>
  <c r="X173" i="13"/>
  <c r="Y201" i="13"/>
  <c r="Y203" i="13"/>
  <c r="Y171" i="13"/>
  <c r="BB98" i="13"/>
  <c r="BB256" i="13" s="1"/>
  <c r="Q304" i="13"/>
  <c r="Q306" i="13"/>
  <c r="BD82" i="13"/>
  <c r="BD240" i="13" s="1"/>
  <c r="Q180" i="13"/>
  <c r="BD4" i="13"/>
  <c r="BD164" i="13" s="1"/>
  <c r="BD6" i="13"/>
  <c r="BD166" i="13" s="1"/>
  <c r="BD18" i="13"/>
  <c r="BD178" i="13" s="1"/>
  <c r="BB103" i="13"/>
  <c r="BB261" i="13" s="1"/>
  <c r="P242" i="13"/>
  <c r="BB4" i="13"/>
  <c r="BB164" i="13" s="1"/>
  <c r="U170" i="13"/>
  <c r="U172" i="13"/>
  <c r="U174" i="13"/>
  <c r="T210" i="13"/>
  <c r="Y237" i="13"/>
  <c r="X238" i="13"/>
  <c r="T204" i="13"/>
  <c r="BB135" i="13"/>
  <c r="BB293" i="13" s="1"/>
  <c r="BB118" i="13"/>
  <c r="BB276" i="13" s="1"/>
  <c r="P264" i="13"/>
  <c r="P266" i="13"/>
  <c r="P271" i="13"/>
  <c r="P273" i="13"/>
  <c r="P275" i="13"/>
  <c r="Q288" i="13"/>
  <c r="Y210" i="13"/>
  <c r="X263" i="13"/>
  <c r="X265" i="13"/>
  <c r="X267" i="13"/>
  <c r="X268" i="13"/>
  <c r="X270" i="13"/>
  <c r="X272" i="13"/>
  <c r="X276" i="13"/>
  <c r="W281" i="13"/>
  <c r="W283" i="13"/>
  <c r="W284" i="13"/>
  <c r="W286" i="13"/>
  <c r="Q237" i="13"/>
  <c r="V173" i="13"/>
  <c r="BD83" i="13"/>
  <c r="BD241" i="13" s="1"/>
  <c r="BC4" i="13"/>
  <c r="BC164" i="13" s="1"/>
  <c r="W233" i="13"/>
  <c r="V295" i="13"/>
  <c r="BD61" i="13"/>
  <c r="BD219" i="13" s="1"/>
  <c r="BD62" i="13"/>
  <c r="BD220" i="13" s="1"/>
  <c r="BD64" i="13"/>
  <c r="BD222" i="13" s="1"/>
  <c r="BD66" i="13"/>
  <c r="BD224" i="13" s="1"/>
  <c r="BD68" i="13"/>
  <c r="BD226" i="13" s="1"/>
  <c r="V164" i="13"/>
  <c r="V166" i="13"/>
  <c r="V174" i="13"/>
  <c r="Q262" i="13"/>
  <c r="Q275" i="13"/>
  <c r="W164" i="13"/>
  <c r="Y212" i="13"/>
  <c r="Y214" i="13"/>
  <c r="Y263" i="13"/>
  <c r="Y267" i="13"/>
  <c r="Y270" i="13"/>
  <c r="Y272" i="13"/>
  <c r="V221" i="13"/>
  <c r="V223" i="13"/>
  <c r="V225" i="13"/>
  <c r="V227" i="13"/>
  <c r="V229" i="13"/>
  <c r="V231" i="13"/>
  <c r="U254" i="13"/>
  <c r="P172" i="13"/>
  <c r="W258" i="13"/>
  <c r="Q292" i="13"/>
  <c r="Q176" i="13"/>
  <c r="Q182" i="13"/>
  <c r="Q190" i="13"/>
  <c r="BD54" i="13"/>
  <c r="BD212" i="13" s="1"/>
  <c r="BD84" i="13"/>
  <c r="BD242" i="13" s="1"/>
  <c r="Q266" i="13"/>
  <c r="Q269" i="13"/>
  <c r="Q271" i="13"/>
  <c r="S214" i="13"/>
  <c r="S251" i="13"/>
  <c r="BC134" i="13"/>
  <c r="BC292" i="13" s="1"/>
  <c r="Y268" i="13"/>
  <c r="V236" i="13"/>
  <c r="U242" i="13"/>
  <c r="U244" i="13"/>
  <c r="U250" i="13"/>
  <c r="T264" i="13"/>
  <c r="Y220" i="13"/>
  <c r="BC63" i="13"/>
  <c r="BC221" i="13" s="1"/>
  <c r="BD85" i="13"/>
  <c r="BD243" i="13" s="1"/>
  <c r="BD89" i="13"/>
  <c r="BD247" i="13" s="1"/>
  <c r="Q167" i="13"/>
  <c r="BD70" i="13"/>
  <c r="BD228" i="13" s="1"/>
  <c r="V249" i="13"/>
  <c r="P253" i="13"/>
  <c r="P257" i="13"/>
  <c r="BB107" i="13"/>
  <c r="BB265" i="13" s="1"/>
  <c r="BB116" i="13"/>
  <c r="BB274" i="13" s="1"/>
  <c r="Y164" i="13"/>
  <c r="S226" i="13"/>
  <c r="Q251" i="13"/>
  <c r="P294" i="13"/>
  <c r="Y168" i="13"/>
  <c r="Y172" i="13"/>
  <c r="Y176" i="13"/>
  <c r="Y178" i="13"/>
  <c r="Y180" i="13"/>
  <c r="Y182" i="13"/>
  <c r="Y184" i="13"/>
  <c r="Y186" i="13"/>
  <c r="Y238" i="13"/>
  <c r="Y240" i="13"/>
  <c r="Y241" i="13"/>
  <c r="Y243" i="13"/>
  <c r="Y245" i="13"/>
  <c r="X254" i="13"/>
  <c r="V276" i="13"/>
  <c r="U303" i="13"/>
  <c r="U304" i="13"/>
  <c r="U306" i="13"/>
  <c r="BB19" i="13"/>
  <c r="BB179" i="13" s="1"/>
  <c r="BB25" i="13"/>
  <c r="BB185" i="13" s="1"/>
  <c r="BB27" i="13"/>
  <c r="BB187" i="13" s="1"/>
  <c r="BB41" i="13"/>
  <c r="BB201" i="13" s="1"/>
  <c r="Y249" i="13"/>
  <c r="S250" i="13"/>
  <c r="Y252" i="13"/>
  <c r="Y254" i="13"/>
  <c r="W265" i="13"/>
  <c r="W270" i="13"/>
  <c r="W276" i="13"/>
  <c r="X289" i="13"/>
  <c r="X291" i="13"/>
  <c r="V301" i="13"/>
  <c r="V303" i="13"/>
  <c r="Q278" i="13"/>
  <c r="Q280" i="13"/>
  <c r="Q282" i="13"/>
  <c r="W226" i="13"/>
  <c r="W230" i="13"/>
  <c r="U248" i="13"/>
  <c r="R278" i="13"/>
  <c r="W169" i="13"/>
  <c r="W171" i="13"/>
  <c r="W179" i="13"/>
  <c r="W181" i="13"/>
  <c r="W183" i="13"/>
  <c r="W189" i="13"/>
  <c r="W191" i="13"/>
  <c r="W195" i="13"/>
  <c r="W197" i="13"/>
  <c r="W199" i="13"/>
  <c r="W203" i="13"/>
  <c r="W205" i="13"/>
  <c r="W209" i="13"/>
  <c r="BD56" i="13"/>
  <c r="BD214" i="13" s="1"/>
  <c r="Y277" i="13"/>
  <c r="Y279" i="13"/>
  <c r="Y281" i="13"/>
  <c r="Y283" i="13"/>
  <c r="U299" i="13"/>
  <c r="T227" i="13"/>
  <c r="T229" i="13"/>
  <c r="T231" i="13"/>
  <c r="BC87" i="13"/>
  <c r="BC245" i="13" s="1"/>
  <c r="T180" i="13"/>
  <c r="T182" i="13"/>
  <c r="X297" i="13"/>
  <c r="U173" i="13"/>
  <c r="S201" i="13"/>
  <c r="T211" i="13"/>
  <c r="T213" i="13"/>
  <c r="T215" i="13"/>
  <c r="T217" i="13"/>
  <c r="T218" i="13"/>
  <c r="T221" i="13"/>
  <c r="T223" i="13"/>
  <c r="T225" i="13"/>
  <c r="U251" i="13"/>
  <c r="U293" i="13"/>
  <c r="X302" i="13"/>
  <c r="Q170" i="13"/>
  <c r="X176" i="13"/>
  <c r="P194" i="13"/>
  <c r="P198" i="13"/>
  <c r="V211" i="13"/>
  <c r="V213" i="13"/>
  <c r="V215" i="13"/>
  <c r="V216" i="13"/>
  <c r="V217" i="13"/>
  <c r="V218" i="13"/>
  <c r="BD91" i="13"/>
  <c r="BD249" i="13" s="1"/>
  <c r="V205" i="13"/>
  <c r="P206" i="13"/>
  <c r="T262" i="13"/>
  <c r="R266" i="13"/>
  <c r="P278" i="13"/>
  <c r="P280" i="13"/>
  <c r="P282" i="13"/>
  <c r="P285" i="13"/>
  <c r="R288" i="13"/>
  <c r="R290" i="13"/>
  <c r="S166" i="13"/>
  <c r="Q200" i="13"/>
  <c r="BD72" i="13"/>
  <c r="BD230" i="13" s="1"/>
  <c r="P246" i="13"/>
  <c r="V247" i="13"/>
  <c r="BD98" i="13"/>
  <c r="BD256" i="13" s="1"/>
  <c r="BC136" i="13"/>
  <c r="BC294" i="13" s="1"/>
  <c r="BD141" i="13"/>
  <c r="BD299" i="13" s="1"/>
  <c r="T192" i="13"/>
  <c r="S230" i="13"/>
  <c r="X277" i="13"/>
  <c r="X279" i="13"/>
  <c r="X283" i="13"/>
  <c r="X286" i="13"/>
  <c r="BB134" i="13"/>
  <c r="BB292" i="13" s="1"/>
  <c r="BC139" i="13"/>
  <c r="BC297" i="13" s="1"/>
  <c r="W301" i="13"/>
  <c r="T196" i="13"/>
  <c r="T198" i="13"/>
  <c r="S204" i="13"/>
  <c r="S206" i="13"/>
  <c r="T212" i="13"/>
  <c r="T214" i="13"/>
  <c r="T219" i="13"/>
  <c r="T220" i="13"/>
  <c r="T222" i="13"/>
  <c r="T224" i="13"/>
  <c r="T226" i="13"/>
  <c r="X249" i="13"/>
  <c r="W252" i="13"/>
  <c r="Q253" i="13"/>
  <c r="R167" i="13"/>
  <c r="BD25" i="13"/>
  <c r="BD185" i="13" s="1"/>
  <c r="BD39" i="13"/>
  <c r="BD199" i="13" s="1"/>
  <c r="U239" i="13"/>
  <c r="W296" i="13"/>
  <c r="S165" i="13"/>
  <c r="BC15" i="13"/>
  <c r="BC175" i="13" s="1"/>
  <c r="S183" i="13"/>
  <c r="BD35" i="13"/>
  <c r="BD195" i="13" s="1"/>
  <c r="P243" i="13"/>
  <c r="BD137" i="13"/>
  <c r="BD295" i="13" s="1"/>
  <c r="BD43" i="13"/>
  <c r="BD203" i="13" s="1"/>
  <c r="BD45" i="13"/>
  <c r="BD205" i="13" s="1"/>
  <c r="BD77" i="13"/>
  <c r="BD235" i="13" s="1"/>
  <c r="T289" i="13"/>
  <c r="T291" i="13"/>
  <c r="S295" i="13"/>
  <c r="Y299" i="13"/>
  <c r="V307" i="13"/>
  <c r="V163" i="13"/>
  <c r="U165" i="13"/>
  <c r="BD33" i="13"/>
  <c r="BD193" i="13" s="1"/>
  <c r="S219" i="13"/>
  <c r="P236" i="13"/>
  <c r="U238" i="13"/>
  <c r="U245" i="13"/>
  <c r="U247" i="13"/>
  <c r="S255" i="13"/>
  <c r="Y256" i="13"/>
  <c r="P259" i="13"/>
  <c r="T261" i="13"/>
  <c r="T269" i="13"/>
  <c r="T273" i="13"/>
  <c r="Y276" i="13"/>
  <c r="V284" i="13"/>
  <c r="V286" i="13"/>
  <c r="V289" i="13"/>
  <c r="V291" i="13"/>
  <c r="W307" i="13"/>
  <c r="W165" i="13"/>
  <c r="Q172" i="13"/>
  <c r="S195" i="13"/>
  <c r="S199" i="13"/>
  <c r="Q206" i="13"/>
  <c r="Y235" i="13"/>
  <c r="Q239" i="13"/>
  <c r="W241" i="13"/>
  <c r="Q242" i="13"/>
  <c r="Q244" i="13"/>
  <c r="W245" i="13"/>
  <c r="W247" i="13"/>
  <c r="BB91" i="13"/>
  <c r="BB249" i="13" s="1"/>
  <c r="BD94" i="13"/>
  <c r="BD252" i="13" s="1"/>
  <c r="U255" i="13"/>
  <c r="V261" i="13"/>
  <c r="BD142" i="13"/>
  <c r="BD300" i="13" s="1"/>
  <c r="Q178" i="13"/>
  <c r="BD41" i="13"/>
  <c r="BD201" i="13" s="1"/>
  <c r="P213" i="13"/>
  <c r="P215" i="13"/>
  <c r="P217" i="13"/>
  <c r="P223" i="13"/>
  <c r="P225" i="13"/>
  <c r="P227" i="13"/>
  <c r="P229" i="13"/>
  <c r="P231" i="13"/>
  <c r="X247" i="13"/>
  <c r="U249" i="13"/>
  <c r="U257" i="13"/>
  <c r="T265" i="13"/>
  <c r="Y289" i="13"/>
  <c r="Y291" i="13"/>
  <c r="W293" i="13"/>
  <c r="Q213" i="13"/>
  <c r="Q215" i="13"/>
  <c r="Q217" i="13"/>
  <c r="W220" i="13"/>
  <c r="Q223" i="13"/>
  <c r="Q227" i="13"/>
  <c r="Q229" i="13"/>
  <c r="W232" i="13"/>
  <c r="P248" i="13"/>
  <c r="P250" i="13"/>
  <c r="BB94" i="13"/>
  <c r="BB252" i="13" s="1"/>
  <c r="BD96" i="13"/>
  <c r="BD254" i="13" s="1"/>
  <c r="P262" i="13"/>
  <c r="V263" i="13"/>
  <c r="T285" i="13"/>
  <c r="BB142" i="13"/>
  <c r="BB300" i="13" s="1"/>
  <c r="BD144" i="13"/>
  <c r="BD302" i="13" s="1"/>
  <c r="BB6" i="13"/>
  <c r="BB166" i="13" s="1"/>
  <c r="W193" i="13"/>
  <c r="T206" i="13"/>
  <c r="BD75" i="13"/>
  <c r="BD233" i="13" s="1"/>
  <c r="U252" i="13"/>
  <c r="U259" i="13"/>
  <c r="V265" i="13"/>
  <c r="W295" i="13"/>
  <c r="Y297" i="13"/>
  <c r="BD140" i="13"/>
  <c r="BD298" i="13" s="1"/>
  <c r="X299" i="13"/>
  <c r="V304" i="13"/>
  <c r="V306" i="13"/>
  <c r="Q198" i="13"/>
  <c r="S211" i="13"/>
  <c r="S213" i="13"/>
  <c r="S215" i="13"/>
  <c r="S216" i="13"/>
  <c r="S217" i="13"/>
  <c r="S218" i="13"/>
  <c r="S225" i="13"/>
  <c r="S227" i="13"/>
  <c r="S229" i="13"/>
  <c r="S231" i="13"/>
  <c r="P237" i="13"/>
  <c r="P251" i="13"/>
  <c r="R262" i="13"/>
  <c r="Q264" i="13"/>
  <c r="T268" i="13"/>
  <c r="S298" i="13"/>
  <c r="W306" i="13"/>
  <c r="Q163" i="13"/>
  <c r="BB43" i="13"/>
  <c r="BB203" i="13" s="1"/>
  <c r="BC100" i="13"/>
  <c r="BC258" i="13" s="1"/>
  <c r="BC138" i="13"/>
  <c r="BC296" i="13" s="1"/>
  <c r="W300" i="13"/>
  <c r="BD147" i="13"/>
  <c r="BD305" i="13" s="1"/>
  <c r="R163" i="13"/>
  <c r="X164" i="13"/>
  <c r="W168" i="13"/>
  <c r="Q169" i="13"/>
  <c r="W176" i="13"/>
  <c r="T184" i="13"/>
  <c r="T186" i="13"/>
  <c r="T188" i="13"/>
  <c r="T203" i="13"/>
  <c r="BD79" i="13"/>
  <c r="BD237" i="13" s="1"/>
  <c r="X252" i="13"/>
  <c r="U256" i="13"/>
  <c r="Y265" i="13"/>
  <c r="V268" i="13"/>
  <c r="V274" i="13"/>
  <c r="U298" i="13"/>
  <c r="X300" i="13"/>
  <c r="Y306" i="13"/>
  <c r="S163" i="13"/>
  <c r="BD51" i="13"/>
  <c r="BD209" i="13" s="1"/>
  <c r="BD87" i="13"/>
  <c r="BD245" i="13" s="1"/>
  <c r="U296" i="13"/>
  <c r="V298" i="13"/>
  <c r="W302" i="13"/>
  <c r="T165" i="13"/>
  <c r="Q202" i="13"/>
  <c r="T205" i="13"/>
  <c r="BD74" i="13"/>
  <c r="BD232" i="13" s="1"/>
  <c r="X233" i="13"/>
  <c r="P234" i="13"/>
  <c r="T266" i="13"/>
  <c r="R275" i="13"/>
  <c r="S301" i="13"/>
  <c r="S212" i="13"/>
  <c r="BC54" i="13"/>
  <c r="BC212" i="13" s="1"/>
  <c r="BB96" i="13"/>
  <c r="BB254" i="13" s="1"/>
  <c r="BD100" i="13"/>
  <c r="BD258" i="13" s="1"/>
  <c r="T267" i="13"/>
  <c r="S209" i="13"/>
  <c r="BC51" i="13"/>
  <c r="BC209" i="13" s="1"/>
  <c r="S220" i="13"/>
  <c r="BC62" i="13"/>
  <c r="BC220" i="13" s="1"/>
  <c r="S224" i="13"/>
  <c r="BC66" i="13"/>
  <c r="BC224" i="13" s="1"/>
  <c r="BB77" i="13"/>
  <c r="BB235" i="13" s="1"/>
  <c r="BB136" i="13"/>
  <c r="BB294" i="13" s="1"/>
  <c r="S228" i="13"/>
  <c r="BC70" i="13"/>
  <c r="BC228" i="13" s="1"/>
  <c r="BA307" i="13"/>
  <c r="BB149" i="13"/>
  <c r="BB307" i="13" s="1"/>
  <c r="BD37" i="13"/>
  <c r="BD197" i="13" s="1"/>
  <c r="T277" i="13"/>
  <c r="T193" i="13"/>
  <c r="BB33" i="13"/>
  <c r="BB193" i="13" s="1"/>
  <c r="BD149" i="13"/>
  <c r="BD307" i="13" s="1"/>
  <c r="AT232" i="13"/>
  <c r="T263" i="13"/>
  <c r="BB105" i="13"/>
  <c r="BB263" i="13" s="1"/>
  <c r="AT284" i="13"/>
  <c r="BC141" i="13"/>
  <c r="BC299" i="13" s="1"/>
  <c r="BD52" i="13"/>
  <c r="BD210" i="13" s="1"/>
  <c r="P170" i="13"/>
  <c r="P176" i="13"/>
  <c r="BB17" i="13"/>
  <c r="BB177" i="13" s="1"/>
  <c r="P180" i="13"/>
  <c r="BB21" i="13"/>
  <c r="BB181" i="13" s="1"/>
  <c r="S193" i="13"/>
  <c r="BC39" i="13"/>
  <c r="BC199" i="13" s="1"/>
  <c r="Y233" i="13"/>
  <c r="P239" i="13"/>
  <c r="BB89" i="13"/>
  <c r="BB247" i="13" s="1"/>
  <c r="X256" i="13"/>
  <c r="U260" i="13"/>
  <c r="Y261" i="13"/>
  <c r="P269" i="13"/>
  <c r="V270" i="13"/>
  <c r="V281" i="13"/>
  <c r="Y284" i="13"/>
  <c r="Q290" i="13"/>
  <c r="W291" i="13"/>
  <c r="U295" i="13"/>
  <c r="X296" i="13"/>
  <c r="U300" i="13"/>
  <c r="U301" i="13"/>
  <c r="Y302" i="13"/>
  <c r="T304" i="13"/>
  <c r="W177" i="13"/>
  <c r="S187" i="13"/>
  <c r="T194" i="13"/>
  <c r="S197" i="13"/>
  <c r="T209" i="13"/>
  <c r="BB54" i="13"/>
  <c r="BB212" i="13" s="1"/>
  <c r="T216" i="13"/>
  <c r="BB62" i="13"/>
  <c r="BB220" i="13" s="1"/>
  <c r="BB66" i="13"/>
  <c r="BB224" i="13" s="1"/>
  <c r="T228" i="13"/>
  <c r="BB70" i="13"/>
  <c r="BB228" i="13" s="1"/>
  <c r="T236" i="13"/>
  <c r="Q238" i="13"/>
  <c r="Q246" i="13"/>
  <c r="Q250" i="13"/>
  <c r="Q259" i="13"/>
  <c r="W260" i="13"/>
  <c r="R269" i="13"/>
  <c r="T272" i="13"/>
  <c r="Q273" i="13"/>
  <c r="W274" i="13"/>
  <c r="T275" i="13"/>
  <c r="R280" i="13"/>
  <c r="X281" i="13"/>
  <c r="T283" i="13"/>
  <c r="Q285" i="13"/>
  <c r="R293" i="13"/>
  <c r="Q298" i="13"/>
  <c r="Q303" i="13"/>
  <c r="X171" i="13"/>
  <c r="T173" i="13"/>
  <c r="V193" i="13"/>
  <c r="BC33" i="13"/>
  <c r="BC193" i="13" s="1"/>
  <c r="T197" i="13"/>
  <c r="Y199" i="13"/>
  <c r="BB51" i="13"/>
  <c r="BB209" i="13" s="1"/>
  <c r="S210" i="13"/>
  <c r="U231" i="13"/>
  <c r="Q234" i="13"/>
  <c r="BB76" i="13"/>
  <c r="BB234" i="13" s="1"/>
  <c r="BC77" i="13"/>
  <c r="BC235" i="13" s="1"/>
  <c r="U236" i="13"/>
  <c r="V267" i="13"/>
  <c r="BB114" i="13"/>
  <c r="BB272" i="13" s="1"/>
  <c r="R273" i="13"/>
  <c r="X274" i="13"/>
  <c r="V277" i="13"/>
  <c r="BB125" i="13"/>
  <c r="BB283" i="13" s="1"/>
  <c r="R285" i="13"/>
  <c r="T290" i="13"/>
  <c r="P292" i="13"/>
  <c r="S293" i="13"/>
  <c r="BD139" i="13"/>
  <c r="BD297" i="13" s="1"/>
  <c r="BB141" i="13"/>
  <c r="BB299" i="13" s="1"/>
  <c r="W304" i="13"/>
  <c r="T307" i="13"/>
  <c r="S167" i="13"/>
  <c r="Y177" i="13"/>
  <c r="BC23" i="13"/>
  <c r="BC183" i="13" s="1"/>
  <c r="P186" i="13"/>
  <c r="T190" i="13"/>
  <c r="Q192" i="13"/>
  <c r="BB37" i="13"/>
  <c r="BB197" i="13" s="1"/>
  <c r="BB52" i="13"/>
  <c r="BB210" i="13" s="1"/>
  <c r="BB83" i="13"/>
  <c r="BB241" i="13" s="1"/>
  <c r="P244" i="13"/>
  <c r="W254" i="13"/>
  <c r="U258" i="13"/>
  <c r="S259" i="13"/>
  <c r="Y260" i="13"/>
  <c r="W263" i="13"/>
  <c r="W267" i="13"/>
  <c r="V272" i="13"/>
  <c r="Y274" i="13"/>
  <c r="W277" i="13"/>
  <c r="T280" i="13"/>
  <c r="V283" i="13"/>
  <c r="Y286" i="13"/>
  <c r="Y295" i="13"/>
  <c r="Y300" i="13"/>
  <c r="Y305" i="13"/>
  <c r="T163" i="13"/>
  <c r="T167" i="13"/>
  <c r="P196" i="13"/>
  <c r="BC37" i="13"/>
  <c r="BC197" i="13" s="1"/>
  <c r="T201" i="13"/>
  <c r="S202" i="13"/>
  <c r="BC52" i="13"/>
  <c r="BC210" i="13" s="1"/>
  <c r="Q211" i="13"/>
  <c r="W212" i="13"/>
  <c r="W224" i="13"/>
  <c r="W228" i="13"/>
  <c r="X235" i="13"/>
  <c r="U241" i="13"/>
  <c r="BB100" i="13"/>
  <c r="BB258" i="13" s="1"/>
  <c r="W272" i="13"/>
  <c r="T279" i="13"/>
  <c r="X294" i="13"/>
  <c r="BB139" i="13"/>
  <c r="BB297" i="13" s="1"/>
  <c r="W299" i="13"/>
  <c r="BC6" i="13"/>
  <c r="BC166" i="13" s="1"/>
  <c r="U167" i="13"/>
  <c r="W173" i="13"/>
  <c r="P178" i="13"/>
  <c r="P182" i="13"/>
  <c r="W187" i="13"/>
  <c r="S189" i="13"/>
  <c r="Q196" i="13"/>
  <c r="T202" i="13"/>
  <c r="S205" i="13"/>
  <c r="BD80" i="13"/>
  <c r="BD238" i="13" s="1"/>
  <c r="P240" i="13"/>
  <c r="V241" i="13"/>
  <c r="V245" i="13"/>
  <c r="U246" i="13"/>
  <c r="S253" i="13"/>
  <c r="Q257" i="13"/>
  <c r="BB110" i="13"/>
  <c r="BB268" i="13" s="1"/>
  <c r="R271" i="13"/>
  <c r="BB121" i="13"/>
  <c r="BB279" i="13" s="1"/>
  <c r="R282" i="13"/>
  <c r="R296" i="13"/>
  <c r="V167" i="13"/>
  <c r="S185" i="13"/>
  <c r="BC41" i="13"/>
  <c r="BC201" i="13" s="1"/>
  <c r="W210" i="13"/>
  <c r="S222" i="13"/>
  <c r="S223" i="13"/>
  <c r="U234" i="13"/>
  <c r="V238" i="13"/>
  <c r="V279" i="13"/>
  <c r="T284" i="13"/>
  <c r="P288" i="13"/>
  <c r="BB144" i="13"/>
  <c r="BB302" i="13" s="1"/>
  <c r="P305" i="13"/>
  <c r="X307" i="13"/>
  <c r="W163" i="13"/>
  <c r="Q165" i="13"/>
  <c r="AC165" i="13"/>
  <c r="W166" i="13"/>
  <c r="W167" i="13"/>
  <c r="U169" i="13"/>
  <c r="Y173" i="13"/>
  <c r="P174" i="13"/>
  <c r="X180" i="13"/>
  <c r="T195" i="13"/>
  <c r="W201" i="13"/>
  <c r="BB45" i="13"/>
  <c r="BB205" i="13" s="1"/>
  <c r="BB56" i="13"/>
  <c r="BB214" i="13" s="1"/>
  <c r="BB61" i="13"/>
  <c r="BB219" i="13" s="1"/>
  <c r="BB64" i="13"/>
  <c r="BB222" i="13" s="1"/>
  <c r="BB68" i="13"/>
  <c r="BB226" i="13" s="1"/>
  <c r="BB72" i="13"/>
  <c r="BB230" i="13" s="1"/>
  <c r="BB74" i="13"/>
  <c r="BB232" i="13" s="1"/>
  <c r="U233" i="13"/>
  <c r="W238" i="13"/>
  <c r="X241" i="13"/>
  <c r="Y242" i="13"/>
  <c r="X245" i="13"/>
  <c r="Q248" i="13"/>
  <c r="W249" i="13"/>
  <c r="U253" i="13"/>
  <c r="S257" i="13"/>
  <c r="Y258" i="13"/>
  <c r="BB102" i="13"/>
  <c r="BB260" i="13" s="1"/>
  <c r="W268" i="13"/>
  <c r="T271" i="13"/>
  <c r="T276" i="13"/>
  <c r="W279" i="13"/>
  <c r="T282" i="13"/>
  <c r="W129" i="13"/>
  <c r="W287" i="13" s="1"/>
  <c r="W289" i="13"/>
  <c r="U292" i="13"/>
  <c r="X293" i="13"/>
  <c r="Q295" i="13"/>
  <c r="BB138" i="13"/>
  <c r="BB296" i="13" s="1"/>
  <c r="W298" i="13"/>
  <c r="Q301" i="13"/>
  <c r="W303" i="13"/>
  <c r="T306" i="13"/>
  <c r="Y307" i="13"/>
  <c r="R165" i="13"/>
  <c r="X166" i="13"/>
  <c r="Q168" i="13"/>
  <c r="Q174" i="13"/>
  <c r="W175" i="13"/>
  <c r="S191" i="13"/>
  <c r="BB35" i="13"/>
  <c r="BB195" i="13" s="1"/>
  <c r="P204" i="13"/>
  <c r="BC45" i="13"/>
  <c r="BC205" i="13" s="1"/>
  <c r="BC56" i="13"/>
  <c r="BC214" i="13" s="1"/>
  <c r="BC61" i="13"/>
  <c r="BC219" i="13" s="1"/>
  <c r="BC64" i="13"/>
  <c r="BC222" i="13" s="1"/>
  <c r="BC68" i="13"/>
  <c r="BC226" i="13" s="1"/>
  <c r="BC72" i="13"/>
  <c r="BC230" i="13" s="1"/>
  <c r="V233" i="13"/>
  <c r="S164" i="13"/>
  <c r="Y166" i="13"/>
  <c r="Y167" i="13"/>
  <c r="S181" i="13"/>
  <c r="P184" i="13"/>
  <c r="Q188" i="13"/>
  <c r="BC35" i="13"/>
  <c r="BC195" i="13" s="1"/>
  <c r="T199" i="13"/>
  <c r="S200" i="13"/>
  <c r="Q204" i="13"/>
  <c r="P216" i="13"/>
  <c r="P218" i="13"/>
  <c r="P221" i="13"/>
  <c r="S248" i="13"/>
  <c r="P255" i="13"/>
  <c r="W261" i="13"/>
  <c r="T270" i="13"/>
  <c r="T281" i="13"/>
  <c r="BB147" i="13"/>
  <c r="BB305" i="13" s="1"/>
  <c r="Y175" i="13"/>
  <c r="Q184" i="13"/>
  <c r="W185" i="13"/>
  <c r="Q194" i="13"/>
  <c r="BB39" i="13"/>
  <c r="BB199" i="13" s="1"/>
  <c r="T200" i="13"/>
  <c r="S203" i="13"/>
  <c r="W214" i="13"/>
  <c r="Q216" i="13"/>
  <c r="Q218" i="13"/>
  <c r="W219" i="13"/>
  <c r="Q221" i="13"/>
  <c r="W222" i="13"/>
  <c r="Q225" i="13"/>
  <c r="Q231" i="13"/>
  <c r="Q236" i="13"/>
  <c r="Q255" i="13"/>
  <c r="W256" i="13"/>
  <c r="X261" i="13"/>
  <c r="R264" i="13"/>
  <c r="T274" i="13"/>
  <c r="T278" i="13"/>
  <c r="X284" i="13"/>
  <c r="T286" i="13"/>
  <c r="T288" i="13"/>
  <c r="P290" i="13"/>
  <c r="R294" i="13"/>
  <c r="S304" i="13"/>
  <c r="P163" i="13"/>
  <c r="P165" i="13"/>
  <c r="P167" i="13"/>
  <c r="Z168" i="13"/>
  <c r="K168" i="13"/>
  <c r="T169" i="13"/>
  <c r="AD170" i="13"/>
  <c r="O170" i="13"/>
  <c r="AB171" i="13"/>
  <c r="M171" i="13"/>
  <c r="BD11" i="13"/>
  <c r="BD171" i="13" s="1"/>
  <c r="T172" i="13"/>
  <c r="BB12" i="13"/>
  <c r="BB172" i="13" s="1"/>
  <c r="BD12" i="13"/>
  <c r="BD172" i="13" s="1"/>
  <c r="S173" i="13"/>
  <c r="AC174" i="13"/>
  <c r="N174" i="13"/>
  <c r="N175" i="13"/>
  <c r="AC175" i="13"/>
  <c r="AS175" i="13"/>
  <c r="AB177" i="13"/>
  <c r="M177" i="13"/>
  <c r="AA179" i="13"/>
  <c r="L179" i="13"/>
  <c r="X179" i="13"/>
  <c r="BD19" i="13"/>
  <c r="BD179" i="13" s="1"/>
  <c r="AB181" i="13"/>
  <c r="M181" i="13"/>
  <c r="Y181" i="13"/>
  <c r="AB186" i="13"/>
  <c r="M186" i="13"/>
  <c r="AC188" i="13"/>
  <c r="N188" i="13"/>
  <c r="AB195" i="13"/>
  <c r="M195" i="13"/>
  <c r="Y195" i="13"/>
  <c r="AU196" i="13"/>
  <c r="R204" i="13"/>
  <c r="BD44" i="13"/>
  <c r="BD204" i="13" s="1"/>
  <c r="AA205" i="13"/>
  <c r="L205" i="13"/>
  <c r="X205" i="13"/>
  <c r="AU206" i="13"/>
  <c r="K212" i="13"/>
  <c r="Z212" i="13"/>
  <c r="AU213" i="13"/>
  <c r="AU216" i="13"/>
  <c r="AU218" i="13"/>
  <c r="Z220" i="13"/>
  <c r="K220" i="13"/>
  <c r="AU221" i="13"/>
  <c r="Z224" i="13"/>
  <c r="K224" i="13"/>
  <c r="AU225" i="13"/>
  <c r="K228" i="13"/>
  <c r="Z228" i="13"/>
  <c r="AU229" i="13"/>
  <c r="AU231" i="13"/>
  <c r="L235" i="13"/>
  <c r="AA235" i="13"/>
  <c r="S238" i="13"/>
  <c r="BC80" i="13"/>
  <c r="BC238" i="13" s="1"/>
  <c r="K164" i="13"/>
  <c r="Z164" i="13"/>
  <c r="Z166" i="13"/>
  <c r="K166" i="13"/>
  <c r="AC171" i="13"/>
  <c r="N171" i="13"/>
  <c r="O175" i="13"/>
  <c r="AD175" i="13"/>
  <c r="N177" i="13"/>
  <c r="AC177" i="13"/>
  <c r="AB179" i="13"/>
  <c r="M179" i="13"/>
  <c r="Y179" i="13"/>
  <c r="AB184" i="13"/>
  <c r="M184" i="13"/>
  <c r="AC186" i="13"/>
  <c r="N186" i="13"/>
  <c r="Z210" i="13"/>
  <c r="K210" i="13"/>
  <c r="R211" i="13"/>
  <c r="BD53" i="13"/>
  <c r="BD211" i="13" s="1"/>
  <c r="AA212" i="13"/>
  <c r="L212" i="13"/>
  <c r="X212" i="13"/>
  <c r="R215" i="13"/>
  <c r="BD57" i="13"/>
  <c r="BD215" i="13" s="1"/>
  <c r="R217" i="13"/>
  <c r="BD59" i="13"/>
  <c r="BD217" i="13" s="1"/>
  <c r="L220" i="13"/>
  <c r="AA220" i="13"/>
  <c r="X220" i="13"/>
  <c r="R223" i="13"/>
  <c r="BD65" i="13"/>
  <c r="BD223" i="13" s="1"/>
  <c r="AA224" i="13"/>
  <c r="L224" i="13"/>
  <c r="X224" i="13"/>
  <c r="R227" i="13"/>
  <c r="BD69" i="13"/>
  <c r="BD227" i="13" s="1"/>
  <c r="L228" i="13"/>
  <c r="AA228" i="13"/>
  <c r="X228" i="13"/>
  <c r="S233" i="13"/>
  <c r="BC75" i="13"/>
  <c r="BC233" i="13" s="1"/>
  <c r="AS239" i="13"/>
  <c r="S241" i="13"/>
  <c r="BC83" i="13"/>
  <c r="BC241" i="13" s="1"/>
  <c r="AA243" i="13"/>
  <c r="L243" i="13"/>
  <c r="X243" i="13"/>
  <c r="BA284" i="13"/>
  <c r="BB126" i="13"/>
  <c r="BB284" i="13" s="1"/>
  <c r="AA164" i="13"/>
  <c r="L164" i="13"/>
  <c r="AA166" i="13"/>
  <c r="L166" i="13"/>
  <c r="AB168" i="13"/>
  <c r="M168" i="13"/>
  <c r="AD171" i="13"/>
  <c r="O171" i="13"/>
  <c r="AS171" i="13"/>
  <c r="M176" i="13"/>
  <c r="AB176" i="13"/>
  <c r="AC179" i="13"/>
  <c r="N179" i="13"/>
  <c r="M182" i="13"/>
  <c r="AB182" i="13"/>
  <c r="N184" i="13"/>
  <c r="AC184" i="13"/>
  <c r="T191" i="13"/>
  <c r="R192" i="13"/>
  <c r="BD32" i="13"/>
  <c r="BD192" i="13" s="1"/>
  <c r="Z193" i="13"/>
  <c r="K193" i="13"/>
  <c r="R198" i="13"/>
  <c r="BD38" i="13"/>
  <c r="BD198" i="13" s="1"/>
  <c r="Z199" i="13"/>
  <c r="K199" i="13"/>
  <c r="AA210" i="13"/>
  <c r="L210" i="13"/>
  <c r="X210" i="13"/>
  <c r="AS234" i="13"/>
  <c r="AT239" i="13"/>
  <c r="M243" i="13"/>
  <c r="AB243" i="13"/>
  <c r="AD250" i="13"/>
  <c r="O250" i="13"/>
  <c r="R255" i="13"/>
  <c r="BD97" i="13"/>
  <c r="BD255" i="13" s="1"/>
  <c r="BB131" i="13"/>
  <c r="BB289" i="13" s="1"/>
  <c r="AT290" i="13"/>
  <c r="AB164" i="13"/>
  <c r="M164" i="13"/>
  <c r="M166" i="13"/>
  <c r="AB166" i="13"/>
  <c r="AC168" i="13"/>
  <c r="N168" i="13"/>
  <c r="Z169" i="13"/>
  <c r="K169" i="13"/>
  <c r="BB9" i="13"/>
  <c r="BB169" i="13" s="1"/>
  <c r="R170" i="13"/>
  <c r="AC176" i="13"/>
  <c r="N176" i="13"/>
  <c r="AB178" i="13"/>
  <c r="M178" i="13"/>
  <c r="AB180" i="13"/>
  <c r="M180" i="13"/>
  <c r="AC182" i="13"/>
  <c r="N182" i="13"/>
  <c r="T189" i="13"/>
  <c r="R190" i="13"/>
  <c r="BD30" i="13"/>
  <c r="BD190" i="13" s="1"/>
  <c r="S192" i="13"/>
  <c r="BC32" i="13"/>
  <c r="BC192" i="13" s="1"/>
  <c r="L193" i="13"/>
  <c r="AA193" i="13"/>
  <c r="X193" i="13"/>
  <c r="S198" i="13"/>
  <c r="BC38" i="13"/>
  <c r="BC198" i="13" s="1"/>
  <c r="AA199" i="13"/>
  <c r="L199" i="13"/>
  <c r="X199" i="13"/>
  <c r="AU200" i="13"/>
  <c r="AT234" i="13"/>
  <c r="AS242" i="13"/>
  <c r="AZ254" i="13"/>
  <c r="BC96" i="13"/>
  <c r="BC254" i="13" s="1"/>
  <c r="AC164" i="13"/>
  <c r="N164" i="13"/>
  <c r="N166" i="13"/>
  <c r="AC166" i="13"/>
  <c r="AD168" i="13"/>
  <c r="O168" i="13"/>
  <c r="AA169" i="13"/>
  <c r="L169" i="13"/>
  <c r="X169" i="13"/>
  <c r="BC9" i="13"/>
  <c r="BC169" i="13" s="1"/>
  <c r="S170" i="13"/>
  <c r="BC10" i="13"/>
  <c r="BC170" i="13" s="1"/>
  <c r="K173" i="13"/>
  <c r="Z173" i="13"/>
  <c r="BB13" i="13"/>
  <c r="BB173" i="13" s="1"/>
  <c r="R174" i="13"/>
  <c r="N178" i="13"/>
  <c r="AC178" i="13"/>
  <c r="N180" i="13"/>
  <c r="AC180" i="13"/>
  <c r="T187" i="13"/>
  <c r="R188" i="13"/>
  <c r="BD28" i="13"/>
  <c r="BD188" i="13" s="1"/>
  <c r="S190" i="13"/>
  <c r="BC30" i="13"/>
  <c r="BC190" i="13" s="1"/>
  <c r="BB31" i="13"/>
  <c r="BB191" i="13" s="1"/>
  <c r="AB193" i="13"/>
  <c r="M193" i="13"/>
  <c r="Y193" i="13"/>
  <c r="AU194" i="13"/>
  <c r="AB199" i="13"/>
  <c r="M199" i="13"/>
  <c r="K203" i="13"/>
  <c r="Z203" i="13"/>
  <c r="AT242" i="13"/>
  <c r="BA270" i="13"/>
  <c r="BB112" i="13"/>
  <c r="BB270" i="13" s="1"/>
  <c r="BA281" i="13"/>
  <c r="BB123" i="13"/>
  <c r="BB281" i="13" s="1"/>
  <c r="O164" i="13"/>
  <c r="AD164" i="13"/>
  <c r="O166" i="13"/>
  <c r="AD166" i="13"/>
  <c r="P168" i="13"/>
  <c r="M169" i="13"/>
  <c r="AB169" i="13"/>
  <c r="BD9" i="13"/>
  <c r="BD169" i="13" s="1"/>
  <c r="T170" i="13"/>
  <c r="BB10" i="13"/>
  <c r="BB170" i="13" s="1"/>
  <c r="M172" i="13"/>
  <c r="AB172" i="13"/>
  <c r="AA173" i="13"/>
  <c r="L173" i="13"/>
  <c r="BC13" i="13"/>
  <c r="BC173" i="13" s="1"/>
  <c r="S174" i="13"/>
  <c r="BC14" i="13"/>
  <c r="BC174" i="13" s="1"/>
  <c r="S175" i="13"/>
  <c r="T185" i="13"/>
  <c r="R186" i="13"/>
  <c r="BD26" i="13"/>
  <c r="BD186" i="13" s="1"/>
  <c r="S188" i="13"/>
  <c r="BC28" i="13"/>
  <c r="BC188" i="13" s="1"/>
  <c r="BB29" i="13"/>
  <c r="BB189" i="13" s="1"/>
  <c r="Z191" i="13"/>
  <c r="K191" i="13"/>
  <c r="BC31" i="13"/>
  <c r="BC191" i="13" s="1"/>
  <c r="R202" i="13"/>
  <c r="BD42" i="13"/>
  <c r="BD202" i="13" s="1"/>
  <c r="AA203" i="13"/>
  <c r="L203" i="13"/>
  <c r="X203" i="13"/>
  <c r="AU204" i="13"/>
  <c r="R246" i="13"/>
  <c r="BD88" i="13"/>
  <c r="BD246" i="13" s="1"/>
  <c r="P164" i="13"/>
  <c r="P166" i="13"/>
  <c r="N169" i="13"/>
  <c r="AC169" i="13"/>
  <c r="BD10" i="13"/>
  <c r="BD170" i="13" s="1"/>
  <c r="S171" i="13"/>
  <c r="N172" i="13"/>
  <c r="AC172" i="13"/>
  <c r="AB173" i="13"/>
  <c r="M173" i="13"/>
  <c r="BD13" i="13"/>
  <c r="BD173" i="13" s="1"/>
  <c r="T174" i="13"/>
  <c r="BB14" i="13"/>
  <c r="BB174" i="13" s="1"/>
  <c r="BD14" i="13"/>
  <c r="BD174" i="13" s="1"/>
  <c r="T175" i="13"/>
  <c r="S177" i="13"/>
  <c r="T183" i="13"/>
  <c r="R184" i="13"/>
  <c r="BD24" i="13"/>
  <c r="BD184" i="13" s="1"/>
  <c r="S186" i="13"/>
  <c r="BC26" i="13"/>
  <c r="BC186" i="13" s="1"/>
  <c r="K189" i="13"/>
  <c r="Z189" i="13"/>
  <c r="BC29" i="13"/>
  <c r="BC189" i="13" s="1"/>
  <c r="AA191" i="13"/>
  <c r="L191" i="13"/>
  <c r="X191" i="13"/>
  <c r="BD31" i="13"/>
  <c r="BD191" i="13" s="1"/>
  <c r="R196" i="13"/>
  <c r="BD36" i="13"/>
  <c r="BD196" i="13" s="1"/>
  <c r="K197" i="13"/>
  <c r="Z197" i="13"/>
  <c r="K209" i="13"/>
  <c r="Z209" i="13"/>
  <c r="AU211" i="13"/>
  <c r="Z214" i="13"/>
  <c r="K214" i="13"/>
  <c r="AU215" i="13"/>
  <c r="AU217" i="13"/>
  <c r="K219" i="13"/>
  <c r="Z219" i="13"/>
  <c r="Z222" i="13"/>
  <c r="K222" i="13"/>
  <c r="AU223" i="13"/>
  <c r="K226" i="13"/>
  <c r="Z226" i="13"/>
  <c r="AU227" i="13"/>
  <c r="K230" i="13"/>
  <c r="Z230" i="13"/>
  <c r="K232" i="13"/>
  <c r="Z232" i="13"/>
  <c r="AB242" i="13"/>
  <c r="M242" i="13"/>
  <c r="Z163" i="13"/>
  <c r="K163" i="13"/>
  <c r="BB3" i="13"/>
  <c r="BB163" i="13" s="1"/>
  <c r="Q164" i="13"/>
  <c r="K165" i="13"/>
  <c r="Z165" i="13"/>
  <c r="BB5" i="13"/>
  <c r="BB165" i="13" s="1"/>
  <c r="Q166" i="13"/>
  <c r="K167" i="13"/>
  <c r="Z167" i="13"/>
  <c r="BB7" i="13"/>
  <c r="BB167" i="13" s="1"/>
  <c r="R168" i="13"/>
  <c r="O169" i="13"/>
  <c r="AD169" i="13"/>
  <c r="AS169" i="13"/>
  <c r="T171" i="13"/>
  <c r="O172" i="13"/>
  <c r="AD172" i="13"/>
  <c r="AC173" i="13"/>
  <c r="N173" i="13"/>
  <c r="R176" i="13"/>
  <c r="T177" i="13"/>
  <c r="S179" i="13"/>
  <c r="T181" i="13"/>
  <c r="R182" i="13"/>
  <c r="BD22" i="13"/>
  <c r="BD182" i="13" s="1"/>
  <c r="S184" i="13"/>
  <c r="BC24" i="13"/>
  <c r="BC184" i="13" s="1"/>
  <c r="Z187" i="13"/>
  <c r="K187" i="13"/>
  <c r="BC27" i="13"/>
  <c r="BC187" i="13" s="1"/>
  <c r="AA189" i="13"/>
  <c r="L189" i="13"/>
  <c r="X189" i="13"/>
  <c r="BD29" i="13"/>
  <c r="BD189" i="13" s="1"/>
  <c r="AB191" i="13"/>
  <c r="M191" i="13"/>
  <c r="Y191" i="13"/>
  <c r="S196" i="13"/>
  <c r="BC36" i="13"/>
  <c r="BC196" i="13" s="1"/>
  <c r="AA197" i="13"/>
  <c r="L197" i="13"/>
  <c r="X197" i="13"/>
  <c r="R206" i="13"/>
  <c r="BD46" i="13"/>
  <c r="BD206" i="13" s="1"/>
  <c r="AA209" i="13"/>
  <c r="L209" i="13"/>
  <c r="X209" i="13"/>
  <c r="R213" i="13"/>
  <c r="BD55" i="13"/>
  <c r="BD213" i="13" s="1"/>
  <c r="AA214" i="13"/>
  <c r="L214" i="13"/>
  <c r="X214" i="13"/>
  <c r="R216" i="13"/>
  <c r="BD58" i="13"/>
  <c r="BD216" i="13" s="1"/>
  <c r="R218" i="13"/>
  <c r="BD60" i="13"/>
  <c r="BD218" i="13" s="1"/>
  <c r="L219" i="13"/>
  <c r="AA219" i="13"/>
  <c r="X219" i="13"/>
  <c r="R221" i="13"/>
  <c r="BD63" i="13"/>
  <c r="BD221" i="13" s="1"/>
  <c r="AA222" i="13"/>
  <c r="L222" i="13"/>
  <c r="X222" i="13"/>
  <c r="R225" i="13"/>
  <c r="BD67" i="13"/>
  <c r="BD225" i="13" s="1"/>
  <c r="L226" i="13"/>
  <c r="AA226" i="13"/>
  <c r="X226" i="13"/>
  <c r="R229" i="13"/>
  <c r="BD71" i="13"/>
  <c r="BD229" i="13" s="1"/>
  <c r="L230" i="13"/>
  <c r="AA230" i="13"/>
  <c r="X230" i="13"/>
  <c r="R231" i="13"/>
  <c r="BD73" i="13"/>
  <c r="BD231" i="13" s="1"/>
  <c r="AA232" i="13"/>
  <c r="L232" i="13"/>
  <c r="X232" i="13"/>
  <c r="R236" i="13"/>
  <c r="BD78" i="13"/>
  <c r="BD236" i="13" s="1"/>
  <c r="O239" i="13"/>
  <c r="AD239" i="13"/>
  <c r="T244" i="13"/>
  <c r="BB86" i="13"/>
  <c r="BB244" i="13" s="1"/>
  <c r="BB87" i="13"/>
  <c r="BB245" i="13" s="1"/>
  <c r="BA267" i="13"/>
  <c r="BB109" i="13"/>
  <c r="BB267" i="13" s="1"/>
  <c r="BA277" i="13"/>
  <c r="BB119" i="13"/>
  <c r="BB277" i="13" s="1"/>
  <c r="R301" i="13"/>
  <c r="BD143" i="13"/>
  <c r="BD301" i="13" s="1"/>
  <c r="AA163" i="13"/>
  <c r="L163" i="13"/>
  <c r="X163" i="13"/>
  <c r="BC3" i="13"/>
  <c r="BC163" i="13" s="1"/>
  <c r="R164" i="13"/>
  <c r="AA165" i="13"/>
  <c r="L165" i="13"/>
  <c r="X165" i="13"/>
  <c r="BC5" i="13"/>
  <c r="BC165" i="13" s="1"/>
  <c r="R166" i="13"/>
  <c r="AA167" i="13"/>
  <c r="L167" i="13"/>
  <c r="X167" i="13"/>
  <c r="BC7" i="13"/>
  <c r="BC167" i="13" s="1"/>
  <c r="S168" i="13"/>
  <c r="BC8" i="13"/>
  <c r="BC168" i="13" s="1"/>
  <c r="K170" i="13"/>
  <c r="Z170" i="13"/>
  <c r="W170" i="13"/>
  <c r="U171" i="13"/>
  <c r="AD173" i="13"/>
  <c r="O173" i="13"/>
  <c r="AS173" i="13"/>
  <c r="BB15" i="13"/>
  <c r="BB175" i="13" s="1"/>
  <c r="S176" i="13"/>
  <c r="BC16" i="13"/>
  <c r="BC176" i="13" s="1"/>
  <c r="BD16" i="13"/>
  <c r="BD176" i="13" s="1"/>
  <c r="R178" i="13"/>
  <c r="T179" i="13"/>
  <c r="R180" i="13"/>
  <c r="BD20" i="13"/>
  <c r="BD180" i="13" s="1"/>
  <c r="S182" i="13"/>
  <c r="BC22" i="13"/>
  <c r="BC182" i="13" s="1"/>
  <c r="BB23" i="13"/>
  <c r="BB183" i="13" s="1"/>
  <c r="Z185" i="13"/>
  <c r="K185" i="13"/>
  <c r="BC25" i="13"/>
  <c r="BC185" i="13" s="1"/>
  <c r="L187" i="13"/>
  <c r="AA187" i="13"/>
  <c r="X187" i="13"/>
  <c r="BD27" i="13"/>
  <c r="BD187" i="13" s="1"/>
  <c r="AB189" i="13"/>
  <c r="M189" i="13"/>
  <c r="Y189" i="13"/>
  <c r="AU192" i="13"/>
  <c r="AB197" i="13"/>
  <c r="M197" i="13"/>
  <c r="Y197" i="13"/>
  <c r="AU198" i="13"/>
  <c r="O234" i="13"/>
  <c r="AD234" i="13"/>
  <c r="S236" i="13"/>
  <c r="BC78" i="13"/>
  <c r="BC236" i="13" s="1"/>
  <c r="AT237" i="13"/>
  <c r="O248" i="13"/>
  <c r="AD248" i="13"/>
  <c r="O251" i="13"/>
  <c r="AD251" i="13"/>
  <c r="AZ252" i="13"/>
  <c r="BC94" i="13"/>
  <c r="BC252" i="13" s="1"/>
  <c r="AB163" i="13"/>
  <c r="M163" i="13"/>
  <c r="Y163" i="13"/>
  <c r="BD3" i="13"/>
  <c r="BD163" i="13" s="1"/>
  <c r="AB165" i="13"/>
  <c r="M165" i="13"/>
  <c r="Y165" i="13"/>
  <c r="BD5" i="13"/>
  <c r="BD165" i="13" s="1"/>
  <c r="AB167" i="13"/>
  <c r="M167" i="13"/>
  <c r="BD7" i="13"/>
  <c r="BD167" i="13" s="1"/>
  <c r="T168" i="13"/>
  <c r="V171" i="13"/>
  <c r="Z175" i="13"/>
  <c r="K175" i="13"/>
  <c r="T176" i="13"/>
  <c r="BB16" i="13"/>
  <c r="BB176" i="13" s="1"/>
  <c r="S178" i="13"/>
  <c r="BC18" i="13"/>
  <c r="BC178" i="13" s="1"/>
  <c r="S180" i="13"/>
  <c r="BC20" i="13"/>
  <c r="BC180" i="13" s="1"/>
  <c r="K183" i="13"/>
  <c r="Z183" i="13"/>
  <c r="AA185" i="13"/>
  <c r="L185" i="13"/>
  <c r="X185" i="13"/>
  <c r="AB187" i="13"/>
  <c r="M187" i="13"/>
  <c r="Y187" i="13"/>
  <c r="AB192" i="13"/>
  <c r="M192" i="13"/>
  <c r="Y192" i="13"/>
  <c r="K201" i="13"/>
  <c r="Z201" i="13"/>
  <c r="AU237" i="13"/>
  <c r="AT264" i="13"/>
  <c r="N163" i="13"/>
  <c r="AC163" i="13"/>
  <c r="T164" i="13"/>
  <c r="T166" i="13"/>
  <c r="AC167" i="13"/>
  <c r="N167" i="13"/>
  <c r="U168" i="13"/>
  <c r="BB8" i="13"/>
  <c r="BB168" i="13" s="1"/>
  <c r="AB170" i="13"/>
  <c r="M170" i="13"/>
  <c r="Y170" i="13"/>
  <c r="Z171" i="13"/>
  <c r="K171" i="13"/>
  <c r="BB11" i="13"/>
  <c r="R172" i="13"/>
  <c r="AA175" i="13"/>
  <c r="L175" i="13"/>
  <c r="X175" i="13"/>
  <c r="BD15" i="13"/>
  <c r="BD175" i="13" s="1"/>
  <c r="K177" i="13"/>
  <c r="Z177" i="13"/>
  <c r="BC17" i="13"/>
  <c r="BC177" i="13" s="1"/>
  <c r="T178" i="13"/>
  <c r="BB18" i="13"/>
  <c r="BB178" i="13" s="1"/>
  <c r="Z181" i="13"/>
  <c r="K181" i="13"/>
  <c r="BC21" i="13"/>
  <c r="BC181" i="13" s="1"/>
  <c r="AA183" i="13"/>
  <c r="L183" i="13"/>
  <c r="X183" i="13"/>
  <c r="BD23" i="13"/>
  <c r="BD183" i="13" s="1"/>
  <c r="M185" i="13"/>
  <c r="AB185" i="13"/>
  <c r="Y185" i="13"/>
  <c r="AB190" i="13"/>
  <c r="M190" i="13"/>
  <c r="Y190" i="13"/>
  <c r="R194" i="13"/>
  <c r="BD34" i="13"/>
  <c r="BD194" i="13" s="1"/>
  <c r="K195" i="13"/>
  <c r="Z195" i="13"/>
  <c r="R200" i="13"/>
  <c r="BD40" i="13"/>
  <c r="BD200" i="13" s="1"/>
  <c r="AA201" i="13"/>
  <c r="L201" i="13"/>
  <c r="X201" i="13"/>
  <c r="AU202" i="13"/>
  <c r="AA240" i="13"/>
  <c r="L240" i="13"/>
  <c r="X240" i="13"/>
  <c r="R257" i="13"/>
  <c r="BD99" i="13"/>
  <c r="BD257" i="13" s="1"/>
  <c r="O163" i="13"/>
  <c r="AD163" i="13"/>
  <c r="U164" i="13"/>
  <c r="AD165" i="13"/>
  <c r="O165" i="13"/>
  <c r="U166" i="13"/>
  <c r="AD167" i="13"/>
  <c r="O167" i="13"/>
  <c r="AS167" i="13"/>
  <c r="BD8" i="13"/>
  <c r="BD168" i="13" s="1"/>
  <c r="S169" i="13"/>
  <c r="AC170" i="13"/>
  <c r="N170" i="13"/>
  <c r="AA171" i="13"/>
  <c r="L171" i="13"/>
  <c r="BC11" i="13"/>
  <c r="BC171" i="13" s="1"/>
  <c r="S172" i="13"/>
  <c r="BC12" i="13"/>
  <c r="BC172" i="13" s="1"/>
  <c r="AB174" i="13"/>
  <c r="M174" i="13"/>
  <c r="Y174" i="13"/>
  <c r="AT174" i="13"/>
  <c r="M175" i="13"/>
  <c r="AB175" i="13"/>
  <c r="AA177" i="13"/>
  <c r="L177" i="13"/>
  <c r="X177" i="13"/>
  <c r="BD17" i="13"/>
  <c r="BD177" i="13" s="1"/>
  <c r="Z179" i="13"/>
  <c r="K179" i="13"/>
  <c r="BC19" i="13"/>
  <c r="BC179" i="13" s="1"/>
  <c r="L181" i="13"/>
  <c r="AA181" i="13"/>
  <c r="X181" i="13"/>
  <c r="BD21" i="13"/>
  <c r="BD181" i="13" s="1"/>
  <c r="AB183" i="13"/>
  <c r="M183" i="13"/>
  <c r="Y183" i="13"/>
  <c r="M188" i="13"/>
  <c r="AB188" i="13"/>
  <c r="Y188" i="13"/>
  <c r="N190" i="13"/>
  <c r="AC190" i="13"/>
  <c r="S194" i="13"/>
  <c r="BC34" i="13"/>
  <c r="BC194" i="13" s="1"/>
  <c r="AA195" i="13"/>
  <c r="L195" i="13"/>
  <c r="X195" i="13"/>
  <c r="Z205" i="13"/>
  <c r="K205" i="13"/>
  <c r="K235" i="13"/>
  <c r="Z235" i="13"/>
  <c r="W235" i="13"/>
  <c r="O237" i="13"/>
  <c r="AD237" i="13"/>
  <c r="AB240" i="13"/>
  <c r="M240" i="13"/>
  <c r="Z258" i="13"/>
  <c r="K258" i="13"/>
  <c r="AS259" i="13"/>
  <c r="V175" i="13"/>
  <c r="V177" i="13"/>
  <c r="V179" i="13"/>
  <c r="V181" i="13"/>
  <c r="V183" i="13"/>
  <c r="V185" i="13"/>
  <c r="V187" i="13"/>
  <c r="V189" i="13"/>
  <c r="V191" i="13"/>
  <c r="V195" i="13"/>
  <c r="V197" i="13"/>
  <c r="V199" i="13"/>
  <c r="V201" i="13"/>
  <c r="V203" i="13"/>
  <c r="V209" i="13"/>
  <c r="V210" i="13"/>
  <c r="V212" i="13"/>
  <c r="V214" i="13"/>
  <c r="V219" i="13"/>
  <c r="V220" i="13"/>
  <c r="V222" i="13"/>
  <c r="V224" i="13"/>
  <c r="V226" i="13"/>
  <c r="V228" i="13"/>
  <c r="V230" i="13"/>
  <c r="V232" i="13"/>
  <c r="M234" i="13"/>
  <c r="AB234" i="13"/>
  <c r="Y234" i="13"/>
  <c r="V235" i="13"/>
  <c r="N237" i="13"/>
  <c r="AC237" i="13"/>
  <c r="M239" i="13"/>
  <c r="AB239" i="13"/>
  <c r="Y239" i="13"/>
  <c r="K240" i="13"/>
  <c r="Z240" i="13"/>
  <c r="W240" i="13"/>
  <c r="BC82" i="13"/>
  <c r="BC240" i="13" s="1"/>
  <c r="Z243" i="13"/>
  <c r="K243" i="13"/>
  <c r="W243" i="13"/>
  <c r="BC85" i="13"/>
  <c r="BC243" i="13" s="1"/>
  <c r="S244" i="13"/>
  <c r="BC86" i="13"/>
  <c r="BC244" i="13" s="1"/>
  <c r="AD253" i="13"/>
  <c r="O253" i="13"/>
  <c r="L260" i="13"/>
  <c r="AA260" i="13"/>
  <c r="X260" i="13"/>
  <c r="AA296" i="13"/>
  <c r="L296" i="13"/>
  <c r="AB201" i="13"/>
  <c r="M201" i="13"/>
  <c r="AB203" i="13"/>
  <c r="M203" i="13"/>
  <c r="AB205" i="13"/>
  <c r="M205" i="13"/>
  <c r="AB209" i="13"/>
  <c r="M209" i="13"/>
  <c r="AB210" i="13"/>
  <c r="M210" i="13"/>
  <c r="AB212" i="13"/>
  <c r="M212" i="13"/>
  <c r="M214" i="13"/>
  <c r="AB214" i="13"/>
  <c r="M219" i="13"/>
  <c r="AB219" i="13"/>
  <c r="M220" i="13"/>
  <c r="AB220" i="13"/>
  <c r="M222" i="13"/>
  <c r="AB222" i="13"/>
  <c r="AB224" i="13"/>
  <c r="M224" i="13"/>
  <c r="M226" i="13"/>
  <c r="AB226" i="13"/>
  <c r="AB228" i="13"/>
  <c r="M228" i="13"/>
  <c r="AB230" i="13"/>
  <c r="M230" i="13"/>
  <c r="AB232" i="13"/>
  <c r="M232" i="13"/>
  <c r="AU234" i="13"/>
  <c r="AB235" i="13"/>
  <c r="M235" i="13"/>
  <c r="AU239" i="13"/>
  <c r="AC240" i="13"/>
  <c r="N240" i="13"/>
  <c r="AD242" i="13"/>
  <c r="O242" i="13"/>
  <c r="AU242" i="13"/>
  <c r="N243" i="13"/>
  <c r="AC243" i="13"/>
  <c r="AS243" i="13"/>
  <c r="Z245" i="13"/>
  <c r="K245" i="13"/>
  <c r="S246" i="13"/>
  <c r="BC88" i="13"/>
  <c r="BC246" i="13" s="1"/>
  <c r="R253" i="13"/>
  <c r="BD95" i="13"/>
  <c r="BD253" i="13" s="1"/>
  <c r="Z256" i="13"/>
  <c r="K256" i="13"/>
  <c r="BC98" i="13"/>
  <c r="BC256" i="13" s="1"/>
  <c r="AA258" i="13"/>
  <c r="L258" i="13"/>
  <c r="X258" i="13"/>
  <c r="K263" i="13"/>
  <c r="Z263" i="13"/>
  <c r="AU264" i="13"/>
  <c r="AT271" i="13"/>
  <c r="AT273" i="13"/>
  <c r="AT275" i="13"/>
  <c r="AT278" i="13"/>
  <c r="AT282" i="13"/>
  <c r="AT285" i="13"/>
  <c r="AU290" i="13"/>
  <c r="N181" i="13"/>
  <c r="AC181" i="13"/>
  <c r="N183" i="13"/>
  <c r="AC183" i="13"/>
  <c r="AC185" i="13"/>
  <c r="N185" i="13"/>
  <c r="N187" i="13"/>
  <c r="AC187" i="13"/>
  <c r="AC189" i="13"/>
  <c r="N189" i="13"/>
  <c r="AC191" i="13"/>
  <c r="N191" i="13"/>
  <c r="N193" i="13"/>
  <c r="AC193" i="13"/>
  <c r="N195" i="13"/>
  <c r="AC195" i="13"/>
  <c r="AC197" i="13"/>
  <c r="N197" i="13"/>
  <c r="N199" i="13"/>
  <c r="AC199" i="13"/>
  <c r="AC201" i="13"/>
  <c r="N201" i="13"/>
  <c r="AC203" i="13"/>
  <c r="N203" i="13"/>
  <c r="N205" i="13"/>
  <c r="AC205" i="13"/>
  <c r="AC209" i="13"/>
  <c r="N209" i="13"/>
  <c r="N210" i="13"/>
  <c r="AC210" i="13"/>
  <c r="AC212" i="13"/>
  <c r="N212" i="13"/>
  <c r="N214" i="13"/>
  <c r="AC214" i="13"/>
  <c r="AC219" i="13"/>
  <c r="N219" i="13"/>
  <c r="AC220" i="13"/>
  <c r="N220" i="13"/>
  <c r="AC222" i="13"/>
  <c r="N222" i="13"/>
  <c r="N224" i="13"/>
  <c r="AC224" i="13"/>
  <c r="AC226" i="13"/>
  <c r="N226" i="13"/>
  <c r="AC228" i="13"/>
  <c r="N228" i="13"/>
  <c r="AC230" i="13"/>
  <c r="N230" i="13"/>
  <c r="AC232" i="13"/>
  <c r="N232" i="13"/>
  <c r="BB75" i="13"/>
  <c r="BB233" i="13" s="1"/>
  <c r="AC235" i="13"/>
  <c r="N235" i="13"/>
  <c r="BB80" i="13"/>
  <c r="BB238" i="13" s="1"/>
  <c r="AD240" i="13"/>
  <c r="O240" i="13"/>
  <c r="O243" i="13"/>
  <c r="AD243" i="13"/>
  <c r="AA245" i="13"/>
  <c r="L245" i="13"/>
  <c r="T246" i="13"/>
  <c r="BB88" i="13"/>
  <c r="BB246" i="13" s="1"/>
  <c r="R248" i="13"/>
  <c r="BD90" i="13"/>
  <c r="BD248" i="13" s="1"/>
  <c r="R250" i="13"/>
  <c r="BD92" i="13"/>
  <c r="BD250" i="13" s="1"/>
  <c r="R251" i="13"/>
  <c r="BD93" i="13"/>
  <c r="BD251" i="13" s="1"/>
  <c r="Z254" i="13"/>
  <c r="K254" i="13"/>
  <c r="L256" i="13"/>
  <c r="AA256" i="13"/>
  <c r="AU259" i="13"/>
  <c r="AU271" i="13"/>
  <c r="AU273" i="13"/>
  <c r="AU275" i="13"/>
  <c r="AU278" i="13"/>
  <c r="AU282" i="13"/>
  <c r="AU285" i="13"/>
  <c r="K289" i="13"/>
  <c r="Z289" i="13"/>
  <c r="R292" i="13"/>
  <c r="BD134" i="13"/>
  <c r="BD292" i="13" s="1"/>
  <c r="L294" i="13"/>
  <c r="AA294" i="13"/>
  <c r="Z180" i="13"/>
  <c r="AD212" i="13"/>
  <c r="U176" i="13"/>
  <c r="AD177" i="13"/>
  <c r="O177" i="13"/>
  <c r="U178" i="13"/>
  <c r="O179" i="13"/>
  <c r="AD179" i="13"/>
  <c r="U180" i="13"/>
  <c r="AD181" i="13"/>
  <c r="O181" i="13"/>
  <c r="U182" i="13"/>
  <c r="AD183" i="13"/>
  <c r="O183" i="13"/>
  <c r="U184" i="13"/>
  <c r="O185" i="13"/>
  <c r="AD185" i="13"/>
  <c r="U186" i="13"/>
  <c r="AD187" i="13"/>
  <c r="O187" i="13"/>
  <c r="U188" i="13"/>
  <c r="AD189" i="13"/>
  <c r="O189" i="13"/>
  <c r="U190" i="13"/>
  <c r="O191" i="13"/>
  <c r="AD191" i="13"/>
  <c r="U192" i="13"/>
  <c r="AD193" i="13"/>
  <c r="O193" i="13"/>
  <c r="U194" i="13"/>
  <c r="AD195" i="13"/>
  <c r="O195" i="13"/>
  <c r="U196" i="13"/>
  <c r="O197" i="13"/>
  <c r="AD197" i="13"/>
  <c r="U198" i="13"/>
  <c r="O199" i="13"/>
  <c r="AD199" i="13"/>
  <c r="U200" i="13"/>
  <c r="AD201" i="13"/>
  <c r="O201" i="13"/>
  <c r="U202" i="13"/>
  <c r="O203" i="13"/>
  <c r="AD203" i="13"/>
  <c r="U204" i="13"/>
  <c r="O205" i="13"/>
  <c r="AD205" i="13"/>
  <c r="U206" i="13"/>
  <c r="O209" i="13"/>
  <c r="AD209" i="13"/>
  <c r="O210" i="13"/>
  <c r="AD210" i="13"/>
  <c r="U211" i="13"/>
  <c r="U213" i="13"/>
  <c r="O214" i="13"/>
  <c r="AD214" i="13"/>
  <c r="U215" i="13"/>
  <c r="U216" i="13"/>
  <c r="U217" i="13"/>
  <c r="U218" i="13"/>
  <c r="O219" i="13"/>
  <c r="AD219" i="13"/>
  <c r="AD220" i="13"/>
  <c r="O220" i="13"/>
  <c r="U221" i="13"/>
  <c r="AD222" i="13"/>
  <c r="O222" i="13"/>
  <c r="U223" i="13"/>
  <c r="AD224" i="13"/>
  <c r="O224" i="13"/>
  <c r="U225" i="13"/>
  <c r="O226" i="13"/>
  <c r="AD226" i="13"/>
  <c r="U227" i="13"/>
  <c r="AD228" i="13"/>
  <c r="O228" i="13"/>
  <c r="U229" i="13"/>
  <c r="O230" i="13"/>
  <c r="AD230" i="13"/>
  <c r="AD232" i="13"/>
  <c r="O232" i="13"/>
  <c r="Z233" i="13"/>
  <c r="K233" i="13"/>
  <c r="R234" i="13"/>
  <c r="AD235" i="13"/>
  <c r="O235" i="13"/>
  <c r="BB78" i="13"/>
  <c r="BB236" i="13" s="1"/>
  <c r="S237" i="13"/>
  <c r="Z238" i="13"/>
  <c r="K238" i="13"/>
  <c r="R239" i="13"/>
  <c r="AB245" i="13"/>
  <c r="M245" i="13"/>
  <c r="K252" i="13"/>
  <c r="Z252" i="13"/>
  <c r="AA254" i="13"/>
  <c r="L254" i="13"/>
  <c r="AS257" i="13"/>
  <c r="K267" i="13"/>
  <c r="Z267" i="13"/>
  <c r="Z270" i="13"/>
  <c r="K270" i="13"/>
  <c r="K277" i="13"/>
  <c r="Z277" i="13"/>
  <c r="Z281" i="13"/>
  <c r="K281" i="13"/>
  <c r="Z284" i="13"/>
  <c r="K284" i="13"/>
  <c r="V168" i="13"/>
  <c r="P169" i="13"/>
  <c r="V170" i="13"/>
  <c r="P171" i="13"/>
  <c r="V172" i="13"/>
  <c r="P173" i="13"/>
  <c r="P175" i="13"/>
  <c r="V176" i="13"/>
  <c r="P177" i="13"/>
  <c r="V178" i="13"/>
  <c r="P179" i="13"/>
  <c r="V180" i="13"/>
  <c r="P181" i="13"/>
  <c r="V182" i="13"/>
  <c r="P183" i="13"/>
  <c r="V184" i="13"/>
  <c r="P185" i="13"/>
  <c r="V186" i="13"/>
  <c r="P187" i="13"/>
  <c r="V188" i="13"/>
  <c r="P189" i="13"/>
  <c r="V190" i="13"/>
  <c r="P191" i="13"/>
  <c r="V192" i="13"/>
  <c r="P193" i="13"/>
  <c r="V194" i="13"/>
  <c r="P195" i="13"/>
  <c r="V196" i="13"/>
  <c r="P197" i="13"/>
  <c r="V198" i="13"/>
  <c r="P199" i="13"/>
  <c r="V200" i="13"/>
  <c r="P201" i="13"/>
  <c r="V202" i="13"/>
  <c r="P203" i="13"/>
  <c r="V204" i="13"/>
  <c r="P205" i="13"/>
  <c r="V206" i="13"/>
  <c r="P210" i="13"/>
  <c r="P212" i="13"/>
  <c r="P214" i="13"/>
  <c r="P219" i="13"/>
  <c r="P220" i="13"/>
  <c r="P222" i="13"/>
  <c r="P224" i="13"/>
  <c r="P226" i="13"/>
  <c r="P228" i="13"/>
  <c r="P230" i="13"/>
  <c r="P232" i="13"/>
  <c r="AA233" i="13"/>
  <c r="L233" i="13"/>
  <c r="S234" i="13"/>
  <c r="BC76" i="13"/>
  <c r="BC234" i="13" s="1"/>
  <c r="P235" i="13"/>
  <c r="Z236" i="13"/>
  <c r="K236" i="13"/>
  <c r="W236" i="13"/>
  <c r="AA238" i="13"/>
  <c r="L238" i="13"/>
  <c r="S239" i="13"/>
  <c r="BC81" i="13"/>
  <c r="BC239" i="13" s="1"/>
  <c r="K241" i="13"/>
  <c r="Z241" i="13"/>
  <c r="R242" i="13"/>
  <c r="AC245" i="13"/>
  <c r="N245" i="13"/>
  <c r="AS245" i="13"/>
  <c r="K247" i="13"/>
  <c r="Z247" i="13"/>
  <c r="BC89" i="13"/>
  <c r="BC247" i="13" s="1"/>
  <c r="K249" i="13"/>
  <c r="Z249" i="13"/>
  <c r="BC91" i="13"/>
  <c r="BC249" i="13" s="1"/>
  <c r="L252" i="13"/>
  <c r="AA252" i="13"/>
  <c r="AS255" i="13"/>
  <c r="AS256" i="13"/>
  <c r="AS293" i="13"/>
  <c r="S221" i="13"/>
  <c r="Q171" i="13"/>
  <c r="Z172" i="13"/>
  <c r="K172" i="13"/>
  <c r="W172" i="13"/>
  <c r="Q173" i="13"/>
  <c r="Z174" i="13"/>
  <c r="K174" i="13"/>
  <c r="W174" i="13"/>
  <c r="Q175" i="13"/>
  <c r="Z176" i="13"/>
  <c r="K176" i="13"/>
  <c r="Q177" i="13"/>
  <c r="Z178" i="13"/>
  <c r="K178" i="13"/>
  <c r="W178" i="13"/>
  <c r="Q179" i="13"/>
  <c r="W180" i="13"/>
  <c r="BB20" i="13"/>
  <c r="BB180" i="13" s="1"/>
  <c r="Q181" i="13"/>
  <c r="Z182" i="13"/>
  <c r="K182" i="13"/>
  <c r="W182" i="13"/>
  <c r="BB22" i="13"/>
  <c r="BB182" i="13" s="1"/>
  <c r="Q183" i="13"/>
  <c r="Z184" i="13"/>
  <c r="K184" i="13"/>
  <c r="W184" i="13"/>
  <c r="BB24" i="13"/>
  <c r="BB184" i="13" s="1"/>
  <c r="Q185" i="13"/>
  <c r="K186" i="13"/>
  <c r="Z186" i="13"/>
  <c r="W186" i="13"/>
  <c r="BB26" i="13"/>
  <c r="BB186" i="13" s="1"/>
  <c r="Q187" i="13"/>
  <c r="Z188" i="13"/>
  <c r="K188" i="13"/>
  <c r="W188" i="13"/>
  <c r="BB28" i="13"/>
  <c r="BB188" i="13" s="1"/>
  <c r="Q189" i="13"/>
  <c r="Z190" i="13"/>
  <c r="K190" i="13"/>
  <c r="W190" i="13"/>
  <c r="BB30" i="13"/>
  <c r="BB190" i="13" s="1"/>
  <c r="Q191" i="13"/>
  <c r="K192" i="13"/>
  <c r="Z192" i="13"/>
  <c r="W192" i="13"/>
  <c r="BB32" i="13"/>
  <c r="BB192" i="13" s="1"/>
  <c r="Q193" i="13"/>
  <c r="Z194" i="13"/>
  <c r="K194" i="13"/>
  <c r="W194" i="13"/>
  <c r="BB34" i="13"/>
  <c r="BB194" i="13" s="1"/>
  <c r="Q195" i="13"/>
  <c r="Z196" i="13"/>
  <c r="K196" i="13"/>
  <c r="W196" i="13"/>
  <c r="BB36" i="13"/>
  <c r="BB196" i="13" s="1"/>
  <c r="Q197" i="13"/>
  <c r="K198" i="13"/>
  <c r="Z198" i="13"/>
  <c r="W198" i="13"/>
  <c r="BB38" i="13"/>
  <c r="BB198" i="13" s="1"/>
  <c r="Q199" i="13"/>
  <c r="K200" i="13"/>
  <c r="Z200" i="13"/>
  <c r="W200" i="13"/>
  <c r="BB40" i="13"/>
  <c r="BB200" i="13" s="1"/>
  <c r="Q201" i="13"/>
  <c r="Z202" i="13"/>
  <c r="K202" i="13"/>
  <c r="W202" i="13"/>
  <c r="BB42" i="13"/>
  <c r="BB202" i="13" s="1"/>
  <c r="Q203" i="13"/>
  <c r="K204" i="13"/>
  <c r="Z204" i="13"/>
  <c r="W204" i="13"/>
  <c r="BB44" i="13"/>
  <c r="BB204" i="13" s="1"/>
  <c r="Q205" i="13"/>
  <c r="K206" i="13"/>
  <c r="Z206" i="13"/>
  <c r="W206" i="13"/>
  <c r="BB46" i="13"/>
  <c r="BB206" i="13" s="1"/>
  <c r="Q209" i="13"/>
  <c r="Q210" i="13"/>
  <c r="K211" i="13"/>
  <c r="Z211" i="13"/>
  <c r="W211" i="13"/>
  <c r="BB53" i="13"/>
  <c r="BB211" i="13" s="1"/>
  <c r="Q212" i="13"/>
  <c r="K213" i="13"/>
  <c r="Z213" i="13"/>
  <c r="W213" i="13"/>
  <c r="BB55" i="13"/>
  <c r="BB213" i="13" s="1"/>
  <c r="Q214" i="13"/>
  <c r="K215" i="13"/>
  <c r="Z215" i="13"/>
  <c r="W215" i="13"/>
  <c r="BB57" i="13"/>
  <c r="BB215" i="13" s="1"/>
  <c r="K216" i="13"/>
  <c r="Z216" i="13"/>
  <c r="W216" i="13"/>
  <c r="BB58" i="13"/>
  <c r="BB216" i="13" s="1"/>
  <c r="Z217" i="13"/>
  <c r="K217" i="13"/>
  <c r="W217" i="13"/>
  <c r="BB59" i="13"/>
  <c r="BB217" i="13" s="1"/>
  <c r="Z218" i="13"/>
  <c r="K218" i="13"/>
  <c r="W218" i="13"/>
  <c r="BB60" i="13"/>
  <c r="BB218" i="13" s="1"/>
  <c r="Q219" i="13"/>
  <c r="Q220" i="13"/>
  <c r="K221" i="13"/>
  <c r="Z221" i="13"/>
  <c r="W221" i="13"/>
  <c r="BB63" i="13"/>
  <c r="BB221" i="13" s="1"/>
  <c r="Q222" i="13"/>
  <c r="K223" i="13"/>
  <c r="Z223" i="13"/>
  <c r="W223" i="13"/>
  <c r="BB65" i="13"/>
  <c r="BB223" i="13" s="1"/>
  <c r="Q224" i="13"/>
  <c r="K225" i="13"/>
  <c r="Z225" i="13"/>
  <c r="W225" i="13"/>
  <c r="BB67" i="13"/>
  <c r="BB225" i="13" s="1"/>
  <c r="Q226" i="13"/>
  <c r="K227" i="13"/>
  <c r="Z227" i="13"/>
  <c r="W227" i="13"/>
  <c r="BB69" i="13"/>
  <c r="BB227" i="13" s="1"/>
  <c r="Q228" i="13"/>
  <c r="Z229" i="13"/>
  <c r="K229" i="13"/>
  <c r="W229" i="13"/>
  <c r="BB71" i="13"/>
  <c r="BB229" i="13" s="1"/>
  <c r="Q230" i="13"/>
  <c r="K231" i="13"/>
  <c r="Z231" i="13"/>
  <c r="W231" i="13"/>
  <c r="BB73" i="13"/>
  <c r="BB231" i="13" s="1"/>
  <c r="Q232" i="13"/>
  <c r="AU232" i="13"/>
  <c r="M233" i="13"/>
  <c r="AB233" i="13"/>
  <c r="T234" i="13"/>
  <c r="Q235" i="13"/>
  <c r="U237" i="13"/>
  <c r="M238" i="13"/>
  <c r="AB238" i="13"/>
  <c r="T239" i="13"/>
  <c r="BB81" i="13"/>
  <c r="BB239" i="13" s="1"/>
  <c r="AA241" i="13"/>
  <c r="L241" i="13"/>
  <c r="S242" i="13"/>
  <c r="BC84" i="13"/>
  <c r="BC242" i="13" s="1"/>
  <c r="AU244" i="13"/>
  <c r="AD245" i="13"/>
  <c r="O245" i="13"/>
  <c r="AA247" i="13"/>
  <c r="L247" i="13"/>
  <c r="AA249" i="13"/>
  <c r="L249" i="13"/>
  <c r="AS253" i="13"/>
  <c r="AS254" i="13"/>
  <c r="AD256" i="13"/>
  <c r="O256" i="13"/>
  <c r="AU257" i="13"/>
  <c r="AT262" i="13"/>
  <c r="T298" i="13"/>
  <c r="BB140" i="13"/>
  <c r="BB298" i="13" s="1"/>
  <c r="S307" i="13"/>
  <c r="BC149" i="13"/>
  <c r="BC307" i="13" s="1"/>
  <c r="AA168" i="13"/>
  <c r="L168" i="13"/>
  <c r="X168" i="13"/>
  <c r="R169" i="13"/>
  <c r="AA170" i="13"/>
  <c r="L170" i="13"/>
  <c r="X170" i="13"/>
  <c r="R171" i="13"/>
  <c r="AA172" i="13"/>
  <c r="L172" i="13"/>
  <c r="X172" i="13"/>
  <c r="R173" i="13"/>
  <c r="AA174" i="13"/>
  <c r="L174" i="13"/>
  <c r="X174" i="13"/>
  <c r="R175" i="13"/>
  <c r="AA176" i="13"/>
  <c r="L176" i="13"/>
  <c r="R177" i="13"/>
  <c r="L178" i="13"/>
  <c r="AA178" i="13"/>
  <c r="X178" i="13"/>
  <c r="R179" i="13"/>
  <c r="AA180" i="13"/>
  <c r="L180" i="13"/>
  <c r="R181" i="13"/>
  <c r="AA182" i="13"/>
  <c r="L182" i="13"/>
  <c r="X182" i="13"/>
  <c r="R183" i="13"/>
  <c r="L184" i="13"/>
  <c r="AA184" i="13"/>
  <c r="X184" i="13"/>
  <c r="R185" i="13"/>
  <c r="AA186" i="13"/>
  <c r="L186" i="13"/>
  <c r="X186" i="13"/>
  <c r="R187" i="13"/>
  <c r="AA188" i="13"/>
  <c r="L188" i="13"/>
  <c r="X188" i="13"/>
  <c r="R189" i="13"/>
  <c r="L190" i="13"/>
  <c r="AA190" i="13"/>
  <c r="X190" i="13"/>
  <c r="R191" i="13"/>
  <c r="AA192" i="13"/>
  <c r="L192" i="13"/>
  <c r="X192" i="13"/>
  <c r="R193" i="13"/>
  <c r="AA194" i="13"/>
  <c r="L194" i="13"/>
  <c r="X194" i="13"/>
  <c r="R195" i="13"/>
  <c r="L196" i="13"/>
  <c r="AA196" i="13"/>
  <c r="X196" i="13"/>
  <c r="R197" i="13"/>
  <c r="AA198" i="13"/>
  <c r="L198" i="13"/>
  <c r="X198" i="13"/>
  <c r="R199" i="13"/>
  <c r="AA200" i="13"/>
  <c r="L200" i="13"/>
  <c r="X200" i="13"/>
  <c r="BC40" i="13"/>
  <c r="BC200" i="13" s="1"/>
  <c r="R201" i="13"/>
  <c r="AA202" i="13"/>
  <c r="L202" i="13"/>
  <c r="X202" i="13"/>
  <c r="BC42" i="13"/>
  <c r="BC202" i="13" s="1"/>
  <c r="R203" i="13"/>
  <c r="AA204" i="13"/>
  <c r="L204" i="13"/>
  <c r="X204" i="13"/>
  <c r="BC44" i="13"/>
  <c r="BC204" i="13" s="1"/>
  <c r="R205" i="13"/>
  <c r="AA206" i="13"/>
  <c r="L206" i="13"/>
  <c r="X206" i="13"/>
  <c r="BC46" i="13"/>
  <c r="BC206" i="13" s="1"/>
  <c r="R209" i="13"/>
  <c r="R210" i="13"/>
  <c r="AA211" i="13"/>
  <c r="L211" i="13"/>
  <c r="X211" i="13"/>
  <c r="BC53" i="13"/>
  <c r="BC211" i="13" s="1"/>
  <c r="R212" i="13"/>
  <c r="L213" i="13"/>
  <c r="AA213" i="13"/>
  <c r="X213" i="13"/>
  <c r="BC55" i="13"/>
  <c r="BC213" i="13" s="1"/>
  <c r="R214" i="13"/>
  <c r="L215" i="13"/>
  <c r="AA215" i="13"/>
  <c r="X215" i="13"/>
  <c r="BC57" i="13"/>
  <c r="BC215" i="13" s="1"/>
  <c r="AA216" i="13"/>
  <c r="L216" i="13"/>
  <c r="X216" i="13"/>
  <c r="BC58" i="13"/>
  <c r="BC216" i="13" s="1"/>
  <c r="L217" i="13"/>
  <c r="AA217" i="13"/>
  <c r="X217" i="13"/>
  <c r="BC59" i="13"/>
  <c r="BC217" i="13" s="1"/>
  <c r="AA218" i="13"/>
  <c r="L218" i="13"/>
  <c r="X218" i="13"/>
  <c r="BC60" i="13"/>
  <c r="BC218" i="13" s="1"/>
  <c r="R219" i="13"/>
  <c r="R220" i="13"/>
  <c r="AA221" i="13"/>
  <c r="L221" i="13"/>
  <c r="X221" i="13"/>
  <c r="R222" i="13"/>
  <c r="AA223" i="13"/>
  <c r="L223" i="13"/>
  <c r="X223" i="13"/>
  <c r="BC65" i="13"/>
  <c r="BC223" i="13" s="1"/>
  <c r="R224" i="13"/>
  <c r="L225" i="13"/>
  <c r="AA225" i="13"/>
  <c r="X225" i="13"/>
  <c r="BC67" i="13"/>
  <c r="BC225" i="13" s="1"/>
  <c r="R226" i="13"/>
  <c r="AA227" i="13"/>
  <c r="L227" i="13"/>
  <c r="X227" i="13"/>
  <c r="BC69" i="13"/>
  <c r="BC227" i="13" s="1"/>
  <c r="R228" i="13"/>
  <c r="L229" i="13"/>
  <c r="AA229" i="13"/>
  <c r="X229" i="13"/>
  <c r="BC71" i="13"/>
  <c r="BC229" i="13" s="1"/>
  <c r="R230" i="13"/>
  <c r="AA231" i="13"/>
  <c r="L231" i="13"/>
  <c r="X231" i="13"/>
  <c r="BC73" i="13"/>
  <c r="BC231" i="13" s="1"/>
  <c r="R232" i="13"/>
  <c r="N233" i="13"/>
  <c r="AC233" i="13"/>
  <c r="M236" i="13"/>
  <c r="AB236" i="13"/>
  <c r="Y236" i="13"/>
  <c r="V237" i="13"/>
  <c r="BB79" i="13"/>
  <c r="BB237" i="13" s="1"/>
  <c r="N238" i="13"/>
  <c r="AC238" i="13"/>
  <c r="S240" i="13"/>
  <c r="M241" i="13"/>
  <c r="AB241" i="13"/>
  <c r="T242" i="13"/>
  <c r="BB84" i="13"/>
  <c r="BB242" i="13" s="1"/>
  <c r="S243" i="13"/>
  <c r="O244" i="13"/>
  <c r="AD244" i="13"/>
  <c r="AB247" i="13"/>
  <c r="M247" i="13"/>
  <c r="Y247" i="13"/>
  <c r="AS251" i="13"/>
  <c r="AS252" i="13"/>
  <c r="O254" i="13"/>
  <c r="AD254" i="13"/>
  <c r="AU255" i="13"/>
  <c r="AD259" i="13"/>
  <c r="O259" i="13"/>
  <c r="K261" i="13"/>
  <c r="Z261" i="13"/>
  <c r="AU262" i="13"/>
  <c r="AT288" i="13"/>
  <c r="BB133" i="13"/>
  <c r="BB291" i="13" s="1"/>
  <c r="R303" i="13"/>
  <c r="BD145" i="13"/>
  <c r="BD303" i="13" s="1"/>
  <c r="AB194" i="13"/>
  <c r="M194" i="13"/>
  <c r="Y194" i="13"/>
  <c r="AB196" i="13"/>
  <c r="M196" i="13"/>
  <c r="Y196" i="13"/>
  <c r="AB198" i="13"/>
  <c r="M198" i="13"/>
  <c r="Y198" i="13"/>
  <c r="AB200" i="13"/>
  <c r="M200" i="13"/>
  <c r="Y200" i="13"/>
  <c r="AB202" i="13"/>
  <c r="M202" i="13"/>
  <c r="Y202" i="13"/>
  <c r="AB204" i="13"/>
  <c r="M204" i="13"/>
  <c r="Y204" i="13"/>
  <c r="AB206" i="13"/>
  <c r="M206" i="13"/>
  <c r="Y206" i="13"/>
  <c r="M211" i="13"/>
  <c r="AB211" i="13"/>
  <c r="Y211" i="13"/>
  <c r="AB213" i="13"/>
  <c r="M213" i="13"/>
  <c r="Y213" i="13"/>
  <c r="AB215" i="13"/>
  <c r="M215" i="13"/>
  <c r="Y215" i="13"/>
  <c r="M216" i="13"/>
  <c r="AB216" i="13"/>
  <c r="Y216" i="13"/>
  <c r="AB217" i="13"/>
  <c r="M217" i="13"/>
  <c r="Y217" i="13"/>
  <c r="M218" i="13"/>
  <c r="AB218" i="13"/>
  <c r="Y218" i="13"/>
  <c r="M221" i="13"/>
  <c r="AB221" i="13"/>
  <c r="Y221" i="13"/>
  <c r="M223" i="13"/>
  <c r="AB223" i="13"/>
  <c r="Y223" i="13"/>
  <c r="AB225" i="13"/>
  <c r="M225" i="13"/>
  <c r="Y225" i="13"/>
  <c r="AB227" i="13"/>
  <c r="M227" i="13"/>
  <c r="Y227" i="13"/>
  <c r="M229" i="13"/>
  <c r="AB229" i="13"/>
  <c r="Y229" i="13"/>
  <c r="M231" i="13"/>
  <c r="AB231" i="13"/>
  <c r="Y231" i="13"/>
  <c r="S232" i="13"/>
  <c r="BC74" i="13"/>
  <c r="BC232" i="13" s="1"/>
  <c r="O233" i="13"/>
  <c r="AD233" i="13"/>
  <c r="V234" i="13"/>
  <c r="S235" i="13"/>
  <c r="K237" i="13"/>
  <c r="Z237" i="13"/>
  <c r="W237" i="13"/>
  <c r="BC79" i="13"/>
  <c r="BC237" i="13" s="1"/>
  <c r="O238" i="13"/>
  <c r="AD238" i="13"/>
  <c r="V239" i="13"/>
  <c r="BD81" i="13"/>
  <c r="BD239" i="13" s="1"/>
  <c r="AC241" i="13"/>
  <c r="N241" i="13"/>
  <c r="N247" i="13"/>
  <c r="AC247" i="13"/>
  <c r="AS247" i="13"/>
  <c r="AS249" i="13"/>
  <c r="AD252" i="13"/>
  <c r="O252" i="13"/>
  <c r="AU253" i="13"/>
  <c r="AT266" i="13"/>
  <c r="AT269" i="13"/>
  <c r="AT280" i="13"/>
  <c r="BB128" i="13"/>
  <c r="BB286" i="13" s="1"/>
  <c r="AU288" i="13"/>
  <c r="AC192" i="13"/>
  <c r="N192" i="13"/>
  <c r="AC194" i="13"/>
  <c r="N194" i="13"/>
  <c r="N196" i="13"/>
  <c r="AC196" i="13"/>
  <c r="AC198" i="13"/>
  <c r="AC200" i="13"/>
  <c r="N200" i="13"/>
  <c r="N202" i="13"/>
  <c r="AC202" i="13"/>
  <c r="AC204" i="13"/>
  <c r="N204" i="13"/>
  <c r="AC206" i="13"/>
  <c r="N206" i="13"/>
  <c r="N211" i="13"/>
  <c r="AC211" i="13"/>
  <c r="AC213" i="13"/>
  <c r="N213" i="13"/>
  <c r="AC215" i="13"/>
  <c r="N215" i="13"/>
  <c r="AC216" i="13"/>
  <c r="N216" i="13"/>
  <c r="AC217" i="13"/>
  <c r="N217" i="13"/>
  <c r="AC218" i="13"/>
  <c r="N218" i="13"/>
  <c r="AC221" i="13"/>
  <c r="AC223" i="13"/>
  <c r="N223" i="13"/>
  <c r="AC225" i="13"/>
  <c r="N225" i="13"/>
  <c r="AC227" i="13"/>
  <c r="N227" i="13"/>
  <c r="N229" i="13"/>
  <c r="AC229" i="13"/>
  <c r="T230" i="13"/>
  <c r="N231" i="13"/>
  <c r="AC231" i="13"/>
  <c r="T232" i="13"/>
  <c r="P233" i="13"/>
  <c r="K234" i="13"/>
  <c r="Z234" i="13"/>
  <c r="W234" i="13"/>
  <c r="BD76" i="13"/>
  <c r="BD234" i="13" s="1"/>
  <c r="O236" i="13"/>
  <c r="AD236" i="13"/>
  <c r="AA237" i="13"/>
  <c r="L237" i="13"/>
  <c r="X237" i="13"/>
  <c r="P238" i="13"/>
  <c r="K239" i="13"/>
  <c r="Z239" i="13"/>
  <c r="W239" i="13"/>
  <c r="U240" i="13"/>
  <c r="O241" i="13"/>
  <c r="AD241" i="13"/>
  <c r="V242" i="13"/>
  <c r="U243" i="13"/>
  <c r="AU246" i="13"/>
  <c r="AD247" i="13"/>
  <c r="O247" i="13"/>
  <c r="AU248" i="13"/>
  <c r="O249" i="13"/>
  <c r="AD249" i="13"/>
  <c r="AU250" i="13"/>
  <c r="AU251" i="13"/>
  <c r="O257" i="13"/>
  <c r="AD257" i="13"/>
  <c r="Z265" i="13"/>
  <c r="K265" i="13"/>
  <c r="AU266" i="13"/>
  <c r="AU269" i="13"/>
  <c r="AU280" i="13"/>
  <c r="K129" i="13"/>
  <c r="K291" i="13"/>
  <c r="Z291" i="13"/>
  <c r="O293" i="13"/>
  <c r="AD293" i="13"/>
  <c r="K297" i="13"/>
  <c r="Z297" i="13"/>
  <c r="W297" i="13"/>
  <c r="AD174" i="13"/>
  <c r="O174" i="13"/>
  <c r="U175" i="13"/>
  <c r="O176" i="13"/>
  <c r="AD176" i="13"/>
  <c r="U177" i="13"/>
  <c r="AD178" i="13"/>
  <c r="O178" i="13"/>
  <c r="U179" i="13"/>
  <c r="AD180" i="13"/>
  <c r="O180" i="13"/>
  <c r="U181" i="13"/>
  <c r="O182" i="13"/>
  <c r="AD182" i="13"/>
  <c r="U183" i="13"/>
  <c r="AD184" i="13"/>
  <c r="O184" i="13"/>
  <c r="U185" i="13"/>
  <c r="AD186" i="13"/>
  <c r="O186" i="13"/>
  <c r="U187" i="13"/>
  <c r="O188" i="13"/>
  <c r="AD188" i="13"/>
  <c r="U189" i="13"/>
  <c r="AD190" i="13"/>
  <c r="O190" i="13"/>
  <c r="U191" i="13"/>
  <c r="AD192" i="13"/>
  <c r="O192" i="13"/>
  <c r="U193" i="13"/>
  <c r="O194" i="13"/>
  <c r="AD194" i="13"/>
  <c r="U195" i="13"/>
  <c r="AD196" i="13"/>
  <c r="O196" i="13"/>
  <c r="U197" i="13"/>
  <c r="AD198" i="13"/>
  <c r="O198" i="13"/>
  <c r="U199" i="13"/>
  <c r="O200" i="13"/>
  <c r="AD200" i="13"/>
  <c r="U201" i="13"/>
  <c r="O202" i="13"/>
  <c r="AD202" i="13"/>
  <c r="U203" i="13"/>
  <c r="AD204" i="13"/>
  <c r="O204" i="13"/>
  <c r="U205" i="13"/>
  <c r="AD206" i="13"/>
  <c r="O206" i="13"/>
  <c r="U209" i="13"/>
  <c r="U210" i="13"/>
  <c r="O211" i="13"/>
  <c r="AD211" i="13"/>
  <c r="U212" i="13"/>
  <c r="AD213" i="13"/>
  <c r="O213" i="13"/>
  <c r="U214" i="13"/>
  <c r="O215" i="13"/>
  <c r="AD215" i="13"/>
  <c r="O216" i="13"/>
  <c r="AD216" i="13"/>
  <c r="O217" i="13"/>
  <c r="AD217" i="13"/>
  <c r="AD218" i="13"/>
  <c r="O218" i="13"/>
  <c r="U219" i="13"/>
  <c r="U220" i="13"/>
  <c r="O221" i="13"/>
  <c r="AD221" i="13"/>
  <c r="U222" i="13"/>
  <c r="AD223" i="13"/>
  <c r="O223" i="13"/>
  <c r="U224" i="13"/>
  <c r="O225" i="13"/>
  <c r="AD225" i="13"/>
  <c r="U226" i="13"/>
  <c r="O227" i="13"/>
  <c r="AD227" i="13"/>
  <c r="U228" i="13"/>
  <c r="AD229" i="13"/>
  <c r="O229" i="13"/>
  <c r="U230" i="13"/>
  <c r="AF230" i="13"/>
  <c r="O231" i="13"/>
  <c r="AD231" i="13"/>
  <c r="U232" i="13"/>
  <c r="Q233" i="13"/>
  <c r="U235" i="13"/>
  <c r="AU236" i="13"/>
  <c r="M237" i="13"/>
  <c r="AB237" i="13"/>
  <c r="V240" i="13"/>
  <c r="BB82" i="13"/>
  <c r="P241" i="13"/>
  <c r="V243" i="13"/>
  <c r="BB85" i="13"/>
  <c r="BB243" i="13" s="1"/>
  <c r="R244" i="13"/>
  <c r="BD86" i="13"/>
  <c r="BD244" i="13" s="1"/>
  <c r="O246" i="13"/>
  <c r="AD246" i="13"/>
  <c r="O255" i="13"/>
  <c r="AD255" i="13"/>
  <c r="R259" i="13"/>
  <c r="BD101" i="13"/>
  <c r="BD259" i="13" s="1"/>
  <c r="K260" i="13"/>
  <c r="Z260" i="13"/>
  <c r="Z268" i="13"/>
  <c r="K268" i="13"/>
  <c r="Z272" i="13"/>
  <c r="K272" i="13"/>
  <c r="K274" i="13"/>
  <c r="Z274" i="13"/>
  <c r="K276" i="13"/>
  <c r="Z276" i="13"/>
  <c r="K279" i="13"/>
  <c r="Z279" i="13"/>
  <c r="Z283" i="13"/>
  <c r="K283" i="13"/>
  <c r="Z286" i="13"/>
  <c r="K286" i="13"/>
  <c r="V129" i="13"/>
  <c r="V287" i="13" s="1"/>
  <c r="K296" i="13"/>
  <c r="Z296" i="13"/>
  <c r="S302" i="13"/>
  <c r="BC144" i="13"/>
  <c r="BC302" i="13" s="1"/>
  <c r="N198" i="13"/>
  <c r="V252" i="13"/>
  <c r="V254" i="13"/>
  <c r="V256" i="13"/>
  <c r="V258" i="13"/>
  <c r="V260" i="13"/>
  <c r="U261" i="13"/>
  <c r="O262" i="13"/>
  <c r="AD262" i="13"/>
  <c r="U263" i="13"/>
  <c r="AD264" i="13"/>
  <c r="O264" i="13"/>
  <c r="U265" i="13"/>
  <c r="AD266" i="13"/>
  <c r="O266" i="13"/>
  <c r="U267" i="13"/>
  <c r="U268" i="13"/>
  <c r="AD269" i="13"/>
  <c r="O269" i="13"/>
  <c r="U270" i="13"/>
  <c r="O271" i="13"/>
  <c r="AD271" i="13"/>
  <c r="U272" i="13"/>
  <c r="O273" i="13"/>
  <c r="AD273" i="13"/>
  <c r="U274" i="13"/>
  <c r="O275" i="13"/>
  <c r="AD275" i="13"/>
  <c r="U276" i="13"/>
  <c r="U277" i="13"/>
  <c r="O278" i="13"/>
  <c r="AD278" i="13"/>
  <c r="U279" i="13"/>
  <c r="O280" i="13"/>
  <c r="AD280" i="13"/>
  <c r="U281" i="13"/>
  <c r="O282" i="13"/>
  <c r="AD282" i="13"/>
  <c r="U283" i="13"/>
  <c r="U284" i="13"/>
  <c r="AD285" i="13"/>
  <c r="O285" i="13"/>
  <c r="U286" i="13"/>
  <c r="U129" i="13"/>
  <c r="U287" i="13" s="1"/>
  <c r="AD288" i="13"/>
  <c r="O288" i="13"/>
  <c r="U289" i="13"/>
  <c r="O290" i="13"/>
  <c r="AD290" i="13"/>
  <c r="U291" i="13"/>
  <c r="AB293" i="13"/>
  <c r="M293" i="13"/>
  <c r="Y293" i="13"/>
  <c r="K294" i="13"/>
  <c r="Z294" i="13"/>
  <c r="W294" i="13"/>
  <c r="U297" i="13"/>
  <c r="S300" i="13"/>
  <c r="R304" i="13"/>
  <c r="BD146" i="13"/>
  <c r="BD304" i="13" s="1"/>
  <c r="M249" i="13"/>
  <c r="AB249" i="13"/>
  <c r="AB252" i="13"/>
  <c r="M252" i="13"/>
  <c r="M254" i="13"/>
  <c r="AB254" i="13"/>
  <c r="AB256" i="13"/>
  <c r="M256" i="13"/>
  <c r="AB258" i="13"/>
  <c r="M258" i="13"/>
  <c r="AB260" i="13"/>
  <c r="M260" i="13"/>
  <c r="AA261" i="13"/>
  <c r="L261" i="13"/>
  <c r="BC103" i="13"/>
  <c r="BC261" i="13" s="1"/>
  <c r="L263" i="13"/>
  <c r="AA263" i="13"/>
  <c r="BC105" i="13"/>
  <c r="BC263" i="13" s="1"/>
  <c r="L265" i="13"/>
  <c r="AA265" i="13"/>
  <c r="BC107" i="13"/>
  <c r="BC265" i="13" s="1"/>
  <c r="L267" i="13"/>
  <c r="AA267" i="13"/>
  <c r="BC109" i="13"/>
  <c r="BC267" i="13" s="1"/>
  <c r="AA268" i="13"/>
  <c r="L268" i="13"/>
  <c r="BC110" i="13"/>
  <c r="BC268" i="13" s="1"/>
  <c r="L270" i="13"/>
  <c r="AA270" i="13"/>
  <c r="BC112" i="13"/>
  <c r="BC270" i="13" s="1"/>
  <c r="AA272" i="13"/>
  <c r="L272" i="13"/>
  <c r="BC114" i="13"/>
  <c r="BC272" i="13" s="1"/>
  <c r="AA274" i="13"/>
  <c r="L274" i="13"/>
  <c r="BC116" i="13"/>
  <c r="BC274" i="13" s="1"/>
  <c r="L276" i="13"/>
  <c r="AA276" i="13"/>
  <c r="BC118" i="13"/>
  <c r="BC276" i="13" s="1"/>
  <c r="L277" i="13"/>
  <c r="AA277" i="13"/>
  <c r="BC119" i="13"/>
  <c r="BC277" i="13" s="1"/>
  <c r="L279" i="13"/>
  <c r="AA279" i="13"/>
  <c r="BC121" i="13"/>
  <c r="BC279" i="13" s="1"/>
  <c r="AA281" i="13"/>
  <c r="L281" i="13"/>
  <c r="BC123" i="13"/>
  <c r="BC281" i="13" s="1"/>
  <c r="AA283" i="13"/>
  <c r="L283" i="13"/>
  <c r="BC125" i="13"/>
  <c r="BC283" i="13" s="1"/>
  <c r="AA284" i="13"/>
  <c r="L284" i="13"/>
  <c r="BC126" i="13"/>
  <c r="BC284" i="13" s="1"/>
  <c r="AA286" i="13"/>
  <c r="L286" i="13"/>
  <c r="BC128" i="13"/>
  <c r="BC286" i="13" s="1"/>
  <c r="L129" i="13"/>
  <c r="X129" i="13"/>
  <c r="X287" i="13" s="1"/>
  <c r="AA289" i="13"/>
  <c r="L289" i="13"/>
  <c r="BC131" i="13"/>
  <c r="BC289" i="13" s="1"/>
  <c r="L291" i="13"/>
  <c r="AA291" i="13"/>
  <c r="BC133" i="13"/>
  <c r="BC291" i="13" s="1"/>
  <c r="S292" i="13"/>
  <c r="AU293" i="13"/>
  <c r="AC294" i="13"/>
  <c r="N294" i="13"/>
  <c r="AT294" i="13"/>
  <c r="AS295" i="13"/>
  <c r="AA297" i="13"/>
  <c r="L297" i="13"/>
  <c r="K299" i="13"/>
  <c r="Z299" i="13"/>
  <c r="BC142" i="13"/>
  <c r="BC300" i="13" s="1"/>
  <c r="T301" i="13"/>
  <c r="BB143" i="13"/>
  <c r="BB301" i="13" s="1"/>
  <c r="T303" i="13"/>
  <c r="BB145" i="13"/>
  <c r="BB303" i="13" s="1"/>
  <c r="T248" i="13"/>
  <c r="AC249" i="13"/>
  <c r="N249" i="13"/>
  <c r="T250" i="13"/>
  <c r="T251" i="13"/>
  <c r="AC252" i="13"/>
  <c r="N252" i="13"/>
  <c r="T253" i="13"/>
  <c r="N254" i="13"/>
  <c r="AC254" i="13"/>
  <c r="T255" i="13"/>
  <c r="AC256" i="13"/>
  <c r="N256" i="13"/>
  <c r="T257" i="13"/>
  <c r="AC258" i="13"/>
  <c r="N258" i="13"/>
  <c r="T259" i="13"/>
  <c r="AC260" i="13"/>
  <c r="N260" i="13"/>
  <c r="AB261" i="13"/>
  <c r="M261" i="13"/>
  <c r="BD103" i="13"/>
  <c r="BD261" i="13" s="1"/>
  <c r="S262" i="13"/>
  <c r="M263" i="13"/>
  <c r="AB263" i="13"/>
  <c r="BD105" i="13"/>
  <c r="BD263" i="13" s="1"/>
  <c r="S264" i="13"/>
  <c r="AB265" i="13"/>
  <c r="M265" i="13"/>
  <c r="BD107" i="13"/>
  <c r="BD265" i="13" s="1"/>
  <c r="S266" i="13"/>
  <c r="AB267" i="13"/>
  <c r="M267" i="13"/>
  <c r="BD109" i="13"/>
  <c r="BD267" i="13" s="1"/>
  <c r="AB268" i="13"/>
  <c r="M268" i="13"/>
  <c r="BD110" i="13"/>
  <c r="BD268" i="13" s="1"/>
  <c r="S269" i="13"/>
  <c r="M270" i="13"/>
  <c r="AB270" i="13"/>
  <c r="BD112" i="13"/>
  <c r="BD270" i="13" s="1"/>
  <c r="S271" i="13"/>
  <c r="AB272" i="13"/>
  <c r="M272" i="13"/>
  <c r="BD114" i="13"/>
  <c r="BD272" i="13" s="1"/>
  <c r="S273" i="13"/>
  <c r="AB274" i="13"/>
  <c r="M274" i="13"/>
  <c r="BD116" i="13"/>
  <c r="BD274" i="13" s="1"/>
  <c r="S275" i="13"/>
  <c r="AF275" i="13"/>
  <c r="AB276" i="13"/>
  <c r="M276" i="13"/>
  <c r="BD118" i="13"/>
  <c r="BD276" i="13" s="1"/>
  <c r="AB277" i="13"/>
  <c r="M277" i="13"/>
  <c r="BD119" i="13"/>
  <c r="BD277" i="13" s="1"/>
  <c r="S278" i="13"/>
  <c r="AB279" i="13"/>
  <c r="M279" i="13"/>
  <c r="BD121" i="13"/>
  <c r="BD279" i="13" s="1"/>
  <c r="S280" i="13"/>
  <c r="M281" i="13"/>
  <c r="AB281" i="13"/>
  <c r="BD123" i="13"/>
  <c r="BD281" i="13" s="1"/>
  <c r="S282" i="13"/>
  <c r="AB283" i="13"/>
  <c r="M283" i="13"/>
  <c r="BD125" i="13"/>
  <c r="BD283" i="13" s="1"/>
  <c r="M284" i="13"/>
  <c r="AB284" i="13"/>
  <c r="BD126" i="13"/>
  <c r="BD284" i="13" s="1"/>
  <c r="S285" i="13"/>
  <c r="M286" i="13"/>
  <c r="AB286" i="13"/>
  <c r="BD128" i="13"/>
  <c r="BD286" i="13" s="1"/>
  <c r="M129" i="13"/>
  <c r="Y129" i="13"/>
  <c r="Y287" i="13" s="1"/>
  <c r="AQ129" i="13"/>
  <c r="AQ287" i="13" s="1"/>
  <c r="S288" i="13"/>
  <c r="AB289" i="13"/>
  <c r="M289" i="13"/>
  <c r="BD131" i="13"/>
  <c r="BD289" i="13" s="1"/>
  <c r="S290" i="13"/>
  <c r="M291" i="13"/>
  <c r="AB291" i="13"/>
  <c r="BD133" i="13"/>
  <c r="BD291" i="13" s="1"/>
  <c r="Q293" i="13"/>
  <c r="O294" i="13"/>
  <c r="AD294" i="13"/>
  <c r="AB295" i="13"/>
  <c r="M295" i="13"/>
  <c r="AC296" i="13"/>
  <c r="N296" i="13"/>
  <c r="AT296" i="13"/>
  <c r="L299" i="13"/>
  <c r="AA299" i="13"/>
  <c r="Z300" i="13"/>
  <c r="K300" i="13"/>
  <c r="R306" i="13"/>
  <c r="BD148" i="13"/>
  <c r="BD306" i="13" s="1"/>
  <c r="AD258" i="13"/>
  <c r="O258" i="13"/>
  <c r="AD260" i="13"/>
  <c r="O260" i="13"/>
  <c r="AC261" i="13"/>
  <c r="N261" i="13"/>
  <c r="N263" i="13"/>
  <c r="AC263" i="13"/>
  <c r="N265" i="13"/>
  <c r="AC265" i="13"/>
  <c r="AC267" i="13"/>
  <c r="N267" i="13"/>
  <c r="N268" i="13"/>
  <c r="AC268" i="13"/>
  <c r="AC270" i="13"/>
  <c r="N270" i="13"/>
  <c r="N272" i="13"/>
  <c r="AC272" i="13"/>
  <c r="AC274" i="13"/>
  <c r="N274" i="13"/>
  <c r="AC276" i="13"/>
  <c r="N276" i="13"/>
  <c r="N277" i="13"/>
  <c r="AC277" i="13"/>
  <c r="AC279" i="13"/>
  <c r="N279" i="13"/>
  <c r="AC281" i="13"/>
  <c r="N281" i="13"/>
  <c r="AC283" i="13"/>
  <c r="N283" i="13"/>
  <c r="N284" i="13"/>
  <c r="AC284" i="13"/>
  <c r="AC286" i="13"/>
  <c r="N286" i="13"/>
  <c r="N129" i="13"/>
  <c r="AR129" i="13"/>
  <c r="AR287" i="13" s="1"/>
  <c r="AC289" i="13"/>
  <c r="N289" i="13"/>
  <c r="N291" i="13"/>
  <c r="AC291" i="13"/>
  <c r="AU295" i="13"/>
  <c r="AC297" i="13"/>
  <c r="N297" i="13"/>
  <c r="AT297" i="13"/>
  <c r="AS298" i="13"/>
  <c r="AA300" i="13"/>
  <c r="L300" i="13"/>
  <c r="K302" i="13"/>
  <c r="Z302" i="13"/>
  <c r="S305" i="13"/>
  <c r="K307" i="13"/>
  <c r="Z307" i="13"/>
  <c r="V244" i="13"/>
  <c r="P245" i="13"/>
  <c r="V246" i="13"/>
  <c r="P247" i="13"/>
  <c r="V248" i="13"/>
  <c r="P249" i="13"/>
  <c r="V250" i="13"/>
  <c r="V251" i="13"/>
  <c r="P252" i="13"/>
  <c r="V253" i="13"/>
  <c r="P254" i="13"/>
  <c r="V255" i="13"/>
  <c r="P256" i="13"/>
  <c r="V257" i="13"/>
  <c r="P258" i="13"/>
  <c r="V259" i="13"/>
  <c r="P260" i="13"/>
  <c r="AD261" i="13"/>
  <c r="O261" i="13"/>
  <c r="U262" i="13"/>
  <c r="O263" i="13"/>
  <c r="AD263" i="13"/>
  <c r="U264" i="13"/>
  <c r="AD265" i="13"/>
  <c r="O265" i="13"/>
  <c r="U266" i="13"/>
  <c r="O267" i="13"/>
  <c r="AD267" i="13"/>
  <c r="O268" i="13"/>
  <c r="AD268" i="13"/>
  <c r="U269" i="13"/>
  <c r="AD270" i="13"/>
  <c r="O270" i="13"/>
  <c r="U271" i="13"/>
  <c r="O272" i="13"/>
  <c r="AD272" i="13"/>
  <c r="U273" i="13"/>
  <c r="AD274" i="13"/>
  <c r="O274" i="13"/>
  <c r="U275" i="13"/>
  <c r="O276" i="13"/>
  <c r="AD276" i="13"/>
  <c r="O277" i="13"/>
  <c r="AD277" i="13"/>
  <c r="U278" i="13"/>
  <c r="O279" i="13"/>
  <c r="AD279" i="13"/>
  <c r="U280" i="13"/>
  <c r="AD281" i="13"/>
  <c r="O281" i="13"/>
  <c r="U282" i="13"/>
  <c r="O283" i="13"/>
  <c r="AD283" i="13"/>
  <c r="AD284" i="13"/>
  <c r="O284" i="13"/>
  <c r="U285" i="13"/>
  <c r="AD286" i="13"/>
  <c r="O286" i="13"/>
  <c r="O129" i="13"/>
  <c r="AS129" i="13"/>
  <c r="U288" i="13"/>
  <c r="O289" i="13"/>
  <c r="AD289" i="13"/>
  <c r="U290" i="13"/>
  <c r="AD291" i="13"/>
  <c r="O291" i="13"/>
  <c r="V292" i="13"/>
  <c r="Q294" i="13"/>
  <c r="AD295" i="13"/>
  <c r="O295" i="13"/>
  <c r="P296" i="13"/>
  <c r="AB298" i="13"/>
  <c r="M298" i="13"/>
  <c r="Y298" i="13"/>
  <c r="AC299" i="13"/>
  <c r="N299" i="13"/>
  <c r="AT299" i="13"/>
  <c r="AA302" i="13"/>
  <c r="L302" i="13"/>
  <c r="AU304" i="13"/>
  <c r="L307" i="13"/>
  <c r="AA307" i="13"/>
  <c r="Q240" i="13"/>
  <c r="Q241" i="13"/>
  <c r="K242" i="13"/>
  <c r="Z242" i="13"/>
  <c r="W242" i="13"/>
  <c r="Q243" i="13"/>
  <c r="K244" i="13"/>
  <c r="Z244" i="13"/>
  <c r="W244" i="13"/>
  <c r="Q245" i="13"/>
  <c r="Z246" i="13"/>
  <c r="K246" i="13"/>
  <c r="W246" i="13"/>
  <c r="Q247" i="13"/>
  <c r="K248" i="13"/>
  <c r="Z248" i="13"/>
  <c r="W248" i="13"/>
  <c r="BB90" i="13"/>
  <c r="BB248" i="13" s="1"/>
  <c r="Q249" i="13"/>
  <c r="K250" i="13"/>
  <c r="Z250" i="13"/>
  <c r="W250" i="13"/>
  <c r="BB92" i="13"/>
  <c r="BB250" i="13" s="1"/>
  <c r="Z251" i="13"/>
  <c r="K251" i="13"/>
  <c r="W251" i="13"/>
  <c r="BB93" i="13"/>
  <c r="BB251" i="13" s="1"/>
  <c r="Q252" i="13"/>
  <c r="Z253" i="13"/>
  <c r="K253" i="13"/>
  <c r="W253" i="13"/>
  <c r="BB95" i="13"/>
  <c r="BB253" i="13" s="1"/>
  <c r="Q254" i="13"/>
  <c r="K255" i="13"/>
  <c r="Z255" i="13"/>
  <c r="W255" i="13"/>
  <c r="BB97" i="13"/>
  <c r="BB255" i="13" s="1"/>
  <c r="Q256" i="13"/>
  <c r="Z257" i="13"/>
  <c r="K257" i="13"/>
  <c r="W257" i="13"/>
  <c r="BB99" i="13"/>
  <c r="BB257" i="13" s="1"/>
  <c r="Q258" i="13"/>
  <c r="Z259" i="13"/>
  <c r="K259" i="13"/>
  <c r="W259" i="13"/>
  <c r="BB101" i="13"/>
  <c r="BB259" i="13" s="1"/>
  <c r="Q260" i="13"/>
  <c r="P261" i="13"/>
  <c r="V262" i="13"/>
  <c r="P263" i="13"/>
  <c r="V264" i="13"/>
  <c r="P265" i="13"/>
  <c r="V266" i="13"/>
  <c r="P267" i="13"/>
  <c r="P268" i="13"/>
  <c r="V269" i="13"/>
  <c r="P270" i="13"/>
  <c r="V271" i="13"/>
  <c r="P272" i="13"/>
  <c r="V273" i="13"/>
  <c r="P274" i="13"/>
  <c r="V275" i="13"/>
  <c r="P276" i="13"/>
  <c r="P277" i="13"/>
  <c r="V278" i="13"/>
  <c r="P279" i="13"/>
  <c r="V280" i="13"/>
  <c r="P281" i="13"/>
  <c r="V282" i="13"/>
  <c r="P283" i="13"/>
  <c r="P284" i="13"/>
  <c r="V285" i="13"/>
  <c r="P286" i="13"/>
  <c r="P129" i="13"/>
  <c r="AT129" i="13"/>
  <c r="V288" i="13"/>
  <c r="P289" i="13"/>
  <c r="V290" i="13"/>
  <c r="P291" i="13"/>
  <c r="Z292" i="13"/>
  <c r="K292" i="13"/>
  <c r="W292" i="13"/>
  <c r="T293" i="13"/>
  <c r="AZ293" i="13"/>
  <c r="BC135" i="13"/>
  <c r="BC293" i="13" s="1"/>
  <c r="P297" i="13"/>
  <c r="AU298" i="13"/>
  <c r="AC300" i="13"/>
  <c r="N300" i="13"/>
  <c r="AT300" i="13"/>
  <c r="AS301" i="13"/>
  <c r="AT302" i="13"/>
  <c r="AB304" i="13"/>
  <c r="M304" i="13"/>
  <c r="Y304" i="13"/>
  <c r="BC147" i="13"/>
  <c r="BC305" i="13" s="1"/>
  <c r="AT307" i="13"/>
  <c r="R233" i="13"/>
  <c r="AA234" i="13"/>
  <c r="L234" i="13"/>
  <c r="X234" i="13"/>
  <c r="R235" i="13"/>
  <c r="AA236" i="13"/>
  <c r="L236" i="13"/>
  <c r="X236" i="13"/>
  <c r="R237" i="13"/>
  <c r="R238" i="13"/>
  <c r="AA239" i="13"/>
  <c r="L239" i="13"/>
  <c r="X239" i="13"/>
  <c r="R240" i="13"/>
  <c r="R241" i="13"/>
  <c r="AA242" i="13"/>
  <c r="L242" i="13"/>
  <c r="X242" i="13"/>
  <c r="R243" i="13"/>
  <c r="AA244" i="13"/>
  <c r="L244" i="13"/>
  <c r="X244" i="13"/>
  <c r="R245" i="13"/>
  <c r="AA246" i="13"/>
  <c r="L246" i="13"/>
  <c r="X246" i="13"/>
  <c r="R247" i="13"/>
  <c r="AA248" i="13"/>
  <c r="L248" i="13"/>
  <c r="X248" i="13"/>
  <c r="BC90" i="13"/>
  <c r="BC248" i="13" s="1"/>
  <c r="R249" i="13"/>
  <c r="L250" i="13"/>
  <c r="AA250" i="13"/>
  <c r="X250" i="13"/>
  <c r="BC92" i="13"/>
  <c r="BC250" i="13" s="1"/>
  <c r="AA251" i="13"/>
  <c r="L251" i="13"/>
  <c r="X251" i="13"/>
  <c r="BC93" i="13"/>
  <c r="BC251" i="13" s="1"/>
  <c r="R252" i="13"/>
  <c r="AA253" i="13"/>
  <c r="L253" i="13"/>
  <c r="X253" i="13"/>
  <c r="BC95" i="13"/>
  <c r="BC253" i="13" s="1"/>
  <c r="R254" i="13"/>
  <c r="AA255" i="13"/>
  <c r="L255" i="13"/>
  <c r="X255" i="13"/>
  <c r="BC97" i="13"/>
  <c r="BC255" i="13" s="1"/>
  <c r="R256" i="13"/>
  <c r="L257" i="13"/>
  <c r="AA257" i="13"/>
  <c r="X257" i="13"/>
  <c r="BC99" i="13"/>
  <c r="BC257" i="13" s="1"/>
  <c r="R258" i="13"/>
  <c r="AA259" i="13"/>
  <c r="L259" i="13"/>
  <c r="X259" i="13"/>
  <c r="BC101" i="13"/>
  <c r="BC259" i="13" s="1"/>
  <c r="R260" i="13"/>
  <c r="Q261" i="13"/>
  <c r="Z262" i="13"/>
  <c r="K262" i="13"/>
  <c r="W262" i="13"/>
  <c r="BB104" i="13"/>
  <c r="BB262" i="13" s="1"/>
  <c r="Q263" i="13"/>
  <c r="K264" i="13"/>
  <c r="Z264" i="13"/>
  <c r="W264" i="13"/>
  <c r="BB106" i="13"/>
  <c r="BB264" i="13" s="1"/>
  <c r="Q265" i="13"/>
  <c r="K266" i="13"/>
  <c r="Z266" i="13"/>
  <c r="W266" i="13"/>
  <c r="BB108" i="13"/>
  <c r="BB266" i="13" s="1"/>
  <c r="Q267" i="13"/>
  <c r="Q268" i="13"/>
  <c r="K269" i="13"/>
  <c r="Z269" i="13"/>
  <c r="W269" i="13"/>
  <c r="BB111" i="13"/>
  <c r="BB269" i="13" s="1"/>
  <c r="Q270" i="13"/>
  <c r="K271" i="13"/>
  <c r="Z271" i="13"/>
  <c r="W271" i="13"/>
  <c r="BB113" i="13"/>
  <c r="BB271" i="13" s="1"/>
  <c r="Q272" i="13"/>
  <c r="K273" i="13"/>
  <c r="Z273" i="13"/>
  <c r="W273" i="13"/>
  <c r="BB115" i="13"/>
  <c r="BB273" i="13" s="1"/>
  <c r="Q274" i="13"/>
  <c r="K275" i="13"/>
  <c r="Z275" i="13"/>
  <c r="W275" i="13"/>
  <c r="BB117" i="13"/>
  <c r="BB275" i="13" s="1"/>
  <c r="Q276" i="13"/>
  <c r="Q277" i="13"/>
  <c r="Z278" i="13"/>
  <c r="K278" i="13"/>
  <c r="W278" i="13"/>
  <c r="BB120" i="13"/>
  <c r="BB278" i="13" s="1"/>
  <c r="Q279" i="13"/>
  <c r="K280" i="13"/>
  <c r="Z280" i="13"/>
  <c r="W280" i="13"/>
  <c r="BB122" i="13"/>
  <c r="BB280" i="13" s="1"/>
  <c r="Q281" i="13"/>
  <c r="Z282" i="13"/>
  <c r="K282" i="13"/>
  <c r="W282" i="13"/>
  <c r="BB124" i="13"/>
  <c r="BB282" i="13" s="1"/>
  <c r="Q283" i="13"/>
  <c r="Q284" i="13"/>
  <c r="K285" i="13"/>
  <c r="Z285" i="13"/>
  <c r="W285" i="13"/>
  <c r="BB127" i="13"/>
  <c r="BB285" i="13" s="1"/>
  <c r="Q286" i="13"/>
  <c r="Q129" i="13"/>
  <c r="AU129" i="13"/>
  <c r="K288" i="13"/>
  <c r="Z288" i="13"/>
  <c r="W288" i="13"/>
  <c r="BB130" i="13"/>
  <c r="BB288" i="13" s="1"/>
  <c r="Q289" i="13"/>
  <c r="K290" i="13"/>
  <c r="Z290" i="13"/>
  <c r="W290" i="13"/>
  <c r="BB132" i="13"/>
  <c r="BB290" i="13" s="1"/>
  <c r="Q291" i="13"/>
  <c r="AU291" i="13"/>
  <c r="L292" i="13"/>
  <c r="AA292" i="13"/>
  <c r="X292" i="13"/>
  <c r="BE135" i="13"/>
  <c r="BE293" i="13" s="1"/>
  <c r="S294" i="13"/>
  <c r="O298" i="13"/>
  <c r="AD298" i="13"/>
  <c r="P299" i="13"/>
  <c r="M301" i="13"/>
  <c r="AB301" i="13"/>
  <c r="Y301" i="13"/>
  <c r="AC302" i="13"/>
  <c r="N302" i="13"/>
  <c r="AB303" i="13"/>
  <c r="M303" i="13"/>
  <c r="Y303" i="13"/>
  <c r="M244" i="13"/>
  <c r="AB244" i="13"/>
  <c r="Y244" i="13"/>
  <c r="S245" i="13"/>
  <c r="M246" i="13"/>
  <c r="AB246" i="13"/>
  <c r="Y246" i="13"/>
  <c r="S247" i="13"/>
  <c r="AB248" i="13"/>
  <c r="M248" i="13"/>
  <c r="Y248" i="13"/>
  <c r="S249" i="13"/>
  <c r="AB250" i="13"/>
  <c r="M250" i="13"/>
  <c r="Y250" i="13"/>
  <c r="M251" i="13"/>
  <c r="AB251" i="13"/>
  <c r="Y251" i="13"/>
  <c r="S252" i="13"/>
  <c r="AB253" i="13"/>
  <c r="M253" i="13"/>
  <c r="Y253" i="13"/>
  <c r="S254" i="13"/>
  <c r="AB255" i="13"/>
  <c r="M255" i="13"/>
  <c r="Y255" i="13"/>
  <c r="S256" i="13"/>
  <c r="M257" i="13"/>
  <c r="AB257" i="13"/>
  <c r="Y257" i="13"/>
  <c r="S258" i="13"/>
  <c r="AB259" i="13"/>
  <c r="M259" i="13"/>
  <c r="Y259" i="13"/>
  <c r="S260" i="13"/>
  <c r="BC102" i="13"/>
  <c r="BC260" i="13" s="1"/>
  <c r="R261" i="13"/>
  <c r="L262" i="13"/>
  <c r="AA262" i="13"/>
  <c r="X262" i="13"/>
  <c r="BC104" i="13"/>
  <c r="BC262" i="13" s="1"/>
  <c r="R263" i="13"/>
  <c r="L264" i="13"/>
  <c r="AA264" i="13"/>
  <c r="X264" i="13"/>
  <c r="BC106" i="13"/>
  <c r="BC264" i="13" s="1"/>
  <c r="R265" i="13"/>
  <c r="AA266" i="13"/>
  <c r="L266" i="13"/>
  <c r="X266" i="13"/>
  <c r="BC108" i="13"/>
  <c r="BC266" i="13" s="1"/>
  <c r="R267" i="13"/>
  <c r="R268" i="13"/>
  <c r="AA269" i="13"/>
  <c r="L269" i="13"/>
  <c r="X269" i="13"/>
  <c r="BC111" i="13"/>
  <c r="BC269" i="13" s="1"/>
  <c r="R270" i="13"/>
  <c r="AA271" i="13"/>
  <c r="L271" i="13"/>
  <c r="X271" i="13"/>
  <c r="BC113" i="13"/>
  <c r="BC271" i="13" s="1"/>
  <c r="R272" i="13"/>
  <c r="AA273" i="13"/>
  <c r="L273" i="13"/>
  <c r="X273" i="13"/>
  <c r="BC115" i="13"/>
  <c r="BC273" i="13" s="1"/>
  <c r="R274" i="13"/>
  <c r="AA275" i="13"/>
  <c r="L275" i="13"/>
  <c r="X275" i="13"/>
  <c r="BC117" i="13"/>
  <c r="BC275" i="13" s="1"/>
  <c r="R276" i="13"/>
  <c r="R277" i="13"/>
  <c r="L278" i="13"/>
  <c r="AA278" i="13"/>
  <c r="X278" i="13"/>
  <c r="BC120" i="13"/>
  <c r="BC278" i="13" s="1"/>
  <c r="R279" i="13"/>
  <c r="AA280" i="13"/>
  <c r="L280" i="13"/>
  <c r="X280" i="13"/>
  <c r="BC122" i="13"/>
  <c r="BC280" i="13" s="1"/>
  <c r="R281" i="13"/>
  <c r="L282" i="13"/>
  <c r="AA282" i="13"/>
  <c r="X282" i="13"/>
  <c r="BC124" i="13"/>
  <c r="BC282" i="13" s="1"/>
  <c r="R283" i="13"/>
  <c r="R284" i="13"/>
  <c r="AA285" i="13"/>
  <c r="L285" i="13"/>
  <c r="X285" i="13"/>
  <c r="BC127" i="13"/>
  <c r="BC285" i="13" s="1"/>
  <c r="R286" i="13"/>
  <c r="R129" i="13"/>
  <c r="L288" i="13"/>
  <c r="AA288" i="13"/>
  <c r="X288" i="13"/>
  <c r="BC130" i="13"/>
  <c r="BC288" i="13" s="1"/>
  <c r="R289" i="13"/>
  <c r="AA290" i="13"/>
  <c r="L290" i="13"/>
  <c r="X290" i="13"/>
  <c r="BC132" i="13"/>
  <c r="BC290" i="13" s="1"/>
  <c r="R291" i="13"/>
  <c r="V293" i="13"/>
  <c r="R295" i="13"/>
  <c r="S296" i="13"/>
  <c r="P300" i="13"/>
  <c r="AU301" i="13"/>
  <c r="AU303" i="13"/>
  <c r="Z305" i="13"/>
  <c r="K305" i="13"/>
  <c r="W305" i="13"/>
  <c r="T233" i="13"/>
  <c r="AC234" i="13"/>
  <c r="T235" i="13"/>
  <c r="N236" i="13"/>
  <c r="AC236" i="13"/>
  <c r="T237" i="13"/>
  <c r="T238" i="13"/>
  <c r="AC239" i="13"/>
  <c r="N239" i="13"/>
  <c r="T240" i="13"/>
  <c r="T241" i="13"/>
  <c r="AC242" i="13"/>
  <c r="N242" i="13"/>
  <c r="T243" i="13"/>
  <c r="AC244" i="13"/>
  <c r="N244" i="13"/>
  <c r="T245" i="13"/>
  <c r="AC246" i="13"/>
  <c r="N246" i="13"/>
  <c r="T247" i="13"/>
  <c r="AC248" i="13"/>
  <c r="N248" i="13"/>
  <c r="T249" i="13"/>
  <c r="AC250" i="13"/>
  <c r="N250" i="13"/>
  <c r="N251" i="13"/>
  <c r="AC251" i="13"/>
  <c r="T252" i="13"/>
  <c r="AC253" i="13"/>
  <c r="N253" i="13"/>
  <c r="T254" i="13"/>
  <c r="AC255" i="13"/>
  <c r="N255" i="13"/>
  <c r="T256" i="13"/>
  <c r="AC257" i="13"/>
  <c r="N257" i="13"/>
  <c r="T258" i="13"/>
  <c r="AC259" i="13"/>
  <c r="N259" i="13"/>
  <c r="T260" i="13"/>
  <c r="BD102" i="13"/>
  <c r="S261" i="13"/>
  <c r="AB262" i="13"/>
  <c r="M262" i="13"/>
  <c r="Y262" i="13"/>
  <c r="BD104" i="13"/>
  <c r="BD262" i="13" s="1"/>
  <c r="S263" i="13"/>
  <c r="AB264" i="13"/>
  <c r="M264" i="13"/>
  <c r="Y264" i="13"/>
  <c r="BD106" i="13"/>
  <c r="BD264" i="13" s="1"/>
  <c r="S265" i="13"/>
  <c r="AB266" i="13"/>
  <c r="M266" i="13"/>
  <c r="Y266" i="13"/>
  <c r="BD108" i="13"/>
  <c r="BD266" i="13" s="1"/>
  <c r="S267" i="13"/>
  <c r="S268" i="13"/>
  <c r="M269" i="13"/>
  <c r="AB269" i="13"/>
  <c r="Y269" i="13"/>
  <c r="BD111" i="13"/>
  <c r="BD269" i="13" s="1"/>
  <c r="S270" i="13"/>
  <c r="M271" i="13"/>
  <c r="AB271" i="13"/>
  <c r="Y271" i="13"/>
  <c r="BD113" i="13"/>
  <c r="BD271" i="13" s="1"/>
  <c r="S272" i="13"/>
  <c r="AB273" i="13"/>
  <c r="M273" i="13"/>
  <c r="Y273" i="13"/>
  <c r="BD115" i="13"/>
  <c r="BD273" i="13" s="1"/>
  <c r="S274" i="13"/>
  <c r="AB275" i="13"/>
  <c r="M275" i="13"/>
  <c r="Y275" i="13"/>
  <c r="BD117" i="13"/>
  <c r="BD275" i="13" s="1"/>
  <c r="S276" i="13"/>
  <c r="S277" i="13"/>
  <c r="M278" i="13"/>
  <c r="AB278" i="13"/>
  <c r="Y278" i="13"/>
  <c r="BD120" i="13"/>
  <c r="BD278" i="13" s="1"/>
  <c r="S279" i="13"/>
  <c r="AB280" i="13"/>
  <c r="M280" i="13"/>
  <c r="Y280" i="13"/>
  <c r="BD122" i="13"/>
  <c r="BD280" i="13" s="1"/>
  <c r="S281" i="13"/>
  <c r="AB282" i="13"/>
  <c r="M282" i="13"/>
  <c r="Y282" i="13"/>
  <c r="BD124" i="13"/>
  <c r="BD282" i="13" s="1"/>
  <c r="S283" i="13"/>
  <c r="S284" i="13"/>
  <c r="AB285" i="13"/>
  <c r="M285" i="13"/>
  <c r="Y285" i="13"/>
  <c r="BD127" i="13"/>
  <c r="BD285" i="13" s="1"/>
  <c r="S286" i="13"/>
  <c r="S129" i="13"/>
  <c r="M288" i="13"/>
  <c r="AB288" i="13"/>
  <c r="Y288" i="13"/>
  <c r="BD130" i="13"/>
  <c r="BD288" i="13" s="1"/>
  <c r="S289" i="13"/>
  <c r="AB290" i="13"/>
  <c r="M290" i="13"/>
  <c r="Y290" i="13"/>
  <c r="BD132" i="13"/>
  <c r="BD290" i="13" s="1"/>
  <c r="S291" i="13"/>
  <c r="AC292" i="13"/>
  <c r="N292" i="13"/>
  <c r="K293" i="13"/>
  <c r="Z293" i="13"/>
  <c r="BD135" i="13"/>
  <c r="BD293" i="13" s="1"/>
  <c r="U294" i="13"/>
  <c r="S297" i="13"/>
  <c r="O301" i="13"/>
  <c r="AD301" i="13"/>
  <c r="P302" i="13"/>
  <c r="L305" i="13"/>
  <c r="AA305" i="13"/>
  <c r="AU306" i="13"/>
  <c r="P307" i="13"/>
  <c r="N262" i="13"/>
  <c r="AC262" i="13"/>
  <c r="AC264" i="13"/>
  <c r="N264" i="13"/>
  <c r="AC266" i="13"/>
  <c r="N266" i="13"/>
  <c r="N269" i="13"/>
  <c r="AC269" i="13"/>
  <c r="AC271" i="13"/>
  <c r="N271" i="13"/>
  <c r="N273" i="13"/>
  <c r="AC273" i="13"/>
  <c r="AC275" i="13"/>
  <c r="N275" i="13"/>
  <c r="AC278" i="13"/>
  <c r="N278" i="13"/>
  <c r="AC280" i="13"/>
  <c r="N280" i="13"/>
  <c r="N282" i="13"/>
  <c r="AC282" i="13"/>
  <c r="N285" i="13"/>
  <c r="AC285" i="13"/>
  <c r="T129" i="13"/>
  <c r="N288" i="13"/>
  <c r="AC288" i="13"/>
  <c r="AC290" i="13"/>
  <c r="N290" i="13"/>
  <c r="O292" i="13"/>
  <c r="AD292" i="13"/>
  <c r="AU292" i="13"/>
  <c r="AA293" i="13"/>
  <c r="L293" i="13"/>
  <c r="T295" i="13"/>
  <c r="BB137" i="13"/>
  <c r="BB295" i="13" s="1"/>
  <c r="R298" i="13"/>
  <c r="S299" i="13"/>
  <c r="AT305" i="13"/>
  <c r="AB306" i="13"/>
  <c r="M306" i="13"/>
  <c r="P293" i="13"/>
  <c r="V294" i="13"/>
  <c r="P295" i="13"/>
  <c r="V296" i="13"/>
  <c r="V297" i="13"/>
  <c r="P298" i="13"/>
  <c r="V299" i="13"/>
  <c r="V300" i="13"/>
  <c r="P301" i="13"/>
  <c r="V302" i="13"/>
  <c r="P303" i="13"/>
  <c r="P304" i="13"/>
  <c r="V305" i="13"/>
  <c r="P306" i="13"/>
  <c r="AB292" i="13"/>
  <c r="M292" i="13"/>
  <c r="Y292" i="13"/>
  <c r="M294" i="13"/>
  <c r="AB294" i="13"/>
  <c r="Y294" i="13"/>
  <c r="BD136" i="13"/>
  <c r="AB296" i="13"/>
  <c r="M296" i="13"/>
  <c r="Y296" i="13"/>
  <c r="BD138" i="13"/>
  <c r="BD296" i="13" s="1"/>
  <c r="AB297" i="13"/>
  <c r="M297" i="13"/>
  <c r="M299" i="13"/>
  <c r="AB299" i="13"/>
  <c r="AB300" i="13"/>
  <c r="M300" i="13"/>
  <c r="AB302" i="13"/>
  <c r="M302" i="13"/>
  <c r="S303" i="13"/>
  <c r="AB305" i="13"/>
  <c r="M305" i="13"/>
  <c r="S306" i="13"/>
  <c r="M307" i="13"/>
  <c r="AB307" i="13"/>
  <c r="AC305" i="13"/>
  <c r="N305" i="13"/>
  <c r="AC307" i="13"/>
  <c r="N307" i="13"/>
  <c r="O296" i="13"/>
  <c r="AD296" i="13"/>
  <c r="O297" i="13"/>
  <c r="AD297" i="13"/>
  <c r="AD299" i="13"/>
  <c r="O299" i="13"/>
  <c r="O300" i="13"/>
  <c r="AD300" i="13"/>
  <c r="AD302" i="13"/>
  <c r="O302" i="13"/>
  <c r="O305" i="13"/>
  <c r="AD305" i="13"/>
  <c r="O307" i="13"/>
  <c r="AD307" i="13"/>
  <c r="K295" i="13"/>
  <c r="Z295" i="13"/>
  <c r="Q296" i="13"/>
  <c r="Q297" i="13"/>
  <c r="Z298" i="13"/>
  <c r="K298" i="13"/>
  <c r="Q299" i="13"/>
  <c r="Q300" i="13"/>
  <c r="K301" i="13"/>
  <c r="Z301" i="13"/>
  <c r="Q302" i="13"/>
  <c r="Z303" i="13"/>
  <c r="K303" i="13"/>
  <c r="K304" i="13"/>
  <c r="Z304" i="13"/>
  <c r="BB146" i="13"/>
  <c r="BB304" i="13" s="1"/>
  <c r="Q305" i="13"/>
  <c r="K306" i="13"/>
  <c r="Z306" i="13"/>
  <c r="BB148" i="13"/>
  <c r="BB306" i="13" s="1"/>
  <c r="Q307" i="13"/>
  <c r="AA295" i="13"/>
  <c r="L295" i="13"/>
  <c r="X295" i="13"/>
  <c r="BC137" i="13"/>
  <c r="R297" i="13"/>
  <c r="AA298" i="13"/>
  <c r="L298" i="13"/>
  <c r="X298" i="13"/>
  <c r="BC140" i="13"/>
  <c r="R299" i="13"/>
  <c r="R300" i="13"/>
  <c r="L301" i="13"/>
  <c r="AA301" i="13"/>
  <c r="X301" i="13"/>
  <c r="BC143" i="13"/>
  <c r="R302" i="13"/>
  <c r="AA303" i="13"/>
  <c r="L303" i="13"/>
  <c r="X303" i="13"/>
  <c r="BC145" i="13"/>
  <c r="AA304" i="13"/>
  <c r="L304" i="13"/>
  <c r="X304" i="13"/>
  <c r="BC146" i="13"/>
  <c r="BC304" i="13" s="1"/>
  <c r="R305" i="13"/>
  <c r="AA306" i="13"/>
  <c r="L306" i="13"/>
  <c r="X306" i="13"/>
  <c r="BC148" i="13"/>
  <c r="BC306" i="13" s="1"/>
  <c r="R307" i="13"/>
  <c r="T292" i="13"/>
  <c r="AC293" i="13"/>
  <c r="N293" i="13"/>
  <c r="T294" i="13"/>
  <c r="AC295" i="13"/>
  <c r="N295" i="13"/>
  <c r="T296" i="13"/>
  <c r="T297" i="13"/>
  <c r="AC298" i="13"/>
  <c r="N298" i="13"/>
  <c r="T299" i="13"/>
  <c r="T300" i="13"/>
  <c r="AC301" i="13"/>
  <c r="N301" i="13"/>
  <c r="T302" i="13"/>
  <c r="AC303" i="13"/>
  <c r="N303" i="13"/>
  <c r="AC304" i="13"/>
  <c r="N304" i="13"/>
  <c r="T305" i="13"/>
  <c r="AC306" i="13"/>
  <c r="N306" i="13"/>
  <c r="U302" i="13"/>
  <c r="O303" i="13"/>
  <c r="AD303" i="13"/>
  <c r="AD304" i="13"/>
  <c r="O304" i="13"/>
  <c r="U305" i="13"/>
  <c r="O306" i="13"/>
  <c r="AD306" i="13"/>
  <c r="U307" i="13"/>
  <c r="AE109" i="3"/>
  <c r="AJ110" i="3"/>
  <c r="BB110" i="3" s="1"/>
  <c r="AG110" i="3"/>
  <c r="AH109" i="3"/>
  <c r="AZ109" i="3" s="1"/>
  <c r="AY109" i="3"/>
  <c r="AF109" i="3"/>
  <c r="AX109" i="3"/>
  <c r="BA109" i="3" s="1"/>
  <c r="AJ109" i="3"/>
  <c r="BB109" i="3" s="1"/>
  <c r="AX110" i="3"/>
  <c r="BA110" i="3" s="1"/>
  <c r="AX117" i="3"/>
  <c r="BA117" i="3" s="1"/>
  <c r="AF110" i="3"/>
  <c r="AE110" i="3"/>
  <c r="AW110" i="3"/>
  <c r="AZ110" i="3" s="1"/>
  <c r="AG117" i="3"/>
  <c r="AI110" i="3"/>
  <c r="AF117" i="3"/>
  <c r="AH117" i="3"/>
  <c r="AI117" i="3"/>
  <c r="AW117" i="3"/>
  <c r="AY117" i="3"/>
  <c r="AJ117" i="3"/>
  <c r="BB117" i="3" s="1"/>
  <c r="AO278" i="13" l="1"/>
  <c r="AP278" i="13"/>
  <c r="AO241" i="13"/>
  <c r="AP241" i="13"/>
  <c r="BF15" i="13"/>
  <c r="BF175" i="13" s="1"/>
  <c r="BG45" i="13"/>
  <c r="BG205" i="13" s="1"/>
  <c r="BG137" i="13"/>
  <c r="BG295" i="13" s="1"/>
  <c r="BE116" i="13"/>
  <c r="BE274" i="13" s="1"/>
  <c r="BG43" i="13"/>
  <c r="BG203" i="13" s="1"/>
  <c r="BF32" i="13"/>
  <c r="BF192" i="13" s="1"/>
  <c r="BG94" i="13"/>
  <c r="BG252" i="13" s="1"/>
  <c r="BG56" i="13"/>
  <c r="BG214" i="13" s="1"/>
  <c r="AK169" i="13"/>
  <c r="AF259" i="13"/>
  <c r="AF232" i="13"/>
  <c r="BG41" i="13"/>
  <c r="BG201" i="13" s="1"/>
  <c r="BG66" i="13"/>
  <c r="BG224" i="13" s="1"/>
  <c r="BF138" i="13"/>
  <c r="BF296" i="13" s="1"/>
  <c r="BF43" i="13"/>
  <c r="BF203" i="13" s="1"/>
  <c r="AF265" i="13"/>
  <c r="AF289" i="13"/>
  <c r="BE21" i="13"/>
  <c r="BE181" i="13" s="1"/>
  <c r="BE33" i="13"/>
  <c r="BE193" i="13" s="1"/>
  <c r="BF141" i="13"/>
  <c r="BF299" i="13" s="1"/>
  <c r="AF279" i="13"/>
  <c r="BF96" i="13"/>
  <c r="BF254" i="13" s="1"/>
  <c r="BF16" i="13"/>
  <c r="BF176" i="13" s="1"/>
  <c r="BE91" i="13"/>
  <c r="BE249" i="13" s="1"/>
  <c r="BE98" i="13"/>
  <c r="BE256" i="13" s="1"/>
  <c r="BG144" i="13"/>
  <c r="BG302" i="13" s="1"/>
  <c r="AF244" i="13"/>
  <c r="AF286" i="13"/>
  <c r="AF251" i="13"/>
  <c r="BG6" i="13"/>
  <c r="BG166" i="13" s="1"/>
  <c r="AF283" i="13"/>
  <c r="AF219" i="13"/>
  <c r="BE103" i="13"/>
  <c r="BE261" i="13" s="1"/>
  <c r="BF139" i="13"/>
  <c r="BF297" i="13" s="1"/>
  <c r="AK203" i="13"/>
  <c r="AK191" i="13"/>
  <c r="BF62" i="13"/>
  <c r="BF220" i="13" s="1"/>
  <c r="AF305" i="13"/>
  <c r="BG75" i="13"/>
  <c r="BG233" i="13" s="1"/>
  <c r="AF285" i="13"/>
  <c r="AK201" i="13"/>
  <c r="BE141" i="13"/>
  <c r="BE299" i="13" s="1"/>
  <c r="BE89" i="13"/>
  <c r="BE247" i="13" s="1"/>
  <c r="AF210" i="13"/>
  <c r="BF38" i="13"/>
  <c r="BF198" i="13" s="1"/>
  <c r="BF20" i="13"/>
  <c r="BF180" i="13" s="1"/>
  <c r="BE37" i="13"/>
  <c r="BE197" i="13" s="1"/>
  <c r="AF298" i="13"/>
  <c r="AF288" i="13"/>
  <c r="BE76" i="13"/>
  <c r="BE234" i="13" s="1"/>
  <c r="BF63" i="13"/>
  <c r="BF221" i="13" s="1"/>
  <c r="AF299" i="13"/>
  <c r="BE107" i="13"/>
  <c r="BE265" i="13" s="1"/>
  <c r="BE83" i="13"/>
  <c r="BE241" i="13" s="1"/>
  <c r="AF220" i="13"/>
  <c r="AF231" i="13"/>
  <c r="AF274" i="13"/>
  <c r="AF281" i="13"/>
  <c r="AF282" i="13"/>
  <c r="BF30" i="13"/>
  <c r="BF190" i="13" s="1"/>
  <c r="BF4" i="13"/>
  <c r="BF164" i="13" s="1"/>
  <c r="AF268" i="13"/>
  <c r="AK199" i="13"/>
  <c r="AF223" i="13"/>
  <c r="AF284" i="13"/>
  <c r="BF83" i="13"/>
  <c r="BF241" i="13" s="1"/>
  <c r="AF214" i="13"/>
  <c r="AF237" i="13"/>
  <c r="AF292" i="13"/>
  <c r="BG149" i="13"/>
  <c r="BG307" i="13" s="1"/>
  <c r="BG27" i="13"/>
  <c r="BG187" i="13" s="1"/>
  <c r="AF228" i="13"/>
  <c r="BE25" i="13"/>
  <c r="BE185" i="13" s="1"/>
  <c r="BE118" i="13"/>
  <c r="BE276" i="13" s="1"/>
  <c r="AF290" i="13"/>
  <c r="AF212" i="13"/>
  <c r="AF242" i="13"/>
  <c r="AF241" i="13"/>
  <c r="BF24" i="13"/>
  <c r="BF184" i="13" s="1"/>
  <c r="BG33" i="13"/>
  <c r="BG193" i="13" s="1"/>
  <c r="BG84" i="13"/>
  <c r="BG242" i="13" s="1"/>
  <c r="BG70" i="13"/>
  <c r="BG228" i="13" s="1"/>
  <c r="BG77" i="13"/>
  <c r="BG235" i="13" s="1"/>
  <c r="BF6" i="13"/>
  <c r="BF166" i="13" s="1"/>
  <c r="BG54" i="13"/>
  <c r="BG212" i="13" s="1"/>
  <c r="AF302" i="13"/>
  <c r="AK164" i="13"/>
  <c r="AK183" i="13"/>
  <c r="BE145" i="13"/>
  <c r="BE303" i="13" s="1"/>
  <c r="AF263" i="13"/>
  <c r="AF272" i="13"/>
  <c r="BF8" i="13"/>
  <c r="BF168" i="13" s="1"/>
  <c r="BE94" i="13"/>
  <c r="BE252" i="13" s="1"/>
  <c r="BF28" i="13"/>
  <c r="BF188" i="13" s="1"/>
  <c r="AF233" i="13"/>
  <c r="AK167" i="13"/>
  <c r="BE45" i="13"/>
  <c r="BE205" i="13" s="1"/>
  <c r="AK179" i="13"/>
  <c r="BE136" i="13"/>
  <c r="BE294" i="13" s="1"/>
  <c r="AF267" i="13"/>
  <c r="AF225" i="13"/>
  <c r="BG25" i="13"/>
  <c r="BG185" i="13" s="1"/>
  <c r="BE96" i="13"/>
  <c r="BE254" i="13" s="1"/>
  <c r="AF250" i="13"/>
  <c r="BE17" i="13"/>
  <c r="BE177" i="13" s="1"/>
  <c r="BG68" i="13"/>
  <c r="BG226" i="13" s="1"/>
  <c r="AF253" i="13"/>
  <c r="BE74" i="13"/>
  <c r="BE232" i="13" s="1"/>
  <c r="AF277" i="13"/>
  <c r="BG61" i="13"/>
  <c r="BG219" i="13" s="1"/>
  <c r="BG39" i="13"/>
  <c r="BG199" i="13" s="1"/>
  <c r="BG4" i="13"/>
  <c r="BG164" i="13" s="1"/>
  <c r="BF33" i="13"/>
  <c r="BF193" i="13" s="1"/>
  <c r="AF307" i="13"/>
  <c r="AF254" i="13"/>
  <c r="BF56" i="13"/>
  <c r="BF214" i="13" s="1"/>
  <c r="BF12" i="13"/>
  <c r="BF172" i="13" s="1"/>
  <c r="AF291" i="13"/>
  <c r="BG110" i="13"/>
  <c r="BG268" i="13" s="1"/>
  <c r="AK175" i="13"/>
  <c r="BG72" i="13"/>
  <c r="BG230" i="13" s="1"/>
  <c r="BG141" i="13"/>
  <c r="BG299" i="13" s="1"/>
  <c r="AF247" i="13"/>
  <c r="BF23" i="13"/>
  <c r="BF183" i="13" s="1"/>
  <c r="AF260" i="13"/>
  <c r="BF149" i="13"/>
  <c r="BF307" i="13" s="1"/>
  <c r="BG17" i="13"/>
  <c r="BG177" i="13" s="1"/>
  <c r="AK171" i="13"/>
  <c r="BG64" i="13"/>
  <c r="BG222" i="13" s="1"/>
  <c r="BG97" i="13"/>
  <c r="BG255" i="13" s="1"/>
  <c r="BG96" i="13"/>
  <c r="BG254" i="13" s="1"/>
  <c r="BG23" i="13"/>
  <c r="BG183" i="13" s="1"/>
  <c r="BE112" i="13"/>
  <c r="BE270" i="13" s="1"/>
  <c r="AF217" i="13"/>
  <c r="Q287" i="13"/>
  <c r="BF18" i="13"/>
  <c r="BF178" i="13" s="1"/>
  <c r="BG100" i="13"/>
  <c r="BG258" i="13" s="1"/>
  <c r="BF77" i="13"/>
  <c r="BF235" i="13" s="1"/>
  <c r="AF234" i="13"/>
  <c r="AF215" i="13"/>
  <c r="AF239" i="13"/>
  <c r="AK185" i="13"/>
  <c r="BF35" i="13"/>
  <c r="BF195" i="13" s="1"/>
  <c r="AF270" i="13"/>
  <c r="BG140" i="13"/>
  <c r="BG298" i="13" s="1"/>
  <c r="BG62" i="13"/>
  <c r="BG220" i="13" s="1"/>
  <c r="BF78" i="13"/>
  <c r="BF236" i="13" s="1"/>
  <c r="AF221" i="13"/>
  <c r="BG80" i="13"/>
  <c r="BG238" i="13" s="1"/>
  <c r="AF248" i="13"/>
  <c r="AF297" i="13"/>
  <c r="BG93" i="13"/>
  <c r="BG251" i="13" s="1"/>
  <c r="BE149" i="13"/>
  <c r="BE307" i="13" s="1"/>
  <c r="AF273" i="13"/>
  <c r="BF87" i="13"/>
  <c r="BF245" i="13" s="1"/>
  <c r="BE56" i="13"/>
  <c r="BE214" i="13" s="1"/>
  <c r="BF71" i="13"/>
  <c r="BF229" i="13" s="1"/>
  <c r="BF85" i="13"/>
  <c r="BF243" i="13" s="1"/>
  <c r="BF134" i="13"/>
  <c r="BF292" i="13" s="1"/>
  <c r="BE26" i="13"/>
  <c r="BE186" i="13" s="1"/>
  <c r="AF300" i="13"/>
  <c r="BF136" i="13"/>
  <c r="BF294" i="13" s="1"/>
  <c r="BG19" i="13"/>
  <c r="BG179" i="13" s="1"/>
  <c r="BE41" i="13"/>
  <c r="BE201" i="13" s="1"/>
  <c r="BG52" i="13"/>
  <c r="BG210" i="13" s="1"/>
  <c r="AF258" i="13"/>
  <c r="BF29" i="13"/>
  <c r="BF189" i="13" s="1"/>
  <c r="BF64" i="13"/>
  <c r="BF222" i="13" s="1"/>
  <c r="BE134" i="13"/>
  <c r="BE292" i="13" s="1"/>
  <c r="BE27" i="13"/>
  <c r="BE187" i="13" s="1"/>
  <c r="BG142" i="13"/>
  <c r="BG300" i="13" s="1"/>
  <c r="BE133" i="13"/>
  <c r="BE291" i="13" s="1"/>
  <c r="BF40" i="13"/>
  <c r="BF200" i="13" s="1"/>
  <c r="BE126" i="13"/>
  <c r="BE284" i="13" s="1"/>
  <c r="BG89" i="13"/>
  <c r="BG247" i="13" s="1"/>
  <c r="AF222" i="13"/>
  <c r="BF80" i="13"/>
  <c r="BF238" i="13" s="1"/>
  <c r="BF57" i="13"/>
  <c r="BF215" i="13" s="1"/>
  <c r="BE147" i="13"/>
  <c r="BE305" i="13" s="1"/>
  <c r="AF235" i="13"/>
  <c r="BF91" i="13"/>
  <c r="BF249" i="13" s="1"/>
  <c r="BE113" i="13"/>
  <c r="BE271" i="13" s="1"/>
  <c r="AF226" i="13"/>
  <c r="BE36" i="13"/>
  <c r="BE196" i="13" s="1"/>
  <c r="AF246" i="13"/>
  <c r="BE29" i="13"/>
  <c r="BE189" i="13" s="1"/>
  <c r="BE13" i="13"/>
  <c r="BE173" i="13" s="1"/>
  <c r="BF42" i="13"/>
  <c r="BF202" i="13" s="1"/>
  <c r="BF41" i="13"/>
  <c r="BF201" i="13" s="1"/>
  <c r="AF236" i="13"/>
  <c r="AF218" i="13"/>
  <c r="BF142" i="13"/>
  <c r="BF300" i="13" s="1"/>
  <c r="AF278" i="13"/>
  <c r="BF37" i="13"/>
  <c r="BF197" i="13" s="1"/>
  <c r="BG13" i="13"/>
  <c r="BG173" i="13" s="1"/>
  <c r="BG139" i="13"/>
  <c r="BG297" i="13" s="1"/>
  <c r="BE8" i="13"/>
  <c r="BE168" i="13" s="1"/>
  <c r="AF229" i="13"/>
  <c r="BG85" i="13"/>
  <c r="BG243" i="13" s="1"/>
  <c r="AK187" i="13"/>
  <c r="AF276" i="13"/>
  <c r="BE115" i="13"/>
  <c r="BE273" i="13" s="1"/>
  <c r="BE100" i="13"/>
  <c r="BE258" i="13" s="1"/>
  <c r="BE54" i="13"/>
  <c r="BE212" i="13" s="1"/>
  <c r="BF13" i="13"/>
  <c r="BF173" i="13" s="1"/>
  <c r="BF45" i="13"/>
  <c r="BF205" i="13" s="1"/>
  <c r="AF294" i="13"/>
  <c r="BE52" i="13"/>
  <c r="BE210" i="13" s="1"/>
  <c r="BF59" i="13"/>
  <c r="BF217" i="13" s="1"/>
  <c r="BF25" i="13"/>
  <c r="BF185" i="13" s="1"/>
  <c r="BF70" i="13"/>
  <c r="BF228" i="13" s="1"/>
  <c r="BE18" i="13"/>
  <c r="BE178" i="13" s="1"/>
  <c r="BF51" i="13"/>
  <c r="BF209" i="13" s="1"/>
  <c r="BF135" i="13"/>
  <c r="BF293" i="13" s="1"/>
  <c r="BE104" i="13"/>
  <c r="BE262" i="13" s="1"/>
  <c r="AF224" i="13"/>
  <c r="BE64" i="13"/>
  <c r="BE222" i="13" s="1"/>
  <c r="AF213" i="13"/>
  <c r="BF54" i="13"/>
  <c r="BF212" i="13" s="1"/>
  <c r="BG74" i="13"/>
  <c r="BG232" i="13" s="1"/>
  <c r="BF66" i="13"/>
  <c r="BF224" i="13" s="1"/>
  <c r="BF72" i="13"/>
  <c r="BF230" i="13" s="1"/>
  <c r="BE114" i="13"/>
  <c r="BE272" i="13" s="1"/>
  <c r="BF73" i="13"/>
  <c r="BF231" i="13" s="1"/>
  <c r="BF58" i="13"/>
  <c r="BF216" i="13" s="1"/>
  <c r="BF55" i="13"/>
  <c r="BF213" i="13" s="1"/>
  <c r="BG29" i="13"/>
  <c r="BG189" i="13" s="1"/>
  <c r="BE142" i="13"/>
  <c r="BE300" i="13" s="1"/>
  <c r="BE119" i="13"/>
  <c r="BE277" i="13" s="1"/>
  <c r="BE14" i="13"/>
  <c r="BE174" i="13" s="1"/>
  <c r="BE4" i="13"/>
  <c r="BE164" i="13" s="1"/>
  <c r="AF227" i="13"/>
  <c r="AF296" i="13"/>
  <c r="BE81" i="13"/>
  <c r="BE239" i="13" s="1"/>
  <c r="BG35" i="13"/>
  <c r="BG195" i="13" s="1"/>
  <c r="BE23" i="13"/>
  <c r="BE183" i="13" s="1"/>
  <c r="BF146" i="13"/>
  <c r="BF304" i="13" s="1"/>
  <c r="AK177" i="13"/>
  <c r="BF31" i="13"/>
  <c r="BF191" i="13" s="1"/>
  <c r="BF52" i="13"/>
  <c r="BF210" i="13" s="1"/>
  <c r="BG147" i="13"/>
  <c r="BG305" i="13" s="1"/>
  <c r="BG146" i="13"/>
  <c r="BG304" i="13" s="1"/>
  <c r="BG87" i="13"/>
  <c r="BG245" i="13" s="1"/>
  <c r="BG21" i="13"/>
  <c r="BG181" i="13" s="1"/>
  <c r="BE87" i="13"/>
  <c r="BE245" i="13" s="1"/>
  <c r="BE78" i="13"/>
  <c r="BE236" i="13" s="1"/>
  <c r="BG134" i="13"/>
  <c r="BG292" i="13" s="1"/>
  <c r="BG82" i="13"/>
  <c r="BG240" i="13" s="1"/>
  <c r="BE61" i="13"/>
  <c r="BE219" i="13" s="1"/>
  <c r="BG95" i="13"/>
  <c r="BG253" i="13" s="1"/>
  <c r="BE125" i="13"/>
  <c r="BE283" i="13" s="1"/>
  <c r="BE105" i="13"/>
  <c r="BE263" i="13" s="1"/>
  <c r="BG79" i="13"/>
  <c r="BG237" i="13" s="1"/>
  <c r="BF44" i="13"/>
  <c r="BF204" i="13" s="1"/>
  <c r="BE3" i="13"/>
  <c r="BE163" i="13" s="1"/>
  <c r="BF132" i="13"/>
  <c r="BF290" i="13" s="1"/>
  <c r="BE122" i="13"/>
  <c r="BE280" i="13" s="1"/>
  <c r="BF65" i="13"/>
  <c r="BF223" i="13" s="1"/>
  <c r="BE44" i="13"/>
  <c r="BE204" i="13" s="1"/>
  <c r="BF14" i="13"/>
  <c r="BF174" i="13" s="1"/>
  <c r="BG78" i="13"/>
  <c r="BG236" i="13" s="1"/>
  <c r="BE123" i="13"/>
  <c r="BE281" i="13" s="1"/>
  <c r="BG51" i="13"/>
  <c r="BG209" i="13" s="1"/>
  <c r="BF100" i="13"/>
  <c r="BF258" i="13" s="1"/>
  <c r="BG119" i="13"/>
  <c r="BG277" i="13" s="1"/>
  <c r="BF82" i="13"/>
  <c r="BF240" i="13" s="1"/>
  <c r="BF89" i="13"/>
  <c r="BF247" i="13" s="1"/>
  <c r="BE75" i="13"/>
  <c r="BE233" i="13" s="1"/>
  <c r="AK195" i="13"/>
  <c r="AK189" i="13"/>
  <c r="AK173" i="13"/>
  <c r="BE12" i="13"/>
  <c r="BE172" i="13" s="1"/>
  <c r="BG37" i="13"/>
  <c r="BG197" i="13" s="1"/>
  <c r="BF53" i="13"/>
  <c r="BF211" i="13" s="1"/>
  <c r="BE16" i="13"/>
  <c r="BE176" i="13" s="1"/>
  <c r="BE59" i="13"/>
  <c r="BE217" i="13" s="1"/>
  <c r="BE53" i="13"/>
  <c r="BE211" i="13" s="1"/>
  <c r="BE137" i="13"/>
  <c r="BE295" i="13" s="1"/>
  <c r="BE124" i="13"/>
  <c r="BE282" i="13" s="1"/>
  <c r="BG118" i="13"/>
  <c r="BG276" i="13" s="1"/>
  <c r="BG145" i="13"/>
  <c r="BG303" i="13" s="1"/>
  <c r="BE65" i="13"/>
  <c r="BE223" i="13" s="1"/>
  <c r="BF86" i="13"/>
  <c r="BF244" i="13" s="1"/>
  <c r="AF252" i="13"/>
  <c r="BF122" i="13"/>
  <c r="BF280" i="13" s="1"/>
  <c r="BF111" i="13"/>
  <c r="BF269" i="13" s="1"/>
  <c r="BF108" i="13"/>
  <c r="BF266" i="13" s="1"/>
  <c r="BF104" i="13"/>
  <c r="BF262" i="13" s="1"/>
  <c r="BF147" i="13"/>
  <c r="BF305" i="13" s="1"/>
  <c r="AK181" i="13"/>
  <c r="BF68" i="13"/>
  <c r="BF226" i="13" s="1"/>
  <c r="AF280" i="13"/>
  <c r="BF36" i="13"/>
  <c r="BF196" i="13" s="1"/>
  <c r="AF262" i="13"/>
  <c r="BE30" i="13"/>
  <c r="BE190" i="13" s="1"/>
  <c r="BE24" i="13"/>
  <c r="BE184" i="13" s="1"/>
  <c r="BE72" i="13"/>
  <c r="BE230" i="13" s="1"/>
  <c r="BF17" i="13"/>
  <c r="BF177" i="13" s="1"/>
  <c r="BF22" i="13"/>
  <c r="BF182" i="13" s="1"/>
  <c r="AF238" i="13"/>
  <c r="BE109" i="13"/>
  <c r="BE267" i="13" s="1"/>
  <c r="BE42" i="13"/>
  <c r="BE202" i="13" s="1"/>
  <c r="BF19" i="13"/>
  <c r="BF179" i="13" s="1"/>
  <c r="BF61" i="13"/>
  <c r="BF219" i="13" s="1"/>
  <c r="AF216" i="13"/>
  <c r="BE127" i="13"/>
  <c r="BE285" i="13" s="1"/>
  <c r="BE120" i="13"/>
  <c r="BE278" i="13" s="1"/>
  <c r="BE143" i="13"/>
  <c r="BE301" i="13" s="1"/>
  <c r="BF127" i="13"/>
  <c r="BF285" i="13" s="1"/>
  <c r="BF124" i="13"/>
  <c r="BF282" i="13" s="1"/>
  <c r="BF120" i="13"/>
  <c r="BF278" i="13" s="1"/>
  <c r="BF117" i="13"/>
  <c r="BF275" i="13" s="1"/>
  <c r="BF115" i="13"/>
  <c r="BF273" i="13" s="1"/>
  <c r="BF113" i="13"/>
  <c r="BF271" i="13" s="1"/>
  <c r="BF106" i="13"/>
  <c r="BF264" i="13" s="1"/>
  <c r="BG105" i="13"/>
  <c r="BG263" i="13" s="1"/>
  <c r="AF266" i="13"/>
  <c r="BE70" i="13"/>
  <c r="BE228" i="13" s="1"/>
  <c r="BE15" i="13"/>
  <c r="BE175" i="13" s="1"/>
  <c r="BG7" i="13"/>
  <c r="BG167" i="13" s="1"/>
  <c r="BE9" i="13"/>
  <c r="BE169" i="13" s="1"/>
  <c r="BF39" i="13"/>
  <c r="BF199" i="13" s="1"/>
  <c r="BG128" i="13"/>
  <c r="BG286" i="13" s="1"/>
  <c r="BE117" i="13"/>
  <c r="BE275" i="13" s="1"/>
  <c r="BG109" i="13"/>
  <c r="BG267" i="13" s="1"/>
  <c r="BG133" i="13"/>
  <c r="BG291" i="13" s="1"/>
  <c r="AF269" i="13"/>
  <c r="BE93" i="13"/>
  <c r="BE251" i="13" s="1"/>
  <c r="BE84" i="13"/>
  <c r="BE242" i="13" s="1"/>
  <c r="BE69" i="13"/>
  <c r="BE227" i="13" s="1"/>
  <c r="BE57" i="13"/>
  <c r="BE215" i="13" s="1"/>
  <c r="BE66" i="13"/>
  <c r="BE224" i="13" s="1"/>
  <c r="BF88" i="13"/>
  <c r="BF246" i="13" s="1"/>
  <c r="BE31" i="13"/>
  <c r="BE191" i="13" s="1"/>
  <c r="BF81" i="13"/>
  <c r="BF239" i="13" s="1"/>
  <c r="BE138" i="13"/>
  <c r="BE296" i="13" s="1"/>
  <c r="AF256" i="13"/>
  <c r="BE139" i="13"/>
  <c r="BE297" i="13" s="1"/>
  <c r="AF249" i="13"/>
  <c r="AF245" i="13"/>
  <c r="BF110" i="13"/>
  <c r="BF268" i="13" s="1"/>
  <c r="BF60" i="13"/>
  <c r="BF218" i="13" s="1"/>
  <c r="BF84" i="13"/>
  <c r="BF242" i="13" s="1"/>
  <c r="BE131" i="13"/>
  <c r="BE289" i="13" s="1"/>
  <c r="BF98" i="13"/>
  <c r="BF256" i="13" s="1"/>
  <c r="BE121" i="13"/>
  <c r="BE279" i="13" s="1"/>
  <c r="BF130" i="13"/>
  <c r="BF288" i="13" s="1"/>
  <c r="BE132" i="13"/>
  <c r="BE290" i="13" s="1"/>
  <c r="BF105" i="13"/>
  <c r="BF263" i="13" s="1"/>
  <c r="BE99" i="13"/>
  <c r="BE257" i="13" s="1"/>
  <c r="BE92" i="13"/>
  <c r="BE250" i="13" s="1"/>
  <c r="BF116" i="13"/>
  <c r="BF274" i="13" s="1"/>
  <c r="BE73" i="13"/>
  <c r="BE231" i="13" s="1"/>
  <c r="BE67" i="13"/>
  <c r="BE225" i="13" s="1"/>
  <c r="BE60" i="13"/>
  <c r="BE218" i="13" s="1"/>
  <c r="BE55" i="13"/>
  <c r="BE213" i="13" s="1"/>
  <c r="BG126" i="13"/>
  <c r="BG284" i="13" s="1"/>
  <c r="BG112" i="13"/>
  <c r="BG270" i="13" s="1"/>
  <c r="BF5" i="13"/>
  <c r="BF165" i="13" s="1"/>
  <c r="AK166" i="13"/>
  <c r="BG131" i="13"/>
  <c r="BG289" i="13" s="1"/>
  <c r="BE106" i="13"/>
  <c r="BE264" i="13" s="1"/>
  <c r="BE140" i="13"/>
  <c r="BE298" i="13" s="1"/>
  <c r="BG98" i="13"/>
  <c r="BG256" i="13" s="1"/>
  <c r="BE46" i="13"/>
  <c r="BE206" i="13" s="1"/>
  <c r="BE40" i="13"/>
  <c r="BE200" i="13" s="1"/>
  <c r="BE34" i="13"/>
  <c r="BE194" i="13" s="1"/>
  <c r="BE22" i="13"/>
  <c r="BE182" i="13" s="1"/>
  <c r="BE39" i="13"/>
  <c r="BE199" i="13" s="1"/>
  <c r="AF257" i="13"/>
  <c r="BE6" i="13"/>
  <c r="BE166" i="13" s="1"/>
  <c r="AF240" i="13"/>
  <c r="AF261" i="13"/>
  <c r="BE111" i="13"/>
  <c r="BE269" i="13" s="1"/>
  <c r="BE97" i="13"/>
  <c r="BE255" i="13" s="1"/>
  <c r="BE90" i="13"/>
  <c r="BE248" i="13" s="1"/>
  <c r="BE77" i="13"/>
  <c r="BE235" i="13" s="1"/>
  <c r="BE79" i="13"/>
  <c r="BE237" i="13" s="1"/>
  <c r="AF243" i="13"/>
  <c r="BE130" i="13"/>
  <c r="BE288" i="13" s="1"/>
  <c r="BE7" i="13"/>
  <c r="BE167" i="13" s="1"/>
  <c r="BE5" i="13"/>
  <c r="BE165" i="13" s="1"/>
  <c r="BE10" i="13"/>
  <c r="BE170" i="13" s="1"/>
  <c r="AF211" i="13"/>
  <c r="BE110" i="13"/>
  <c r="BE268" i="13" s="1"/>
  <c r="AF295" i="13"/>
  <c r="BF92" i="13"/>
  <c r="BF250" i="13" s="1"/>
  <c r="BF128" i="13"/>
  <c r="BF286" i="13" s="1"/>
  <c r="BE95" i="13"/>
  <c r="BE253" i="13" s="1"/>
  <c r="BE88" i="13"/>
  <c r="BE246" i="13" s="1"/>
  <c r="BE71" i="13"/>
  <c r="BE229" i="13" s="1"/>
  <c r="BE63" i="13"/>
  <c r="BE221" i="13" s="1"/>
  <c r="BE58" i="13"/>
  <c r="BE216" i="13" s="1"/>
  <c r="BE38" i="13"/>
  <c r="BE198" i="13" s="1"/>
  <c r="BE32" i="13"/>
  <c r="BE192" i="13" s="1"/>
  <c r="BE20" i="13"/>
  <c r="BE180" i="13" s="1"/>
  <c r="BF3" i="13"/>
  <c r="BF163" i="13" s="1"/>
  <c r="BE102" i="13"/>
  <c r="BE260" i="13" s="1"/>
  <c r="BF69" i="13"/>
  <c r="BF227" i="13" s="1"/>
  <c r="BF7" i="13"/>
  <c r="BF167" i="13" s="1"/>
  <c r="BF27" i="13"/>
  <c r="BF187" i="13" s="1"/>
  <c r="BG123" i="13"/>
  <c r="BG281" i="13" s="1"/>
  <c r="BE101" i="13"/>
  <c r="BE259" i="13" s="1"/>
  <c r="BF67" i="13"/>
  <c r="BF225" i="13" s="1"/>
  <c r="BG91" i="13"/>
  <c r="BG249" i="13" s="1"/>
  <c r="BF79" i="13"/>
  <c r="BF237" i="13" s="1"/>
  <c r="BG31" i="13"/>
  <c r="BG191" i="13" s="1"/>
  <c r="BE144" i="13"/>
  <c r="BE302" i="13" s="1"/>
  <c r="AT287" i="13"/>
  <c r="BE146" i="13"/>
  <c r="BE304" i="13" s="1"/>
  <c r="BC298" i="13"/>
  <c r="BF140" i="13"/>
  <c r="BF298" i="13" s="1"/>
  <c r="P287" i="13"/>
  <c r="BF107" i="13"/>
  <c r="BF265" i="13" s="1"/>
  <c r="AF306" i="13"/>
  <c r="AB287" i="13"/>
  <c r="M287" i="13"/>
  <c r="BE128" i="13"/>
  <c r="BE286" i="13" s="1"/>
  <c r="BE80" i="13"/>
  <c r="BE238" i="13" s="1"/>
  <c r="BG90" i="13"/>
  <c r="BG248" i="13" s="1"/>
  <c r="BE85" i="13"/>
  <c r="BE243" i="13" s="1"/>
  <c r="AK178" i="13"/>
  <c r="BG18" i="13"/>
  <c r="BG178" i="13" s="1"/>
  <c r="BG88" i="13"/>
  <c r="BG246" i="13" s="1"/>
  <c r="AK188" i="13"/>
  <c r="BG28" i="13"/>
  <c r="BG188" i="13" s="1"/>
  <c r="AK170" i="13"/>
  <c r="BG10" i="13"/>
  <c r="BG170" i="13" s="1"/>
  <c r="BE19" i="13"/>
  <c r="BE179" i="13" s="1"/>
  <c r="BF75" i="13"/>
  <c r="BF233" i="13" s="1"/>
  <c r="AF301" i="13"/>
  <c r="BG73" i="13"/>
  <c r="BG231" i="13" s="1"/>
  <c r="BG63" i="13"/>
  <c r="BG221" i="13" s="1"/>
  <c r="BG55" i="13"/>
  <c r="BG213" i="13" s="1"/>
  <c r="AK206" i="13"/>
  <c r="BG46" i="13"/>
  <c r="BG206" i="13" s="1"/>
  <c r="AK192" i="13"/>
  <c r="BG32" i="13"/>
  <c r="BG192" i="13" s="1"/>
  <c r="BF144" i="13"/>
  <c r="BF302" i="13" s="1"/>
  <c r="AF264" i="13"/>
  <c r="BG135" i="13"/>
  <c r="BG293" i="13" s="1"/>
  <c r="BG99" i="13"/>
  <c r="BG257" i="13" s="1"/>
  <c r="BE68" i="13"/>
  <c r="BE226" i="13" s="1"/>
  <c r="BE62" i="13"/>
  <c r="BE220" i="13" s="1"/>
  <c r="BE51" i="13"/>
  <c r="BE209" i="13" s="1"/>
  <c r="BF21" i="13"/>
  <c r="BF181" i="13" s="1"/>
  <c r="BF94" i="13"/>
  <c r="BF252" i="13" s="1"/>
  <c r="AK205" i="13"/>
  <c r="AK165" i="13"/>
  <c r="BG132" i="13"/>
  <c r="BG290" i="13" s="1"/>
  <c r="BG65" i="13"/>
  <c r="BG223" i="13" s="1"/>
  <c r="BF148" i="13"/>
  <c r="BF306" i="13" s="1"/>
  <c r="BG148" i="13"/>
  <c r="BG306" i="13" s="1"/>
  <c r="BG127" i="13"/>
  <c r="BG285" i="13" s="1"/>
  <c r="BG124" i="13"/>
  <c r="BG282" i="13" s="1"/>
  <c r="BG120" i="13"/>
  <c r="BG278" i="13" s="1"/>
  <c r="BG117" i="13"/>
  <c r="BG275" i="13" s="1"/>
  <c r="BG115" i="13"/>
  <c r="BG273" i="13" s="1"/>
  <c r="BG113" i="13"/>
  <c r="BG271" i="13" s="1"/>
  <c r="BG106" i="13"/>
  <c r="BG264" i="13" s="1"/>
  <c r="BF99" i="13"/>
  <c r="BF257" i="13" s="1"/>
  <c r="BF95" i="13"/>
  <c r="BF253" i="13" s="1"/>
  <c r="BF114" i="13"/>
  <c r="BF272" i="13" s="1"/>
  <c r="AF304" i="13"/>
  <c r="BF46" i="13"/>
  <c r="BF206" i="13" s="1"/>
  <c r="BF125" i="13"/>
  <c r="BF283" i="13" s="1"/>
  <c r="AF303" i="13"/>
  <c r="BE35" i="13"/>
  <c r="BE195" i="13" s="1"/>
  <c r="BG15" i="13"/>
  <c r="BG175" i="13" s="1"/>
  <c r="AU287" i="13"/>
  <c r="BG143" i="13"/>
  <c r="BG301" i="13" s="1"/>
  <c r="AS287" i="13"/>
  <c r="BG138" i="13"/>
  <c r="BG296" i="13" s="1"/>
  <c r="BF126" i="13"/>
  <c r="BF284" i="13" s="1"/>
  <c r="AK184" i="13"/>
  <c r="BG24" i="13"/>
  <c r="BG184" i="13" s="1"/>
  <c r="AF255" i="13"/>
  <c r="BG76" i="13"/>
  <c r="BG234" i="13" s="1"/>
  <c r="BG69" i="13"/>
  <c r="BG227" i="13" s="1"/>
  <c r="BG59" i="13"/>
  <c r="BG217" i="13" s="1"/>
  <c r="BG5" i="13"/>
  <c r="BG165" i="13" s="1"/>
  <c r="BG121" i="13"/>
  <c r="BG279" i="13" s="1"/>
  <c r="BG114" i="13"/>
  <c r="BG272" i="13" s="1"/>
  <c r="BG103" i="13"/>
  <c r="BG261" i="13" s="1"/>
  <c r="AD287" i="13"/>
  <c r="O287" i="13"/>
  <c r="AC287" i="13"/>
  <c r="N287" i="13"/>
  <c r="BB240" i="13"/>
  <c r="BE82" i="13"/>
  <c r="BE240" i="13" s="1"/>
  <c r="BF26" i="13"/>
  <c r="BF186" i="13" s="1"/>
  <c r="BE108" i="13"/>
  <c r="BE266" i="13" s="1"/>
  <c r="BE28" i="13"/>
  <c r="BE188" i="13" s="1"/>
  <c r="AK194" i="13"/>
  <c r="BG34" i="13"/>
  <c r="BG194" i="13" s="1"/>
  <c r="AK180" i="13"/>
  <c r="BG20" i="13"/>
  <c r="BG180" i="13" s="1"/>
  <c r="BG67" i="13"/>
  <c r="BG225" i="13" s="1"/>
  <c r="BG58" i="13"/>
  <c r="BG216" i="13" s="1"/>
  <c r="BG9" i="13"/>
  <c r="BG169" i="13" s="1"/>
  <c r="AK202" i="13"/>
  <c r="BG42" i="13"/>
  <c r="BG202" i="13" s="1"/>
  <c r="AK193" i="13"/>
  <c r="BG57" i="13"/>
  <c r="BG215" i="13" s="1"/>
  <c r="BC301" i="13"/>
  <c r="BF143" i="13"/>
  <c r="BF301" i="13" s="1"/>
  <c r="BD294" i="13"/>
  <c r="BG136" i="13"/>
  <c r="BG294" i="13" s="1"/>
  <c r="BE148" i="13"/>
  <c r="BE306" i="13" s="1"/>
  <c r="BG130" i="13"/>
  <c r="BG288" i="13" s="1"/>
  <c r="AF271" i="13"/>
  <c r="BF109" i="13"/>
  <c r="BF267" i="13" s="1"/>
  <c r="BF121" i="13"/>
  <c r="BF279" i="13" s="1"/>
  <c r="BF102" i="13"/>
  <c r="BF260" i="13" s="1"/>
  <c r="AK198" i="13"/>
  <c r="BG38" i="13"/>
  <c r="BG198" i="13" s="1"/>
  <c r="BG11" i="13"/>
  <c r="BG171" i="13" s="1"/>
  <c r="S287" i="13"/>
  <c r="BC129" i="13"/>
  <c r="BC287" i="13" s="1"/>
  <c r="L287" i="13"/>
  <c r="AA287" i="13"/>
  <c r="BF133" i="13"/>
  <c r="BF291" i="13" s="1"/>
  <c r="BF123" i="13"/>
  <c r="BF281" i="13" s="1"/>
  <c r="AK172" i="13"/>
  <c r="BG12" i="13"/>
  <c r="BG172" i="13" s="1"/>
  <c r="AK190" i="13"/>
  <c r="BG30" i="13"/>
  <c r="BG190" i="13" s="1"/>
  <c r="BG3" i="13"/>
  <c r="BG163" i="13" s="1"/>
  <c r="BD260" i="13"/>
  <c r="BG102" i="13"/>
  <c r="BG260" i="13" s="1"/>
  <c r="BC303" i="13"/>
  <c r="BF145" i="13"/>
  <c r="BF303" i="13" s="1"/>
  <c r="BC295" i="13"/>
  <c r="BF137" i="13"/>
  <c r="BF295" i="13" s="1"/>
  <c r="BF112" i="13"/>
  <c r="BF270" i="13" s="1"/>
  <c r="BG83" i="13"/>
  <c r="BG241" i="13" s="1"/>
  <c r="BG92" i="13"/>
  <c r="BG250" i="13" s="1"/>
  <c r="BF131" i="13"/>
  <c r="BF289" i="13" s="1"/>
  <c r="BG101" i="13"/>
  <c r="BG259" i="13" s="1"/>
  <c r="BF74" i="13"/>
  <c r="BF232" i="13" s="1"/>
  <c r="AK176" i="13"/>
  <c r="BG16" i="13"/>
  <c r="BG176" i="13" s="1"/>
  <c r="AK196" i="13"/>
  <c r="BG36" i="13"/>
  <c r="BG196" i="13" s="1"/>
  <c r="AK197" i="13"/>
  <c r="AK174" i="13"/>
  <c r="BG14" i="13"/>
  <c r="BG174" i="13" s="1"/>
  <c r="BF76" i="13"/>
  <c r="BF234" i="13" s="1"/>
  <c r="BG53" i="13"/>
  <c r="BG211" i="13" s="1"/>
  <c r="T287" i="13"/>
  <c r="BB129" i="13"/>
  <c r="BB287" i="13" s="1"/>
  <c r="BG122" i="13"/>
  <c r="BG280" i="13" s="1"/>
  <c r="BG111" i="13"/>
  <c r="BG269" i="13" s="1"/>
  <c r="BG108" i="13"/>
  <c r="BG266" i="13" s="1"/>
  <c r="BG104" i="13"/>
  <c r="BG262" i="13" s="1"/>
  <c r="AF293" i="13"/>
  <c r="BG125" i="13"/>
  <c r="BG283" i="13" s="1"/>
  <c r="BG116" i="13"/>
  <c r="BG274" i="13" s="1"/>
  <c r="BG107" i="13"/>
  <c r="BG265" i="13" s="1"/>
  <c r="BF101" i="13"/>
  <c r="BF259" i="13" s="1"/>
  <c r="BF97" i="13"/>
  <c r="BF255" i="13" s="1"/>
  <c r="BF93" i="13"/>
  <c r="BF251" i="13" s="1"/>
  <c r="BF90" i="13"/>
  <c r="BF248" i="13" s="1"/>
  <c r="BF103" i="13"/>
  <c r="BF261" i="13" s="1"/>
  <c r="BF34" i="13"/>
  <c r="BF194" i="13" s="1"/>
  <c r="BF118" i="13"/>
  <c r="BF276" i="13" s="1"/>
  <c r="BE43" i="13"/>
  <c r="BE203" i="13" s="1"/>
  <c r="BB171" i="13"/>
  <c r="BE11" i="13"/>
  <c r="BE171" i="13" s="1"/>
  <c r="BG71" i="13"/>
  <c r="BG229" i="13" s="1"/>
  <c r="BG60" i="13"/>
  <c r="BG218" i="13" s="1"/>
  <c r="AK168" i="13"/>
  <c r="BG81" i="13"/>
  <c r="BG239" i="13" s="1"/>
  <c r="BF10" i="13"/>
  <c r="BF170" i="13" s="1"/>
  <c r="R287" i="13"/>
  <c r="BD129" i="13"/>
  <c r="BD287" i="13" s="1"/>
  <c r="BG86" i="13"/>
  <c r="BG244" i="13" s="1"/>
  <c r="Z287" i="13"/>
  <c r="K287" i="13"/>
  <c r="BE86" i="13"/>
  <c r="BE244" i="13" s="1"/>
  <c r="BF119" i="13"/>
  <c r="BF277" i="13" s="1"/>
  <c r="AK200" i="13"/>
  <c r="BG40" i="13"/>
  <c r="BG200" i="13" s="1"/>
  <c r="BF11" i="13"/>
  <c r="BF171" i="13" s="1"/>
  <c r="AK182" i="13"/>
  <c r="BG22" i="13"/>
  <c r="BG182" i="13" s="1"/>
  <c r="AK186" i="13"/>
  <c r="BG26" i="13"/>
  <c r="BG186" i="13" s="1"/>
  <c r="BG8" i="13"/>
  <c r="BG168" i="13" s="1"/>
  <c r="AK204" i="13"/>
  <c r="BG44" i="13"/>
  <c r="BG204" i="13" s="1"/>
  <c r="BF9" i="13"/>
  <c r="BF169" i="13" s="1"/>
  <c r="AZ117" i="3"/>
  <c r="AS118" i="3"/>
  <c r="AT118" i="3"/>
  <c r="AU118" i="3"/>
  <c r="AV118" i="3"/>
  <c r="AR118" i="3"/>
  <c r="AN118" i="3"/>
  <c r="AO118" i="3"/>
  <c r="AP118" i="3"/>
  <c r="AQ118" i="3"/>
  <c r="AM118" i="3"/>
  <c r="AA118" i="3"/>
  <c r="AB118" i="3"/>
  <c r="AC118" i="3"/>
  <c r="AD118" i="3"/>
  <c r="Z118" i="3"/>
  <c r="V118" i="3"/>
  <c r="W118" i="3"/>
  <c r="X118" i="3"/>
  <c r="Y118" i="3"/>
  <c r="U118" i="3"/>
  <c r="Q118" i="3"/>
  <c r="R118" i="3"/>
  <c r="S118" i="3"/>
  <c r="T118" i="3"/>
  <c r="P118" i="3"/>
  <c r="L118" i="3"/>
  <c r="M118" i="3"/>
  <c r="N118" i="3"/>
  <c r="O118" i="3"/>
  <c r="K118" i="3"/>
  <c r="K138" i="3"/>
  <c r="AS126" i="3"/>
  <c r="AT126" i="3"/>
  <c r="AU126" i="3"/>
  <c r="AV126" i="3"/>
  <c r="AS127" i="3"/>
  <c r="AT127" i="3"/>
  <c r="AU127" i="3"/>
  <c r="AV127" i="3"/>
  <c r="AR127" i="3"/>
  <c r="AR126" i="3"/>
  <c r="AN126" i="3"/>
  <c r="AO126" i="3"/>
  <c r="AP126" i="3"/>
  <c r="AQ126" i="3"/>
  <c r="AN127" i="3"/>
  <c r="AO127" i="3"/>
  <c r="AP127" i="3"/>
  <c r="AQ127" i="3"/>
  <c r="AM127" i="3"/>
  <c r="AM126" i="3"/>
  <c r="AA126" i="3"/>
  <c r="AB126" i="3"/>
  <c r="AC126" i="3"/>
  <c r="AD126" i="3"/>
  <c r="AA127" i="3"/>
  <c r="AB127" i="3"/>
  <c r="AC127" i="3"/>
  <c r="AD127" i="3"/>
  <c r="Z127" i="3"/>
  <c r="Z126" i="3"/>
  <c r="V126" i="3"/>
  <c r="W126" i="3"/>
  <c r="X126" i="3"/>
  <c r="Y126" i="3"/>
  <c r="V127" i="3"/>
  <c r="W127" i="3"/>
  <c r="X127" i="3"/>
  <c r="Y127" i="3"/>
  <c r="U127" i="3"/>
  <c r="U126" i="3"/>
  <c r="Q126" i="3"/>
  <c r="R126" i="3"/>
  <c r="S126" i="3"/>
  <c r="T126" i="3"/>
  <c r="Q127" i="3"/>
  <c r="R127" i="3"/>
  <c r="S127" i="3"/>
  <c r="T127" i="3"/>
  <c r="P127" i="3"/>
  <c r="P126" i="3"/>
  <c r="L126" i="3"/>
  <c r="M126" i="3"/>
  <c r="N126" i="3"/>
  <c r="O126" i="3"/>
  <c r="L127" i="3"/>
  <c r="M127" i="3"/>
  <c r="N127" i="3"/>
  <c r="O127" i="3"/>
  <c r="K127" i="3"/>
  <c r="K126" i="3"/>
  <c r="K128" i="3"/>
  <c r="AS51" i="3"/>
  <c r="AT51" i="3"/>
  <c r="AU51" i="3"/>
  <c r="AV51" i="3"/>
  <c r="AS52" i="3"/>
  <c r="AT52" i="3"/>
  <c r="AU52" i="3"/>
  <c r="AV52" i="3"/>
  <c r="AS53" i="3"/>
  <c r="AT53" i="3"/>
  <c r="AU53" i="3"/>
  <c r="AV53" i="3"/>
  <c r="AR53" i="3"/>
  <c r="AR52" i="3"/>
  <c r="AR51" i="3"/>
  <c r="AN51" i="3"/>
  <c r="AO51" i="3"/>
  <c r="AP51" i="3"/>
  <c r="AQ51" i="3"/>
  <c r="AN52" i="3"/>
  <c r="AO52" i="3"/>
  <c r="AP52" i="3"/>
  <c r="AQ52" i="3"/>
  <c r="AN53" i="3"/>
  <c r="AO53" i="3"/>
  <c r="AP53" i="3"/>
  <c r="AQ53" i="3"/>
  <c r="AM53" i="3"/>
  <c r="AM52" i="3"/>
  <c r="AM51" i="3"/>
  <c r="Z51" i="3"/>
  <c r="AA51" i="3"/>
  <c r="AB51" i="3"/>
  <c r="AC51" i="3"/>
  <c r="AD51" i="3"/>
  <c r="AA52" i="3"/>
  <c r="AB52" i="3"/>
  <c r="AC52" i="3"/>
  <c r="AD52" i="3"/>
  <c r="AA53" i="3"/>
  <c r="AB53" i="3"/>
  <c r="AC53" i="3"/>
  <c r="AD53" i="3"/>
  <c r="Z53" i="3"/>
  <c r="Z52" i="3"/>
  <c r="V51" i="3"/>
  <c r="W51" i="3"/>
  <c r="X51" i="3"/>
  <c r="Y51" i="3"/>
  <c r="V52" i="3"/>
  <c r="W52" i="3"/>
  <c r="X52" i="3"/>
  <c r="Y52" i="3"/>
  <c r="V53" i="3"/>
  <c r="W53" i="3"/>
  <c r="X53" i="3"/>
  <c r="Y53" i="3"/>
  <c r="U53" i="3"/>
  <c r="U52" i="3"/>
  <c r="U51" i="3"/>
  <c r="Q51" i="3"/>
  <c r="R51" i="3"/>
  <c r="S51" i="3"/>
  <c r="T51" i="3"/>
  <c r="Q52" i="3"/>
  <c r="R52" i="3"/>
  <c r="S52" i="3"/>
  <c r="T52" i="3"/>
  <c r="Q53" i="3"/>
  <c r="R53" i="3"/>
  <c r="S53" i="3"/>
  <c r="T53" i="3"/>
  <c r="P53" i="3"/>
  <c r="P52" i="3"/>
  <c r="P51" i="3"/>
  <c r="K51" i="3"/>
  <c r="L51" i="3"/>
  <c r="M51" i="3"/>
  <c r="N51" i="3"/>
  <c r="O51" i="3"/>
  <c r="L52" i="3"/>
  <c r="M52" i="3"/>
  <c r="N52" i="3"/>
  <c r="O52" i="3"/>
  <c r="L53" i="3"/>
  <c r="M53" i="3"/>
  <c r="N53" i="3"/>
  <c r="O53" i="3"/>
  <c r="K53" i="3"/>
  <c r="K52" i="3"/>
  <c r="K54" i="3"/>
  <c r="AS138" i="3"/>
  <c r="AS321" i="3" s="1"/>
  <c r="AT138" i="3"/>
  <c r="AT321" i="3" s="1"/>
  <c r="AU138" i="3"/>
  <c r="AU321" i="3" s="1"/>
  <c r="AV138" i="3"/>
  <c r="AV321" i="3" s="1"/>
  <c r="AR138" i="3"/>
  <c r="AR321" i="3" s="1"/>
  <c r="AN138" i="3"/>
  <c r="AN321" i="3" s="1"/>
  <c r="AO138" i="3"/>
  <c r="AO321" i="3" s="1"/>
  <c r="AP138" i="3"/>
  <c r="AP321" i="3" s="1"/>
  <c r="AQ138" i="3"/>
  <c r="AQ321" i="3" s="1"/>
  <c r="AM138" i="3"/>
  <c r="AM321" i="3" s="1"/>
  <c r="AA138" i="3"/>
  <c r="AB138" i="3"/>
  <c r="AC138" i="3"/>
  <c r="AD138" i="3"/>
  <c r="Z138" i="3"/>
  <c r="V138" i="3"/>
  <c r="W138" i="3"/>
  <c r="X138" i="3"/>
  <c r="Y138" i="3"/>
  <c r="Y321" i="3" s="1"/>
  <c r="U138" i="3"/>
  <c r="Q138" i="3"/>
  <c r="R138" i="3"/>
  <c r="S138" i="3"/>
  <c r="T138" i="3"/>
  <c r="P138" i="3"/>
  <c r="P321" i="3" s="1"/>
  <c r="L138" i="3"/>
  <c r="M138" i="3"/>
  <c r="N138" i="3"/>
  <c r="O138" i="3"/>
  <c r="K137" i="3"/>
  <c r="T321" i="3" l="1"/>
  <c r="U321" i="3"/>
  <c r="V321" i="3"/>
  <c r="X321" i="3"/>
  <c r="Z321" i="3"/>
  <c r="K321" i="3"/>
  <c r="AB321" i="3"/>
  <c r="M321" i="3"/>
  <c r="AK321" i="3"/>
  <c r="S321" i="3"/>
  <c r="AC321" i="3"/>
  <c r="N321" i="3"/>
  <c r="AA321" i="3"/>
  <c r="L321" i="3"/>
  <c r="R321" i="3"/>
  <c r="AD321" i="3"/>
  <c r="O321" i="3"/>
  <c r="Q321" i="3"/>
  <c r="W321" i="3"/>
  <c r="AL321" i="3" s="1"/>
  <c r="BE129" i="13"/>
  <c r="BE287" i="13" s="1"/>
  <c r="BF129" i="13"/>
  <c r="BF287" i="13" s="1"/>
  <c r="AF287" i="13"/>
  <c r="BG129" i="13"/>
  <c r="BG287" i="13" s="1"/>
  <c r="AX126" i="3"/>
  <c r="AE118" i="3"/>
  <c r="AH118" i="3"/>
  <c r="AH127" i="3"/>
  <c r="AW118" i="3"/>
  <c r="AF118" i="3"/>
  <c r="AX118" i="3"/>
  <c r="AJ118" i="3"/>
  <c r="AY118" i="3"/>
  <c r="BB118" i="3" s="1"/>
  <c r="AW127" i="3"/>
  <c r="AI118" i="3"/>
  <c r="AG118" i="3"/>
  <c r="AY127" i="3"/>
  <c r="AG126" i="3"/>
  <c r="AG52" i="3"/>
  <c r="AF127" i="3"/>
  <c r="AG127" i="3"/>
  <c r="AE53" i="3"/>
  <c r="AW51" i="3"/>
  <c r="AH126" i="3"/>
  <c r="AE127" i="3"/>
  <c r="AJ127" i="3"/>
  <c r="AF126" i="3"/>
  <c r="AW126" i="3"/>
  <c r="AI127" i="3"/>
  <c r="AE126" i="3"/>
  <c r="AJ126" i="3"/>
  <c r="AX127" i="3"/>
  <c r="AE52" i="3"/>
  <c r="AI126" i="3"/>
  <c r="AY126" i="3"/>
  <c r="AX53" i="3"/>
  <c r="AG53" i="3"/>
  <c r="AG51" i="3"/>
  <c r="AW52" i="3"/>
  <c r="AF52" i="3"/>
  <c r="AE51" i="3"/>
  <c r="AW53" i="3"/>
  <c r="AF53" i="3"/>
  <c r="AH53" i="3"/>
  <c r="AH51" i="3"/>
  <c r="AX51" i="3"/>
  <c r="AH52" i="3"/>
  <c r="AI51" i="3"/>
  <c r="AI53" i="3"/>
  <c r="AF51" i="3"/>
  <c r="AI52" i="3"/>
  <c r="AX52" i="3"/>
  <c r="AY52" i="3"/>
  <c r="AY53" i="3"/>
  <c r="AJ51" i="3"/>
  <c r="AJ53" i="3"/>
  <c r="AY51" i="3"/>
  <c r="AJ52" i="3"/>
  <c r="AE138" i="3"/>
  <c r="AW138" i="3"/>
  <c r="AW321" i="3" s="1"/>
  <c r="AF138" i="3"/>
  <c r="AG138" i="3"/>
  <c r="AH138" i="3"/>
  <c r="AI138" i="3"/>
  <c r="AJ138" i="3"/>
  <c r="AY138" i="3"/>
  <c r="AY321" i="3" s="1"/>
  <c r="AX138" i="3"/>
  <c r="AX321" i="3" s="1"/>
  <c r="AS135" i="3"/>
  <c r="AT135" i="3"/>
  <c r="AU135" i="3"/>
  <c r="AV135" i="3"/>
  <c r="AS136" i="3"/>
  <c r="AT136" i="3"/>
  <c r="AU136" i="3"/>
  <c r="AV136" i="3"/>
  <c r="AS137" i="3"/>
  <c r="AT137" i="3"/>
  <c r="AU137" i="3"/>
  <c r="AV137" i="3"/>
  <c r="AR137" i="3"/>
  <c r="AR136" i="3"/>
  <c r="AR135" i="3"/>
  <c r="AN135" i="3"/>
  <c r="AO135" i="3"/>
  <c r="AP135" i="3"/>
  <c r="AQ135" i="3"/>
  <c r="AN136" i="3"/>
  <c r="AO136" i="3"/>
  <c r="AP136" i="3"/>
  <c r="AQ136" i="3"/>
  <c r="AN137" i="3"/>
  <c r="AO137" i="3"/>
  <c r="AP137" i="3"/>
  <c r="AQ137" i="3"/>
  <c r="AM137" i="3"/>
  <c r="AM136" i="3"/>
  <c r="AM135" i="3"/>
  <c r="AA135" i="3"/>
  <c r="AB135" i="3"/>
  <c r="AC135" i="3"/>
  <c r="AD135" i="3"/>
  <c r="AA136" i="3"/>
  <c r="AB136" i="3"/>
  <c r="AC136" i="3"/>
  <c r="AD136" i="3"/>
  <c r="AA137" i="3"/>
  <c r="AB137" i="3"/>
  <c r="AC137" i="3"/>
  <c r="AD137" i="3"/>
  <c r="Z137" i="3"/>
  <c r="Z136" i="3"/>
  <c r="Z135" i="3"/>
  <c r="V135" i="3"/>
  <c r="W135" i="3"/>
  <c r="X135" i="3"/>
  <c r="Y135" i="3"/>
  <c r="V136" i="3"/>
  <c r="W136" i="3"/>
  <c r="X136" i="3"/>
  <c r="Y136" i="3"/>
  <c r="V137" i="3"/>
  <c r="W137" i="3"/>
  <c r="X137" i="3"/>
  <c r="Y137" i="3"/>
  <c r="U137" i="3"/>
  <c r="U136" i="3"/>
  <c r="U135" i="3"/>
  <c r="Q135" i="3"/>
  <c r="R135" i="3"/>
  <c r="S135" i="3"/>
  <c r="T135" i="3"/>
  <c r="Q136" i="3"/>
  <c r="R136" i="3"/>
  <c r="S136" i="3"/>
  <c r="T136" i="3"/>
  <c r="Q137" i="3"/>
  <c r="R137" i="3"/>
  <c r="S137" i="3"/>
  <c r="T137" i="3"/>
  <c r="P137" i="3"/>
  <c r="P136" i="3"/>
  <c r="P135" i="3"/>
  <c r="L135" i="3"/>
  <c r="M135" i="3"/>
  <c r="N135" i="3"/>
  <c r="O135" i="3"/>
  <c r="L136" i="3"/>
  <c r="M136" i="3"/>
  <c r="N136" i="3"/>
  <c r="O136" i="3"/>
  <c r="L137" i="3"/>
  <c r="M137" i="3"/>
  <c r="N137" i="3"/>
  <c r="O137" i="3"/>
  <c r="K136" i="3"/>
  <c r="K135" i="3"/>
  <c r="K139" i="3"/>
  <c r="AS142" i="3"/>
  <c r="AT142" i="3"/>
  <c r="AU142" i="3"/>
  <c r="AV142" i="3"/>
  <c r="AR142" i="3"/>
  <c r="AN142" i="3"/>
  <c r="AO142" i="3"/>
  <c r="AP142" i="3"/>
  <c r="AQ142" i="3"/>
  <c r="AM142" i="3"/>
  <c r="AA142" i="3"/>
  <c r="AB142" i="3"/>
  <c r="AC142" i="3"/>
  <c r="AD142" i="3"/>
  <c r="Z142" i="3"/>
  <c r="V142" i="3"/>
  <c r="W142" i="3"/>
  <c r="X142" i="3"/>
  <c r="Y142" i="3"/>
  <c r="U142" i="3"/>
  <c r="Q142" i="3"/>
  <c r="R142" i="3"/>
  <c r="S142" i="3"/>
  <c r="T142" i="3"/>
  <c r="P142" i="3"/>
  <c r="L142" i="3"/>
  <c r="M142" i="3"/>
  <c r="N142" i="3"/>
  <c r="O142" i="3"/>
  <c r="K142" i="3"/>
  <c r="AS146" i="3"/>
  <c r="AT146" i="3"/>
  <c r="AU146" i="3"/>
  <c r="AV146" i="3"/>
  <c r="AS147" i="3"/>
  <c r="AT147" i="3"/>
  <c r="AU147" i="3"/>
  <c r="AV147" i="3"/>
  <c r="AR147" i="3"/>
  <c r="AR146" i="3"/>
  <c r="AN146" i="3"/>
  <c r="AO146" i="3"/>
  <c r="AP146" i="3"/>
  <c r="AQ146" i="3"/>
  <c r="AN147" i="3"/>
  <c r="AO147" i="3"/>
  <c r="AP147" i="3"/>
  <c r="AQ147" i="3"/>
  <c r="AM147" i="3"/>
  <c r="AM146" i="3"/>
  <c r="Z146" i="3"/>
  <c r="AA146" i="3"/>
  <c r="AB146" i="3"/>
  <c r="AC146" i="3"/>
  <c r="AD146" i="3"/>
  <c r="AA147" i="3"/>
  <c r="AB147" i="3"/>
  <c r="AC147" i="3"/>
  <c r="AD147" i="3"/>
  <c r="Z147" i="3"/>
  <c r="V146" i="3"/>
  <c r="W146" i="3"/>
  <c r="X146" i="3"/>
  <c r="Y146" i="3"/>
  <c r="V147" i="3"/>
  <c r="W147" i="3"/>
  <c r="X147" i="3"/>
  <c r="Y147" i="3"/>
  <c r="U147" i="3"/>
  <c r="U146" i="3"/>
  <c r="Q146" i="3"/>
  <c r="R146" i="3"/>
  <c r="S146" i="3"/>
  <c r="T146" i="3"/>
  <c r="AW146" i="3" s="1"/>
  <c r="Q147" i="3"/>
  <c r="R147" i="3"/>
  <c r="S147" i="3"/>
  <c r="T147" i="3"/>
  <c r="P147" i="3"/>
  <c r="P146" i="3"/>
  <c r="L146" i="3"/>
  <c r="M146" i="3"/>
  <c r="N146" i="3"/>
  <c r="O146" i="3"/>
  <c r="L147" i="3"/>
  <c r="M147" i="3"/>
  <c r="N147" i="3"/>
  <c r="O147" i="3"/>
  <c r="K147" i="3"/>
  <c r="K146" i="3"/>
  <c r="K144" i="3"/>
  <c r="AS155" i="3"/>
  <c r="AT155" i="3"/>
  <c r="AU155" i="3"/>
  <c r="AV155" i="3"/>
  <c r="AS156" i="3"/>
  <c r="AT156" i="3"/>
  <c r="AU156" i="3"/>
  <c r="AV156" i="3"/>
  <c r="AR156" i="3"/>
  <c r="AR155" i="3"/>
  <c r="AN155" i="3"/>
  <c r="AO155" i="3"/>
  <c r="AP155" i="3"/>
  <c r="AQ155" i="3"/>
  <c r="AN156" i="3"/>
  <c r="AO156" i="3"/>
  <c r="AP156" i="3"/>
  <c r="AQ156" i="3"/>
  <c r="AM156" i="3"/>
  <c r="AM155" i="3"/>
  <c r="AA155" i="3"/>
  <c r="AB155" i="3"/>
  <c r="AC155" i="3"/>
  <c r="AD155" i="3"/>
  <c r="AA156" i="3"/>
  <c r="AB156" i="3"/>
  <c r="AC156" i="3"/>
  <c r="AD156" i="3"/>
  <c r="Z156" i="3"/>
  <c r="Z155" i="3"/>
  <c r="V155" i="3"/>
  <c r="W155" i="3"/>
  <c r="X155" i="3"/>
  <c r="Y155" i="3"/>
  <c r="V156" i="3"/>
  <c r="W156" i="3"/>
  <c r="X156" i="3"/>
  <c r="Y156" i="3"/>
  <c r="U156" i="3"/>
  <c r="U155" i="3"/>
  <c r="Q155" i="3"/>
  <c r="R155" i="3"/>
  <c r="AY155" i="3" s="1"/>
  <c r="S155" i="3"/>
  <c r="T155" i="3"/>
  <c r="AW155" i="3" s="1"/>
  <c r="Q156" i="3"/>
  <c r="R156" i="3"/>
  <c r="S156" i="3"/>
  <c r="T156" i="3"/>
  <c r="P156" i="3"/>
  <c r="P155" i="3"/>
  <c r="L155" i="3"/>
  <c r="M155" i="3"/>
  <c r="N155" i="3"/>
  <c r="O155" i="3"/>
  <c r="L156" i="3"/>
  <c r="M156" i="3"/>
  <c r="N156" i="3"/>
  <c r="O156" i="3"/>
  <c r="K156" i="3"/>
  <c r="K155" i="3"/>
  <c r="K157" i="3"/>
  <c r="AS159" i="3"/>
  <c r="AT159" i="3"/>
  <c r="AU159" i="3"/>
  <c r="AV159" i="3"/>
  <c r="AS160" i="3"/>
  <c r="AT160" i="3"/>
  <c r="AU160" i="3"/>
  <c r="AV160" i="3"/>
  <c r="AS161" i="3"/>
  <c r="AT161" i="3"/>
  <c r="AU161" i="3"/>
  <c r="AV161" i="3"/>
  <c r="AR161" i="3"/>
  <c r="AR160" i="3"/>
  <c r="AR159" i="3"/>
  <c r="AN159" i="3"/>
  <c r="AO159" i="3"/>
  <c r="AP159" i="3"/>
  <c r="AQ159" i="3"/>
  <c r="AN160" i="3"/>
  <c r="AO160" i="3"/>
  <c r="AP160" i="3"/>
  <c r="AQ160" i="3"/>
  <c r="AN161" i="3"/>
  <c r="AO161" i="3"/>
  <c r="AP161" i="3"/>
  <c r="AQ161" i="3"/>
  <c r="AM161" i="3"/>
  <c r="AM160" i="3"/>
  <c r="AM159" i="3"/>
  <c r="AA159" i="3"/>
  <c r="AB159" i="3"/>
  <c r="AC159" i="3"/>
  <c r="AD159" i="3"/>
  <c r="AA160" i="3"/>
  <c r="AB160" i="3"/>
  <c r="AC160" i="3"/>
  <c r="AD160" i="3"/>
  <c r="AA161" i="3"/>
  <c r="AB161" i="3"/>
  <c r="AC161" i="3"/>
  <c r="AD161" i="3"/>
  <c r="Z161" i="3"/>
  <c r="Z160" i="3"/>
  <c r="Z159" i="3"/>
  <c r="V159" i="3"/>
  <c r="W159" i="3"/>
  <c r="X159" i="3"/>
  <c r="Y159" i="3"/>
  <c r="V160" i="3"/>
  <c r="W160" i="3"/>
  <c r="X160" i="3"/>
  <c r="Y160" i="3"/>
  <c r="V161" i="3"/>
  <c r="W161" i="3"/>
  <c r="X161" i="3"/>
  <c r="Y161" i="3"/>
  <c r="U161" i="3"/>
  <c r="U160" i="3"/>
  <c r="U159" i="3"/>
  <c r="Q159" i="3"/>
  <c r="R159" i="3"/>
  <c r="S159" i="3"/>
  <c r="T159" i="3"/>
  <c r="Q160" i="3"/>
  <c r="R160" i="3"/>
  <c r="S160" i="3"/>
  <c r="T160" i="3"/>
  <c r="Q161" i="3"/>
  <c r="R161" i="3"/>
  <c r="S161" i="3"/>
  <c r="T161" i="3"/>
  <c r="P161" i="3"/>
  <c r="P160" i="3"/>
  <c r="P159" i="3"/>
  <c r="L159" i="3"/>
  <c r="M159" i="3"/>
  <c r="N159" i="3"/>
  <c r="O159" i="3"/>
  <c r="L160" i="3"/>
  <c r="M160" i="3"/>
  <c r="N160" i="3"/>
  <c r="O160" i="3"/>
  <c r="L161" i="3"/>
  <c r="M161" i="3"/>
  <c r="N161" i="3"/>
  <c r="O161" i="3"/>
  <c r="K161" i="3"/>
  <c r="K160" i="3"/>
  <c r="K159" i="3"/>
  <c r="K162" i="3"/>
  <c r="AS168" i="3"/>
  <c r="AT168" i="3"/>
  <c r="AU168" i="3"/>
  <c r="AV168" i="3"/>
  <c r="AS169" i="3"/>
  <c r="AT169" i="3"/>
  <c r="AU169" i="3"/>
  <c r="AV169" i="3"/>
  <c r="AR169" i="3"/>
  <c r="AR168" i="3"/>
  <c r="AN168" i="3"/>
  <c r="AO168" i="3"/>
  <c r="AP168" i="3"/>
  <c r="AQ168" i="3"/>
  <c r="AN169" i="3"/>
  <c r="AO169" i="3"/>
  <c r="AP169" i="3"/>
  <c r="AQ169" i="3"/>
  <c r="AM169" i="3"/>
  <c r="AM168" i="3"/>
  <c r="AA168" i="3"/>
  <c r="AB168" i="3"/>
  <c r="AC168" i="3"/>
  <c r="AD168" i="3"/>
  <c r="AA169" i="3"/>
  <c r="AB169" i="3"/>
  <c r="AC169" i="3"/>
  <c r="AD169" i="3"/>
  <c r="Z169" i="3"/>
  <c r="Z168" i="3"/>
  <c r="V168" i="3"/>
  <c r="W168" i="3"/>
  <c r="X168" i="3"/>
  <c r="Y168" i="3"/>
  <c r="V169" i="3"/>
  <c r="W169" i="3"/>
  <c r="X169" i="3"/>
  <c r="Y169" i="3"/>
  <c r="U169" i="3"/>
  <c r="U168" i="3"/>
  <c r="Q168" i="3"/>
  <c r="R168" i="3"/>
  <c r="S168" i="3"/>
  <c r="AX168" i="3" s="1"/>
  <c r="T168" i="3"/>
  <c r="Q169" i="3"/>
  <c r="R169" i="3"/>
  <c r="S169" i="3"/>
  <c r="AX169" i="3" s="1"/>
  <c r="T169" i="3"/>
  <c r="P169" i="3"/>
  <c r="P168" i="3"/>
  <c r="L168" i="3"/>
  <c r="M168" i="3"/>
  <c r="N168" i="3"/>
  <c r="O168" i="3"/>
  <c r="L169" i="3"/>
  <c r="M169" i="3"/>
  <c r="N169" i="3"/>
  <c r="O169" i="3"/>
  <c r="K169" i="3"/>
  <c r="K168" i="3"/>
  <c r="K170" i="3"/>
  <c r="AS104" i="3"/>
  <c r="AT104" i="3"/>
  <c r="AU104" i="3"/>
  <c r="AV104" i="3"/>
  <c r="AR104" i="3"/>
  <c r="AN104" i="3"/>
  <c r="AO104" i="3"/>
  <c r="AP104" i="3"/>
  <c r="AQ104" i="3"/>
  <c r="AM104" i="3"/>
  <c r="AA104" i="3"/>
  <c r="AB104" i="3"/>
  <c r="AC104" i="3"/>
  <c r="AD104" i="3"/>
  <c r="Z104" i="3"/>
  <c r="V104" i="3"/>
  <c r="W104" i="3"/>
  <c r="X104" i="3"/>
  <c r="Y104" i="3"/>
  <c r="U104" i="3"/>
  <c r="Q104" i="3"/>
  <c r="R104" i="3"/>
  <c r="S104" i="3"/>
  <c r="T104" i="3"/>
  <c r="P104" i="3"/>
  <c r="L104" i="3"/>
  <c r="M104" i="3"/>
  <c r="N104" i="3"/>
  <c r="O104" i="3"/>
  <c r="K104" i="3"/>
  <c r="K105" i="3"/>
  <c r="AI321" i="3" l="1"/>
  <c r="AF321" i="3"/>
  <c r="AY146" i="3"/>
  <c r="AZ52" i="3"/>
  <c r="AY168" i="3"/>
  <c r="BA126" i="3"/>
  <c r="AX156" i="3"/>
  <c r="BA127" i="3"/>
  <c r="AZ127" i="3"/>
  <c r="AZ118" i="3"/>
  <c r="BA118" i="3"/>
  <c r="AZ51" i="3"/>
  <c r="BB126" i="3"/>
  <c r="BB127" i="3"/>
  <c r="AZ126" i="3"/>
  <c r="AZ53" i="3"/>
  <c r="BA53" i="3"/>
  <c r="BA52" i="3"/>
  <c r="BB52" i="3"/>
  <c r="BA51" i="3"/>
  <c r="BB53" i="3"/>
  <c r="BB51" i="3"/>
  <c r="BA138" i="3"/>
  <c r="BA321" i="3" s="1"/>
  <c r="AZ138" i="3"/>
  <c r="AZ321" i="3" s="1"/>
  <c r="AF137" i="3"/>
  <c r="AF135" i="3"/>
  <c r="BB138" i="3"/>
  <c r="BB321" i="3" s="1"/>
  <c r="AY135" i="3"/>
  <c r="AG136" i="3"/>
  <c r="AW137" i="3"/>
  <c r="AW135" i="3"/>
  <c r="AW142" i="3"/>
  <c r="AX135" i="3"/>
  <c r="AI137" i="3"/>
  <c r="AX137" i="3"/>
  <c r="AG137" i="3"/>
  <c r="AE137" i="3"/>
  <c r="AE136" i="3"/>
  <c r="AI135" i="3"/>
  <c r="AJ137" i="3"/>
  <c r="AF136" i="3"/>
  <c r="AG135" i="3"/>
  <c r="AY136" i="3"/>
  <c r="AE135" i="3"/>
  <c r="AI136" i="3"/>
  <c r="AX136" i="3"/>
  <c r="AH136" i="3"/>
  <c r="AY137" i="3"/>
  <c r="AW136" i="3"/>
  <c r="AJ136" i="3"/>
  <c r="AJ135" i="3"/>
  <c r="AH137" i="3"/>
  <c r="AH135" i="3"/>
  <c r="AE156" i="3"/>
  <c r="AX142" i="3"/>
  <c r="AE147" i="3"/>
  <c r="AY142" i="3"/>
  <c r="AF142" i="3"/>
  <c r="AW160" i="3"/>
  <c r="AF147" i="3"/>
  <c r="AF146" i="3"/>
  <c r="AH142" i="3"/>
  <c r="AI142" i="3"/>
  <c r="BA142" i="3" s="1"/>
  <c r="AJ142" i="3"/>
  <c r="AG142" i="3"/>
  <c r="AE142" i="3"/>
  <c r="AI146" i="3"/>
  <c r="AJ155" i="3"/>
  <c r="BB155" i="3" s="1"/>
  <c r="AE146" i="3"/>
  <c r="AH146" i="3"/>
  <c r="AZ146" i="3" s="1"/>
  <c r="AF156" i="3"/>
  <c r="AW147" i="3"/>
  <c r="AI147" i="3"/>
  <c r="AI156" i="3"/>
  <c r="BA156" i="3" s="1"/>
  <c r="AY147" i="3"/>
  <c r="AX147" i="3"/>
  <c r="AX146" i="3"/>
  <c r="AJ159" i="3"/>
  <c r="AH147" i="3"/>
  <c r="AJ146" i="3"/>
  <c r="AG147" i="3"/>
  <c r="AG146" i="3"/>
  <c r="AJ147" i="3"/>
  <c r="AH160" i="3"/>
  <c r="AG155" i="3"/>
  <c r="AY156" i="3"/>
  <c r="AW159" i="3"/>
  <c r="AE155" i="3"/>
  <c r="AW156" i="3"/>
  <c r="AH155" i="3"/>
  <c r="AZ155" i="3" s="1"/>
  <c r="AG156" i="3"/>
  <c r="AH156" i="3"/>
  <c r="AF155" i="3"/>
  <c r="AX155" i="3"/>
  <c r="AJ156" i="3"/>
  <c r="AI155" i="3"/>
  <c r="AW161" i="3"/>
  <c r="AI168" i="3"/>
  <c r="BA168" i="3" s="1"/>
  <c r="AH161" i="3"/>
  <c r="AH159" i="3"/>
  <c r="AE161" i="3"/>
  <c r="AE159" i="3"/>
  <c r="AG161" i="3"/>
  <c r="AF160" i="3"/>
  <c r="AI160" i="3"/>
  <c r="AE160" i="3"/>
  <c r="AX160" i="3"/>
  <c r="AY161" i="3"/>
  <c r="AI159" i="3"/>
  <c r="AG160" i="3"/>
  <c r="AF161" i="3"/>
  <c r="AG159" i="3"/>
  <c r="AY159" i="3"/>
  <c r="AI161" i="3"/>
  <c r="AX159" i="3"/>
  <c r="AJ160" i="3"/>
  <c r="AJ161" i="3"/>
  <c r="AY160" i="3"/>
  <c r="AF159" i="3"/>
  <c r="AX161" i="3"/>
  <c r="AE169" i="3"/>
  <c r="AI169" i="3"/>
  <c r="BA169" i="3" s="1"/>
  <c r="AH169" i="3"/>
  <c r="AF169" i="3"/>
  <c r="AH168" i="3"/>
  <c r="AW168" i="3"/>
  <c r="AJ168" i="3"/>
  <c r="BB168" i="3" s="1"/>
  <c r="AG168" i="3"/>
  <c r="AF168" i="3"/>
  <c r="AE168" i="3"/>
  <c r="AW169" i="3"/>
  <c r="AG169" i="3"/>
  <c r="AJ169" i="3"/>
  <c r="AY169" i="3"/>
  <c r="AW104" i="3"/>
  <c r="AX104" i="3"/>
  <c r="AY104" i="3"/>
  <c r="AS103" i="3"/>
  <c r="AT103" i="3"/>
  <c r="AU103" i="3"/>
  <c r="AV103" i="3"/>
  <c r="AR103" i="3"/>
  <c r="AN103" i="3"/>
  <c r="AO103" i="3"/>
  <c r="AP103" i="3"/>
  <c r="AQ103" i="3"/>
  <c r="AM103" i="3"/>
  <c r="AE104" i="3"/>
  <c r="AF104" i="3"/>
  <c r="AG104" i="3"/>
  <c r="AH104" i="3"/>
  <c r="AI104" i="3"/>
  <c r="AJ104" i="3"/>
  <c r="AA103" i="3"/>
  <c r="AB103" i="3"/>
  <c r="AC103" i="3"/>
  <c r="AD103" i="3"/>
  <c r="Z103" i="3"/>
  <c r="V103" i="3"/>
  <c r="W103" i="3"/>
  <c r="Q103" i="3"/>
  <c r="R103" i="3"/>
  <c r="S103" i="3"/>
  <c r="T103" i="3"/>
  <c r="P103" i="3"/>
  <c r="L103" i="3"/>
  <c r="M103" i="3"/>
  <c r="N103" i="3"/>
  <c r="O103" i="3"/>
  <c r="K103" i="3"/>
  <c r="H775" i="10"/>
  <c r="Y103" i="3" s="1"/>
  <c r="G775" i="10"/>
  <c r="X103" i="3" s="1"/>
  <c r="F775" i="10"/>
  <c r="E775" i="10"/>
  <c r="D775" i="10"/>
  <c r="U103" i="3" s="1"/>
  <c r="AS96" i="3"/>
  <c r="AT96" i="3"/>
  <c r="AU96" i="3"/>
  <c r="AV96" i="3"/>
  <c r="AS97" i="3"/>
  <c r="AT97" i="3"/>
  <c r="AU97" i="3"/>
  <c r="AV97" i="3"/>
  <c r="AS98" i="3"/>
  <c r="AT98" i="3"/>
  <c r="AU98" i="3"/>
  <c r="AV98" i="3"/>
  <c r="AS99" i="3"/>
  <c r="AT99" i="3"/>
  <c r="AU99" i="3"/>
  <c r="AV99" i="3"/>
  <c r="AR99" i="3"/>
  <c r="AR98" i="3"/>
  <c r="AR97" i="3"/>
  <c r="AR96" i="3"/>
  <c r="AN96" i="3"/>
  <c r="AO96" i="3"/>
  <c r="AP96" i="3"/>
  <c r="AQ96" i="3"/>
  <c r="AN97" i="3"/>
  <c r="AO97" i="3"/>
  <c r="AP97" i="3"/>
  <c r="AQ97" i="3"/>
  <c r="AN98" i="3"/>
  <c r="AO98" i="3"/>
  <c r="AP98" i="3"/>
  <c r="AQ98" i="3"/>
  <c r="AN99" i="3"/>
  <c r="AO99" i="3"/>
  <c r="AP99" i="3"/>
  <c r="AQ99" i="3"/>
  <c r="AM99" i="3"/>
  <c r="AM98" i="3"/>
  <c r="AM97" i="3"/>
  <c r="AM96" i="3"/>
  <c r="AA96" i="3"/>
  <c r="AB96" i="3"/>
  <c r="AC96" i="3"/>
  <c r="AD96" i="3"/>
  <c r="AA97" i="3"/>
  <c r="AB97" i="3"/>
  <c r="AC97" i="3"/>
  <c r="AD97" i="3"/>
  <c r="AA98" i="3"/>
  <c r="AB98" i="3"/>
  <c r="AC98" i="3"/>
  <c r="AD98" i="3"/>
  <c r="AA99" i="3"/>
  <c r="AB99" i="3"/>
  <c r="AC99" i="3"/>
  <c r="AD99" i="3"/>
  <c r="Z99" i="3"/>
  <c r="Z98" i="3"/>
  <c r="Z97" i="3"/>
  <c r="Z96" i="3"/>
  <c r="V96" i="3"/>
  <c r="V97" i="3"/>
  <c r="W97" i="3"/>
  <c r="W98" i="3"/>
  <c r="X98" i="3"/>
  <c r="X99" i="3"/>
  <c r="Y99" i="3"/>
  <c r="U98" i="3"/>
  <c r="Q96" i="3"/>
  <c r="R96" i="3"/>
  <c r="S96" i="3"/>
  <c r="T96" i="3"/>
  <c r="Q97" i="3"/>
  <c r="R97" i="3"/>
  <c r="S97" i="3"/>
  <c r="T97" i="3"/>
  <c r="Q98" i="3"/>
  <c r="R98" i="3"/>
  <c r="AY98" i="3" s="1"/>
  <c r="S98" i="3"/>
  <c r="T98" i="3"/>
  <c r="Q99" i="3"/>
  <c r="R99" i="3"/>
  <c r="S99" i="3"/>
  <c r="T99" i="3"/>
  <c r="P99" i="3"/>
  <c r="P98" i="3"/>
  <c r="P97" i="3"/>
  <c r="P96" i="3"/>
  <c r="L96" i="3"/>
  <c r="M96" i="3"/>
  <c r="N96" i="3"/>
  <c r="O96" i="3"/>
  <c r="L97" i="3"/>
  <c r="M97" i="3"/>
  <c r="N97" i="3"/>
  <c r="O97" i="3"/>
  <c r="L98" i="3"/>
  <c r="M98" i="3"/>
  <c r="N98" i="3"/>
  <c r="O98" i="3"/>
  <c r="L99" i="3"/>
  <c r="M99" i="3"/>
  <c r="N99" i="3"/>
  <c r="O99" i="3"/>
  <c r="K99" i="3"/>
  <c r="K98" i="3"/>
  <c r="K97" i="3"/>
  <c r="K96" i="3"/>
  <c r="H758" i="10"/>
  <c r="G758" i="10"/>
  <c r="F758" i="10"/>
  <c r="W99" i="3" s="1"/>
  <c r="E758" i="10"/>
  <c r="V99" i="3" s="1"/>
  <c r="D758" i="10"/>
  <c r="U99" i="3" s="1"/>
  <c r="H746" i="10"/>
  <c r="Y98" i="3" s="1"/>
  <c r="G746" i="10"/>
  <c r="F746" i="10"/>
  <c r="E746" i="10"/>
  <c r="V98" i="3" s="1"/>
  <c r="D746" i="10"/>
  <c r="H734" i="10"/>
  <c r="Y97" i="3" s="1"/>
  <c r="G734" i="10"/>
  <c r="X97" i="3" s="1"/>
  <c r="F734" i="10"/>
  <c r="E734" i="10"/>
  <c r="D734" i="10"/>
  <c r="U97" i="3" s="1"/>
  <c r="H722" i="10"/>
  <c r="Y96" i="3" s="1"/>
  <c r="G722" i="10"/>
  <c r="X96" i="3" s="1"/>
  <c r="F722" i="10"/>
  <c r="W96" i="3" s="1"/>
  <c r="E722" i="10"/>
  <c r="D722" i="10"/>
  <c r="U96" i="3" s="1"/>
  <c r="AS84" i="3"/>
  <c r="AT84" i="3"/>
  <c r="AU84" i="3"/>
  <c r="AV84" i="3"/>
  <c r="AS85" i="3"/>
  <c r="AT85" i="3"/>
  <c r="AU85" i="3"/>
  <c r="AV85" i="3"/>
  <c r="AS86" i="3"/>
  <c r="AT86" i="3"/>
  <c r="AU86" i="3"/>
  <c r="AV86" i="3"/>
  <c r="AS87" i="3"/>
  <c r="AT87" i="3"/>
  <c r="AU87" i="3"/>
  <c r="AV87" i="3"/>
  <c r="AR87" i="3"/>
  <c r="AR86" i="3"/>
  <c r="AR85" i="3"/>
  <c r="AR84" i="3"/>
  <c r="AN84" i="3"/>
  <c r="AO84" i="3"/>
  <c r="AP84" i="3"/>
  <c r="AQ84" i="3"/>
  <c r="AN85" i="3"/>
  <c r="AO85" i="3"/>
  <c r="AP85" i="3"/>
  <c r="AQ85" i="3"/>
  <c r="AN86" i="3"/>
  <c r="AO86" i="3"/>
  <c r="AP86" i="3"/>
  <c r="AQ86" i="3"/>
  <c r="AN87" i="3"/>
  <c r="AO87" i="3"/>
  <c r="AP87" i="3"/>
  <c r="AQ87" i="3"/>
  <c r="AM87" i="3"/>
  <c r="AM86" i="3"/>
  <c r="AM85" i="3"/>
  <c r="AM84" i="3"/>
  <c r="AA84" i="3"/>
  <c r="AB84" i="3"/>
  <c r="AC84" i="3"/>
  <c r="AD84" i="3"/>
  <c r="AA85" i="3"/>
  <c r="AB85" i="3"/>
  <c r="AC85" i="3"/>
  <c r="AD85" i="3"/>
  <c r="AA86" i="3"/>
  <c r="AB86" i="3"/>
  <c r="AC86" i="3"/>
  <c r="AD86" i="3"/>
  <c r="AA87" i="3"/>
  <c r="AB87" i="3"/>
  <c r="AC87" i="3"/>
  <c r="AD87" i="3"/>
  <c r="Z87" i="3"/>
  <c r="Z86" i="3"/>
  <c r="Z85" i="3"/>
  <c r="Z84" i="3"/>
  <c r="H705" i="10"/>
  <c r="G705" i="10"/>
  <c r="X87" i="3" s="1"/>
  <c r="F705" i="10"/>
  <c r="W87" i="3" s="1"/>
  <c r="E705" i="10"/>
  <c r="V87" i="3" s="1"/>
  <c r="D705" i="10"/>
  <c r="W84" i="3"/>
  <c r="X84" i="3"/>
  <c r="Y84" i="3"/>
  <c r="V85" i="3"/>
  <c r="W86" i="3"/>
  <c r="Y86" i="3"/>
  <c r="Y87" i="3"/>
  <c r="U87" i="3"/>
  <c r="U86" i="3"/>
  <c r="U85" i="3"/>
  <c r="Q84" i="3"/>
  <c r="R84" i="3"/>
  <c r="S84" i="3"/>
  <c r="T84" i="3"/>
  <c r="Q85" i="3"/>
  <c r="R85" i="3"/>
  <c r="S85" i="3"/>
  <c r="T85" i="3"/>
  <c r="Q86" i="3"/>
  <c r="R86" i="3"/>
  <c r="S86" i="3"/>
  <c r="T86" i="3"/>
  <c r="Q87" i="3"/>
  <c r="R87" i="3"/>
  <c r="S87" i="3"/>
  <c r="T87" i="3"/>
  <c r="P87" i="3"/>
  <c r="P86" i="3"/>
  <c r="P85" i="3"/>
  <c r="P84" i="3"/>
  <c r="L84" i="3"/>
  <c r="M84" i="3"/>
  <c r="N84" i="3"/>
  <c r="O84" i="3"/>
  <c r="L85" i="3"/>
  <c r="M85" i="3"/>
  <c r="N85" i="3"/>
  <c r="O85" i="3"/>
  <c r="L86" i="3"/>
  <c r="M86" i="3"/>
  <c r="N86" i="3"/>
  <c r="O86" i="3"/>
  <c r="L87" i="3"/>
  <c r="M87" i="3"/>
  <c r="N87" i="3"/>
  <c r="O87" i="3"/>
  <c r="K87" i="3"/>
  <c r="K86" i="3"/>
  <c r="K85" i="3"/>
  <c r="K84" i="3"/>
  <c r="H693" i="10"/>
  <c r="G693" i="10"/>
  <c r="X86" i="3" s="1"/>
  <c r="F693" i="10"/>
  <c r="E693" i="10"/>
  <c r="V86" i="3" s="1"/>
  <c r="D693" i="10"/>
  <c r="H681" i="10"/>
  <c r="Y85" i="3" s="1"/>
  <c r="G681" i="10"/>
  <c r="X85" i="3" s="1"/>
  <c r="F681" i="10"/>
  <c r="W85" i="3" s="1"/>
  <c r="E681" i="10"/>
  <c r="D681" i="10"/>
  <c r="H669" i="10"/>
  <c r="G669" i="10"/>
  <c r="F669" i="10"/>
  <c r="E669" i="10"/>
  <c r="V84" i="3" s="1"/>
  <c r="D669" i="10"/>
  <c r="U84" i="3" s="1"/>
  <c r="BB137" i="3" l="1"/>
  <c r="AZ169" i="3"/>
  <c r="AX99" i="3"/>
  <c r="AG96" i="3"/>
  <c r="BB146" i="3"/>
  <c r="BB147" i="3"/>
  <c r="AZ160" i="3"/>
  <c r="AZ137" i="3"/>
  <c r="BB135" i="3"/>
  <c r="BA136" i="3"/>
  <c r="BA137" i="3"/>
  <c r="AZ142" i="3"/>
  <c r="BB136" i="3"/>
  <c r="BA135" i="3"/>
  <c r="AZ135" i="3"/>
  <c r="AZ136" i="3"/>
  <c r="BB142" i="3"/>
  <c r="BA147" i="3"/>
  <c r="BA146" i="3"/>
  <c r="BB159" i="3"/>
  <c r="AZ147" i="3"/>
  <c r="AZ159" i="3"/>
  <c r="AZ161" i="3"/>
  <c r="AZ156" i="3"/>
  <c r="BB156" i="3"/>
  <c r="BA155" i="3"/>
  <c r="BA160" i="3"/>
  <c r="BB161" i="3"/>
  <c r="AF97" i="3"/>
  <c r="BB160" i="3"/>
  <c r="BA159" i="3"/>
  <c r="BA161" i="3"/>
  <c r="AZ168" i="3"/>
  <c r="AX103" i="3"/>
  <c r="AG103" i="3"/>
  <c r="AI98" i="3"/>
  <c r="BB169" i="3"/>
  <c r="AW103" i="3"/>
  <c r="BB104" i="3"/>
  <c r="AF103" i="3"/>
  <c r="AE103" i="3"/>
  <c r="AY103" i="3"/>
  <c r="AH103" i="3"/>
  <c r="AI103" i="3"/>
  <c r="AJ103" i="3"/>
  <c r="BA104" i="3"/>
  <c r="AZ104" i="3"/>
  <c r="AW87" i="3"/>
  <c r="AX85" i="3"/>
  <c r="AH99" i="3"/>
  <c r="AW97" i="3"/>
  <c r="AE99" i="3"/>
  <c r="AY99" i="3"/>
  <c r="AG87" i="3"/>
  <c r="AE97" i="3"/>
  <c r="AW98" i="3"/>
  <c r="AW96" i="3"/>
  <c r="AW99" i="3"/>
  <c r="AH86" i="3"/>
  <c r="AX96" i="3"/>
  <c r="AJ98" i="3"/>
  <c r="BB98" i="3" s="1"/>
  <c r="AH97" i="3"/>
  <c r="AY97" i="3"/>
  <c r="AG97" i="3"/>
  <c r="AY96" i="3"/>
  <c r="AG98" i="3"/>
  <c r="AJ96" i="3"/>
  <c r="AX97" i="3"/>
  <c r="AJ99" i="3"/>
  <c r="AF98" i="3"/>
  <c r="AI99" i="3"/>
  <c r="BA99" i="3" s="1"/>
  <c r="AE98" i="3"/>
  <c r="AF96" i="3"/>
  <c r="AX98" i="3"/>
  <c r="AJ97" i="3"/>
  <c r="AE96" i="3"/>
  <c r="AG99" i="3"/>
  <c r="AI97" i="3"/>
  <c r="AH98" i="3"/>
  <c r="AH96" i="3"/>
  <c r="AF99" i="3"/>
  <c r="AI96" i="3"/>
  <c r="AJ86" i="3"/>
  <c r="AY85" i="3"/>
  <c r="AG84" i="3"/>
  <c r="AE85" i="3"/>
  <c r="AJ87" i="3"/>
  <c r="AJ85" i="3"/>
  <c r="AW86" i="3"/>
  <c r="AF85" i="3"/>
  <c r="AX86" i="3"/>
  <c r="AX84" i="3"/>
  <c r="AG85" i="3"/>
  <c r="AY87" i="3"/>
  <c r="AY86" i="3"/>
  <c r="AY84" i="3"/>
  <c r="AF84" i="3"/>
  <c r="AI87" i="3"/>
  <c r="AG86" i="3"/>
  <c r="AI86" i="3"/>
  <c r="AI84" i="3"/>
  <c r="AX87" i="3"/>
  <c r="AW85" i="3"/>
  <c r="AJ84" i="3"/>
  <c r="AE84" i="3"/>
  <c r="AE86" i="3"/>
  <c r="AW84" i="3"/>
  <c r="AF87" i="3"/>
  <c r="AI85" i="3"/>
  <c r="AE87" i="3"/>
  <c r="AH85" i="3"/>
  <c r="AH84" i="3"/>
  <c r="AH87" i="3"/>
  <c r="AF86" i="3"/>
  <c r="N24" i="3"/>
  <c r="AT7" i="3"/>
  <c r="AS7" i="3"/>
  <c r="AU7" i="3"/>
  <c r="AV7" i="3"/>
  <c r="AZ99" i="3" l="1"/>
  <c r="BB84" i="3"/>
  <c r="AZ85" i="3"/>
  <c r="AZ98" i="3"/>
  <c r="BA103" i="3"/>
  <c r="AZ103" i="3"/>
  <c r="BB103" i="3"/>
  <c r="BA98" i="3"/>
  <c r="AZ97" i="3"/>
  <c r="BB97" i="3"/>
  <c r="AZ96" i="3"/>
  <c r="BA85" i="3"/>
  <c r="BA96" i="3"/>
  <c r="AZ87" i="3"/>
  <c r="BB96" i="3"/>
  <c r="BB99" i="3"/>
  <c r="BA97" i="3"/>
  <c r="AZ86" i="3"/>
  <c r="BB86" i="3"/>
  <c r="BA86" i="3"/>
  <c r="BB85" i="3"/>
  <c r="BB87" i="3"/>
  <c r="BA87" i="3"/>
  <c r="BA84" i="3"/>
  <c r="AZ84" i="3"/>
  <c r="AR174" i="3"/>
  <c r="AN125" i="3"/>
  <c r="AO125" i="3"/>
  <c r="AP125" i="3"/>
  <c r="AQ125" i="3"/>
  <c r="AM125" i="3"/>
  <c r="AM124" i="3"/>
  <c r="AN124" i="3"/>
  <c r="AO124" i="3"/>
  <c r="AP124" i="3"/>
  <c r="AQ124" i="3"/>
  <c r="AS174" i="3"/>
  <c r="AT174" i="3"/>
  <c r="AU174" i="3"/>
  <c r="AV174" i="3"/>
  <c r="AM174" i="3"/>
  <c r="AM173" i="3"/>
  <c r="AS172" i="3"/>
  <c r="AT172" i="3"/>
  <c r="AU172" i="3"/>
  <c r="AV172" i="3"/>
  <c r="AR172" i="3"/>
  <c r="AM172" i="3"/>
  <c r="AS171" i="3"/>
  <c r="AT171" i="3"/>
  <c r="AU171" i="3"/>
  <c r="AV171" i="3"/>
  <c r="AR171" i="3"/>
  <c r="AM171" i="3"/>
  <c r="AS170" i="3"/>
  <c r="AT170" i="3"/>
  <c r="AU170" i="3"/>
  <c r="AV170" i="3"/>
  <c r="AR170" i="3"/>
  <c r="AM170" i="3"/>
  <c r="AS167" i="3"/>
  <c r="AT167" i="3"/>
  <c r="AU167" i="3"/>
  <c r="AV167" i="3"/>
  <c r="AR167" i="3"/>
  <c r="AM167" i="3"/>
  <c r="AS166" i="3"/>
  <c r="AT166" i="3"/>
  <c r="AU166" i="3"/>
  <c r="AV166" i="3"/>
  <c r="AR166" i="3"/>
  <c r="AM166" i="3"/>
  <c r="AS165" i="3"/>
  <c r="AT165" i="3"/>
  <c r="AU165" i="3"/>
  <c r="AV165" i="3"/>
  <c r="AR165" i="3"/>
  <c r="AM165" i="3"/>
  <c r="AS164" i="3"/>
  <c r="AT164" i="3"/>
  <c r="AU164" i="3"/>
  <c r="AV164" i="3"/>
  <c r="AR164" i="3"/>
  <c r="AM164" i="3"/>
  <c r="AS163" i="3"/>
  <c r="AT163" i="3"/>
  <c r="AU163" i="3"/>
  <c r="AV163" i="3"/>
  <c r="AR163" i="3"/>
  <c r="AM163" i="3"/>
  <c r="AS162" i="3"/>
  <c r="AT162" i="3"/>
  <c r="AU162" i="3"/>
  <c r="AV162" i="3"/>
  <c r="AR162" i="3"/>
  <c r="AM162" i="3"/>
  <c r="AS158" i="3"/>
  <c r="AT158" i="3"/>
  <c r="AU158" i="3"/>
  <c r="AV158" i="3"/>
  <c r="AR158" i="3"/>
  <c r="AM158" i="3"/>
  <c r="AS157" i="3"/>
  <c r="AT157" i="3"/>
  <c r="AU157" i="3"/>
  <c r="AV157" i="3"/>
  <c r="AR157" i="3"/>
  <c r="AM157" i="3"/>
  <c r="AS154" i="3"/>
  <c r="AT154" i="3"/>
  <c r="AU154" i="3"/>
  <c r="AV154" i="3"/>
  <c r="AR154" i="3"/>
  <c r="AM154" i="3"/>
  <c r="AS153" i="3"/>
  <c r="AT153" i="3"/>
  <c r="AU153" i="3"/>
  <c r="AV153" i="3"/>
  <c r="AR153" i="3"/>
  <c r="AM153" i="3"/>
  <c r="AS152" i="3"/>
  <c r="AT152" i="3"/>
  <c r="AU152" i="3"/>
  <c r="AV152" i="3"/>
  <c r="AR152" i="3"/>
  <c r="AM152" i="3"/>
  <c r="AS151" i="3"/>
  <c r="AT151" i="3"/>
  <c r="AU151" i="3"/>
  <c r="AV151" i="3"/>
  <c r="AR151" i="3"/>
  <c r="AM151" i="3"/>
  <c r="AS150" i="3"/>
  <c r="AT150" i="3"/>
  <c r="AU150" i="3"/>
  <c r="AV150" i="3"/>
  <c r="AR150" i="3"/>
  <c r="AM150" i="3"/>
  <c r="AS149" i="3"/>
  <c r="AT149" i="3"/>
  <c r="AU149" i="3"/>
  <c r="AV149" i="3"/>
  <c r="AR149" i="3"/>
  <c r="AR145" i="3"/>
  <c r="AS148" i="3"/>
  <c r="AT148" i="3"/>
  <c r="AU148" i="3"/>
  <c r="AV148" i="3"/>
  <c r="AR148" i="3"/>
  <c r="AR144" i="3"/>
  <c r="AS145" i="3"/>
  <c r="AT145" i="3"/>
  <c r="AU145" i="3"/>
  <c r="AV145" i="3"/>
  <c r="AM145" i="3"/>
  <c r="AM149" i="3" s="1"/>
  <c r="AS144" i="3"/>
  <c r="AT144" i="3"/>
  <c r="AU144" i="3"/>
  <c r="AV144" i="3"/>
  <c r="AM144" i="3"/>
  <c r="AM148" i="3" s="1"/>
  <c r="AS143" i="3"/>
  <c r="AT143" i="3"/>
  <c r="AU143" i="3"/>
  <c r="AV143" i="3"/>
  <c r="AR143" i="3"/>
  <c r="AM143" i="3"/>
  <c r="AU141" i="3"/>
  <c r="AV141" i="3"/>
  <c r="AT141" i="3"/>
  <c r="AO141" i="3"/>
  <c r="AM141" i="3"/>
  <c r="AS140" i="3"/>
  <c r="AT140" i="3"/>
  <c r="AU140" i="3"/>
  <c r="AV140" i="3"/>
  <c r="AR140" i="3"/>
  <c r="AM140" i="3"/>
  <c r="AS139" i="3"/>
  <c r="AT139" i="3"/>
  <c r="AU139" i="3"/>
  <c r="AV139" i="3"/>
  <c r="AR139" i="3"/>
  <c r="AM139" i="3"/>
  <c r="AS134" i="3"/>
  <c r="AT134" i="3"/>
  <c r="AU134" i="3"/>
  <c r="AV134" i="3"/>
  <c r="AR134" i="3"/>
  <c r="AM134" i="3"/>
  <c r="AS133" i="3"/>
  <c r="AT133" i="3"/>
  <c r="AU133" i="3"/>
  <c r="AV133" i="3"/>
  <c r="AR133" i="3"/>
  <c r="AM133" i="3"/>
  <c r="AS132" i="3"/>
  <c r="AT132" i="3"/>
  <c r="AU132" i="3"/>
  <c r="AV132" i="3"/>
  <c r="AR132" i="3"/>
  <c r="AM132" i="3"/>
  <c r="AS131" i="3"/>
  <c r="AT131" i="3"/>
  <c r="AU131" i="3"/>
  <c r="AV131" i="3"/>
  <c r="AR131" i="3"/>
  <c r="AM131" i="3"/>
  <c r="AS130" i="3"/>
  <c r="AT130" i="3"/>
  <c r="AU130" i="3"/>
  <c r="AV130" i="3"/>
  <c r="AR130" i="3"/>
  <c r="AM130" i="3"/>
  <c r="AS129" i="3"/>
  <c r="AT129" i="3"/>
  <c r="AU129" i="3"/>
  <c r="AV129" i="3"/>
  <c r="AR129" i="3"/>
  <c r="AM129" i="3"/>
  <c r="AS128" i="3"/>
  <c r="AT128" i="3"/>
  <c r="AU128" i="3"/>
  <c r="AV128" i="3"/>
  <c r="AR128" i="3"/>
  <c r="AM128" i="3"/>
  <c r="AS123" i="3"/>
  <c r="AT123" i="3"/>
  <c r="AU123" i="3"/>
  <c r="AV123" i="3"/>
  <c r="AR123" i="3"/>
  <c r="AM123" i="3"/>
  <c r="AS122" i="3"/>
  <c r="AT122" i="3"/>
  <c r="AU122" i="3"/>
  <c r="AV122" i="3"/>
  <c r="AR122" i="3"/>
  <c r="AM122" i="3"/>
  <c r="AS121" i="3"/>
  <c r="AT121" i="3"/>
  <c r="AU121" i="3"/>
  <c r="AV121" i="3"/>
  <c r="AR121" i="3"/>
  <c r="AM121" i="3"/>
  <c r="AS116" i="3"/>
  <c r="AT116" i="3"/>
  <c r="AU116" i="3"/>
  <c r="AV116" i="3"/>
  <c r="AR116" i="3"/>
  <c r="AM116" i="3"/>
  <c r="AS115" i="3"/>
  <c r="AT115" i="3"/>
  <c r="AU115" i="3"/>
  <c r="AV115" i="3"/>
  <c r="AR115" i="3"/>
  <c r="AM115" i="3"/>
  <c r="AS119" i="3"/>
  <c r="AT119" i="3"/>
  <c r="AU119" i="3"/>
  <c r="AV119" i="3"/>
  <c r="AS120" i="3"/>
  <c r="AT120" i="3"/>
  <c r="AU120" i="3"/>
  <c r="AV120" i="3"/>
  <c r="AS124" i="3"/>
  <c r="AT124" i="3"/>
  <c r="AU124" i="3"/>
  <c r="AV124" i="3"/>
  <c r="AS125" i="3"/>
  <c r="AT125" i="3"/>
  <c r="AU125" i="3"/>
  <c r="AV125" i="3"/>
  <c r="AS141" i="3"/>
  <c r="AS173" i="3"/>
  <c r="AT173" i="3"/>
  <c r="AU173" i="3"/>
  <c r="AV173" i="3"/>
  <c r="AR119" i="3"/>
  <c r="AR120" i="3"/>
  <c r="AR124" i="3"/>
  <c r="AR125" i="3"/>
  <c r="AR141" i="3"/>
  <c r="AR173" i="3"/>
  <c r="AN174" i="3"/>
  <c r="AO174" i="3"/>
  <c r="AP174" i="3"/>
  <c r="AQ174" i="3"/>
  <c r="AA174" i="3"/>
  <c r="AB174" i="3"/>
  <c r="AC174" i="3"/>
  <c r="AD174" i="3"/>
  <c r="Z174" i="3"/>
  <c r="V174" i="3"/>
  <c r="W174" i="3"/>
  <c r="X174" i="3"/>
  <c r="Y174" i="3"/>
  <c r="U174" i="3"/>
  <c r="Q174" i="3"/>
  <c r="R174" i="3"/>
  <c r="S174" i="3"/>
  <c r="T174" i="3"/>
  <c r="P174" i="3"/>
  <c r="K174" i="3"/>
  <c r="L174" i="3"/>
  <c r="M174" i="3"/>
  <c r="N174" i="3"/>
  <c r="O174" i="3"/>
  <c r="AN170" i="3"/>
  <c r="AO170" i="3"/>
  <c r="AP170" i="3"/>
  <c r="AQ170" i="3"/>
  <c r="AN171" i="3"/>
  <c r="AO171" i="3"/>
  <c r="AP171" i="3"/>
  <c r="AQ171" i="3"/>
  <c r="AN172" i="3"/>
  <c r="AO172" i="3"/>
  <c r="AP172" i="3"/>
  <c r="AQ172" i="3"/>
  <c r="AA170" i="3"/>
  <c r="AB170" i="3"/>
  <c r="AC170" i="3"/>
  <c r="AD170" i="3"/>
  <c r="AA171" i="3"/>
  <c r="AB171" i="3"/>
  <c r="AC171" i="3"/>
  <c r="AD171" i="3"/>
  <c r="AA172" i="3"/>
  <c r="AB172" i="3"/>
  <c r="AC172" i="3"/>
  <c r="AD172" i="3"/>
  <c r="Z172" i="3"/>
  <c r="Z171" i="3"/>
  <c r="Z170" i="3"/>
  <c r="V170" i="3"/>
  <c r="W170" i="3"/>
  <c r="X170" i="3"/>
  <c r="Y170" i="3"/>
  <c r="V171" i="3"/>
  <c r="W171" i="3"/>
  <c r="X171" i="3"/>
  <c r="Y171" i="3"/>
  <c r="V172" i="3"/>
  <c r="W172" i="3"/>
  <c r="X172" i="3"/>
  <c r="Y172" i="3"/>
  <c r="U172" i="3"/>
  <c r="U171" i="3"/>
  <c r="U170" i="3"/>
  <c r="Q170" i="3"/>
  <c r="R170" i="3"/>
  <c r="S170" i="3"/>
  <c r="T170" i="3"/>
  <c r="Q171" i="3"/>
  <c r="R171" i="3"/>
  <c r="AY171" i="3" s="1"/>
  <c r="S171" i="3"/>
  <c r="T171" i="3"/>
  <c r="Q172" i="3"/>
  <c r="R172" i="3"/>
  <c r="S172" i="3"/>
  <c r="T172" i="3"/>
  <c r="P172" i="3"/>
  <c r="P171" i="3"/>
  <c r="P170" i="3"/>
  <c r="L170" i="3"/>
  <c r="M170" i="3"/>
  <c r="N170" i="3"/>
  <c r="O170" i="3"/>
  <c r="L171" i="3"/>
  <c r="M171" i="3"/>
  <c r="N171" i="3"/>
  <c r="O171" i="3"/>
  <c r="L172" i="3"/>
  <c r="M172" i="3"/>
  <c r="N172" i="3"/>
  <c r="O172" i="3"/>
  <c r="K172" i="3"/>
  <c r="K171" i="3"/>
  <c r="AN167" i="3"/>
  <c r="AO167" i="3"/>
  <c r="AP167" i="3"/>
  <c r="AQ167" i="3"/>
  <c r="AA167" i="3"/>
  <c r="AB167" i="3"/>
  <c r="AC167" i="3"/>
  <c r="AD167" i="3"/>
  <c r="Z167" i="3"/>
  <c r="V167" i="3"/>
  <c r="W167" i="3"/>
  <c r="X167" i="3"/>
  <c r="Y167" i="3"/>
  <c r="U167" i="3"/>
  <c r="Q167" i="3"/>
  <c r="R167" i="3"/>
  <c r="S167" i="3"/>
  <c r="T167" i="3"/>
  <c r="P167" i="3"/>
  <c r="L167" i="3"/>
  <c r="M167" i="3"/>
  <c r="N167" i="3"/>
  <c r="O167" i="3"/>
  <c r="K167" i="3"/>
  <c r="K164" i="3"/>
  <c r="AA165" i="3"/>
  <c r="AB165" i="3"/>
  <c r="AC165" i="3"/>
  <c r="AD165" i="3"/>
  <c r="AA166" i="3"/>
  <c r="AB166" i="3"/>
  <c r="AC166" i="3"/>
  <c r="AD166" i="3"/>
  <c r="Z166" i="3"/>
  <c r="Z165" i="3"/>
  <c r="V165" i="3"/>
  <c r="W165" i="3"/>
  <c r="X165" i="3"/>
  <c r="Y165" i="3"/>
  <c r="V166" i="3"/>
  <c r="W166" i="3"/>
  <c r="X166" i="3"/>
  <c r="Y166" i="3"/>
  <c r="U166" i="3"/>
  <c r="U165" i="3"/>
  <c r="Q165" i="3"/>
  <c r="R165" i="3"/>
  <c r="S165" i="3"/>
  <c r="T165" i="3"/>
  <c r="Q166" i="3"/>
  <c r="R166" i="3"/>
  <c r="S166" i="3"/>
  <c r="T166" i="3"/>
  <c r="P166" i="3"/>
  <c r="P165" i="3"/>
  <c r="L165" i="3"/>
  <c r="M165" i="3"/>
  <c r="N165" i="3"/>
  <c r="O165" i="3"/>
  <c r="L166" i="3"/>
  <c r="M166" i="3"/>
  <c r="N166" i="3"/>
  <c r="O166" i="3"/>
  <c r="K166" i="3"/>
  <c r="K165" i="3"/>
  <c r="AN165" i="3"/>
  <c r="AO165" i="3"/>
  <c r="AP165" i="3"/>
  <c r="AQ165" i="3"/>
  <c r="AN166" i="3"/>
  <c r="AO166" i="3"/>
  <c r="AP166" i="3"/>
  <c r="AQ166" i="3"/>
  <c r="AN157" i="3"/>
  <c r="AO157" i="3"/>
  <c r="AP157" i="3"/>
  <c r="AQ157" i="3"/>
  <c r="AN158" i="3"/>
  <c r="AO158" i="3"/>
  <c r="AP158" i="3"/>
  <c r="AQ158" i="3"/>
  <c r="AN162" i="3"/>
  <c r="AO162" i="3"/>
  <c r="AP162" i="3"/>
  <c r="AQ162" i="3"/>
  <c r="AN163" i="3"/>
  <c r="AO163" i="3"/>
  <c r="AP163" i="3"/>
  <c r="AQ163" i="3"/>
  <c r="AN164" i="3"/>
  <c r="AO164" i="3"/>
  <c r="AP164" i="3"/>
  <c r="AQ164" i="3"/>
  <c r="AA157" i="3"/>
  <c r="AB157" i="3"/>
  <c r="AC157" i="3"/>
  <c r="AD157" i="3"/>
  <c r="AA158" i="3"/>
  <c r="AB158" i="3"/>
  <c r="AC158" i="3"/>
  <c r="AD158" i="3"/>
  <c r="AA162" i="3"/>
  <c r="AB162" i="3"/>
  <c r="AC162" i="3"/>
  <c r="AD162" i="3"/>
  <c r="AA163" i="3"/>
  <c r="AB163" i="3"/>
  <c r="AC163" i="3"/>
  <c r="AD163" i="3"/>
  <c r="AA164" i="3"/>
  <c r="AB164" i="3"/>
  <c r="AC164" i="3"/>
  <c r="AD164" i="3"/>
  <c r="Z164" i="3"/>
  <c r="Z163" i="3"/>
  <c r="Z162" i="3"/>
  <c r="Z158" i="3"/>
  <c r="Z157" i="3"/>
  <c r="V157" i="3"/>
  <c r="W157" i="3"/>
  <c r="X157" i="3"/>
  <c r="Y157" i="3"/>
  <c r="V158" i="3"/>
  <c r="W158" i="3"/>
  <c r="X158" i="3"/>
  <c r="Y158" i="3"/>
  <c r="V162" i="3"/>
  <c r="W162" i="3"/>
  <c r="X162" i="3"/>
  <c r="Y162" i="3"/>
  <c r="V163" i="3"/>
  <c r="W163" i="3"/>
  <c r="X163" i="3"/>
  <c r="Y163" i="3"/>
  <c r="V164" i="3"/>
  <c r="W164" i="3"/>
  <c r="X164" i="3"/>
  <c r="Y164" i="3"/>
  <c r="U164" i="3"/>
  <c r="U163" i="3"/>
  <c r="U162" i="3"/>
  <c r="U158" i="3"/>
  <c r="U157" i="3"/>
  <c r="Q157" i="3"/>
  <c r="R157" i="3"/>
  <c r="S157" i="3"/>
  <c r="T157" i="3"/>
  <c r="Q158" i="3"/>
  <c r="R158" i="3"/>
  <c r="S158" i="3"/>
  <c r="T158" i="3"/>
  <c r="Q162" i="3"/>
  <c r="R162" i="3"/>
  <c r="S162" i="3"/>
  <c r="T162" i="3"/>
  <c r="Q163" i="3"/>
  <c r="R163" i="3"/>
  <c r="S163" i="3"/>
  <c r="T163" i="3"/>
  <c r="Q164" i="3"/>
  <c r="R164" i="3"/>
  <c r="S164" i="3"/>
  <c r="T164" i="3"/>
  <c r="P164" i="3"/>
  <c r="P163" i="3"/>
  <c r="P162" i="3"/>
  <c r="P158" i="3"/>
  <c r="P157" i="3"/>
  <c r="L157" i="3"/>
  <c r="M157" i="3"/>
  <c r="N157" i="3"/>
  <c r="O157" i="3"/>
  <c r="L158" i="3"/>
  <c r="M158" i="3"/>
  <c r="N158" i="3"/>
  <c r="O158" i="3"/>
  <c r="L162" i="3"/>
  <c r="M162" i="3"/>
  <c r="N162" i="3"/>
  <c r="O162" i="3"/>
  <c r="L163" i="3"/>
  <c r="M163" i="3"/>
  <c r="N163" i="3"/>
  <c r="O163" i="3"/>
  <c r="L164" i="3"/>
  <c r="M164" i="3"/>
  <c r="N164" i="3"/>
  <c r="O164" i="3"/>
  <c r="K163" i="3"/>
  <c r="K158" i="3"/>
  <c r="AN152" i="3"/>
  <c r="AO152" i="3"/>
  <c r="AP152" i="3"/>
  <c r="AQ152" i="3"/>
  <c r="AN153" i="3"/>
  <c r="AO153" i="3"/>
  <c r="AP153" i="3"/>
  <c r="AQ153" i="3"/>
  <c r="AN154" i="3"/>
  <c r="AO154" i="3"/>
  <c r="AP154" i="3"/>
  <c r="AQ154" i="3"/>
  <c r="AA152" i="3"/>
  <c r="AB152" i="3"/>
  <c r="AC152" i="3"/>
  <c r="AD152" i="3"/>
  <c r="AA153" i="3"/>
  <c r="AB153" i="3"/>
  <c r="AC153" i="3"/>
  <c r="AD153" i="3"/>
  <c r="AA154" i="3"/>
  <c r="AB154" i="3"/>
  <c r="AC154" i="3"/>
  <c r="AD154" i="3"/>
  <c r="Z154" i="3"/>
  <c r="Z153" i="3"/>
  <c r="Z152" i="3"/>
  <c r="V152" i="3"/>
  <c r="W152" i="3"/>
  <c r="X152" i="3"/>
  <c r="Y152" i="3"/>
  <c r="V153" i="3"/>
  <c r="W153" i="3"/>
  <c r="X153" i="3"/>
  <c r="Y153" i="3"/>
  <c r="V154" i="3"/>
  <c r="W154" i="3"/>
  <c r="X154" i="3"/>
  <c r="Y154" i="3"/>
  <c r="U154" i="3"/>
  <c r="U153" i="3"/>
  <c r="U152" i="3"/>
  <c r="Q152" i="3"/>
  <c r="R152" i="3"/>
  <c r="S152" i="3"/>
  <c r="T152" i="3"/>
  <c r="Q153" i="3"/>
  <c r="R153" i="3"/>
  <c r="S153" i="3"/>
  <c r="T153" i="3"/>
  <c r="Q154" i="3"/>
  <c r="R154" i="3"/>
  <c r="S154" i="3"/>
  <c r="T154" i="3"/>
  <c r="P154" i="3"/>
  <c r="P153" i="3"/>
  <c r="P152" i="3"/>
  <c r="L152" i="3"/>
  <c r="M152" i="3"/>
  <c r="N152" i="3"/>
  <c r="O152" i="3"/>
  <c r="L153" i="3"/>
  <c r="M153" i="3"/>
  <c r="N153" i="3"/>
  <c r="O153" i="3"/>
  <c r="L154" i="3"/>
  <c r="M154" i="3"/>
  <c r="N154" i="3"/>
  <c r="O154" i="3"/>
  <c r="K154" i="3"/>
  <c r="K153" i="3"/>
  <c r="K152" i="3"/>
  <c r="AN150" i="3"/>
  <c r="AO150" i="3"/>
  <c r="AP150" i="3"/>
  <c r="AQ150" i="3"/>
  <c r="AN151" i="3"/>
  <c r="AO151" i="3"/>
  <c r="AP151" i="3"/>
  <c r="AQ151" i="3"/>
  <c r="AA150" i="3"/>
  <c r="AB150" i="3"/>
  <c r="AC150" i="3"/>
  <c r="AD150" i="3"/>
  <c r="AA151" i="3"/>
  <c r="AB151" i="3"/>
  <c r="AC151" i="3"/>
  <c r="AD151" i="3"/>
  <c r="Z151" i="3"/>
  <c r="Z150" i="3"/>
  <c r="V150" i="3"/>
  <c r="W150" i="3"/>
  <c r="X150" i="3"/>
  <c r="Y150" i="3"/>
  <c r="V151" i="3"/>
  <c r="W151" i="3"/>
  <c r="X151" i="3"/>
  <c r="Y151" i="3"/>
  <c r="U151" i="3"/>
  <c r="U150" i="3"/>
  <c r="Q150" i="3"/>
  <c r="R150" i="3"/>
  <c r="S150" i="3"/>
  <c r="T150" i="3"/>
  <c r="Q151" i="3"/>
  <c r="R151" i="3"/>
  <c r="S151" i="3"/>
  <c r="T151" i="3"/>
  <c r="P151" i="3"/>
  <c r="P150" i="3"/>
  <c r="L150" i="3"/>
  <c r="M150" i="3"/>
  <c r="N150" i="3"/>
  <c r="O150" i="3"/>
  <c r="L151" i="3"/>
  <c r="M151" i="3"/>
  <c r="N151" i="3"/>
  <c r="O151" i="3"/>
  <c r="K151" i="3"/>
  <c r="K150" i="3"/>
  <c r="AN143" i="3"/>
  <c r="AO143" i="3"/>
  <c r="AP143" i="3"/>
  <c r="AQ143" i="3"/>
  <c r="AN144" i="3"/>
  <c r="AN148" i="3" s="1"/>
  <c r="AO144" i="3"/>
  <c r="AO148" i="3" s="1"/>
  <c r="AP144" i="3"/>
  <c r="AP148" i="3" s="1"/>
  <c r="AQ144" i="3"/>
  <c r="AQ148" i="3" s="1"/>
  <c r="AN145" i="3"/>
  <c r="AN149" i="3" s="1"/>
  <c r="AO145" i="3"/>
  <c r="AO149" i="3" s="1"/>
  <c r="AP145" i="3"/>
  <c r="AP149" i="3" s="1"/>
  <c r="AQ145" i="3"/>
  <c r="AQ149" i="3" s="1"/>
  <c r="AA143" i="3"/>
  <c r="AB143" i="3"/>
  <c r="AC143" i="3"/>
  <c r="AD143" i="3"/>
  <c r="AA144" i="3"/>
  <c r="AA148" i="3" s="1"/>
  <c r="AB144" i="3"/>
  <c r="AB148" i="3" s="1"/>
  <c r="AC144" i="3"/>
  <c r="AC148" i="3" s="1"/>
  <c r="AD144" i="3"/>
  <c r="AD148" i="3" s="1"/>
  <c r="AA145" i="3"/>
  <c r="AB145" i="3"/>
  <c r="AB149" i="3" s="1"/>
  <c r="AC145" i="3"/>
  <c r="AC149" i="3" s="1"/>
  <c r="AD145" i="3"/>
  <c r="AD149" i="3" s="1"/>
  <c r="Z145" i="3"/>
  <c r="Z144" i="3"/>
  <c r="Z148" i="3" s="1"/>
  <c r="Z143" i="3"/>
  <c r="V143" i="3"/>
  <c r="W143" i="3"/>
  <c r="X143" i="3"/>
  <c r="Y143" i="3"/>
  <c r="V144" i="3"/>
  <c r="V148" i="3" s="1"/>
  <c r="W144" i="3"/>
  <c r="W148" i="3" s="1"/>
  <c r="X144" i="3"/>
  <c r="Y144" i="3"/>
  <c r="V145" i="3"/>
  <c r="V149" i="3" s="1"/>
  <c r="W145" i="3"/>
  <c r="X145" i="3"/>
  <c r="Y145" i="3"/>
  <c r="U145" i="3"/>
  <c r="U149" i="3" s="1"/>
  <c r="U144" i="3"/>
  <c r="U143" i="3"/>
  <c r="Q143" i="3"/>
  <c r="R143" i="3"/>
  <c r="S143" i="3"/>
  <c r="T143" i="3"/>
  <c r="Q144" i="3"/>
  <c r="Q148" i="3" s="1"/>
  <c r="R144" i="3"/>
  <c r="S144" i="3"/>
  <c r="T144" i="3"/>
  <c r="Q145" i="3"/>
  <c r="R145" i="3"/>
  <c r="S145" i="3"/>
  <c r="T145" i="3"/>
  <c r="P145" i="3"/>
  <c r="P149" i="3" s="1"/>
  <c r="P144" i="3"/>
  <c r="P143" i="3"/>
  <c r="L143" i="3"/>
  <c r="M143" i="3"/>
  <c r="N143" i="3"/>
  <c r="O143" i="3"/>
  <c r="L144" i="3"/>
  <c r="L148" i="3" s="1"/>
  <c r="M144" i="3"/>
  <c r="N144" i="3"/>
  <c r="N148" i="3" s="1"/>
  <c r="O144" i="3"/>
  <c r="O148" i="3" s="1"/>
  <c r="L145" i="3"/>
  <c r="M145" i="3"/>
  <c r="N145" i="3"/>
  <c r="O145" i="3"/>
  <c r="O149" i="3" s="1"/>
  <c r="K145" i="3"/>
  <c r="K143" i="3"/>
  <c r="AP141" i="3"/>
  <c r="AQ141" i="3"/>
  <c r="AC141" i="3"/>
  <c r="AD141" i="3"/>
  <c r="AB141" i="3"/>
  <c r="X141" i="3"/>
  <c r="Y141" i="3"/>
  <c r="W141" i="3"/>
  <c r="S141" i="3"/>
  <c r="T141" i="3"/>
  <c r="R141" i="3"/>
  <c r="N141" i="3"/>
  <c r="O141" i="3"/>
  <c r="M141" i="3"/>
  <c r="AN139" i="3"/>
  <c r="AO139" i="3"/>
  <c r="AP139" i="3"/>
  <c r="AQ139" i="3"/>
  <c r="AN140" i="3"/>
  <c r="AO140" i="3"/>
  <c r="AP140" i="3"/>
  <c r="AQ140" i="3"/>
  <c r="AA139" i="3"/>
  <c r="AB139" i="3"/>
  <c r="AC139" i="3"/>
  <c r="AD139" i="3"/>
  <c r="AA140" i="3"/>
  <c r="AB140" i="3"/>
  <c r="AC140" i="3"/>
  <c r="AD140" i="3"/>
  <c r="Z140" i="3"/>
  <c r="Z139" i="3"/>
  <c r="V139" i="3"/>
  <c r="W139" i="3"/>
  <c r="X139" i="3"/>
  <c r="Y139" i="3"/>
  <c r="V140" i="3"/>
  <c r="W140" i="3"/>
  <c r="X140" i="3"/>
  <c r="Y140" i="3"/>
  <c r="U140" i="3"/>
  <c r="U139" i="3"/>
  <c r="Q139" i="3"/>
  <c r="R139" i="3"/>
  <c r="S139" i="3"/>
  <c r="T139" i="3"/>
  <c r="Q140" i="3"/>
  <c r="R140" i="3"/>
  <c r="S140" i="3"/>
  <c r="T140" i="3"/>
  <c r="P140" i="3"/>
  <c r="P139" i="3"/>
  <c r="L139" i="3"/>
  <c r="M139" i="3"/>
  <c r="N139" i="3"/>
  <c r="O139" i="3"/>
  <c r="L140" i="3"/>
  <c r="M140" i="3"/>
  <c r="N140" i="3"/>
  <c r="O140" i="3"/>
  <c r="K140" i="3"/>
  <c r="AN131" i="3"/>
  <c r="AO131" i="3"/>
  <c r="AP131" i="3"/>
  <c r="AQ131" i="3"/>
  <c r="AN132" i="3"/>
  <c r="AO132" i="3"/>
  <c r="AP132" i="3"/>
  <c r="AQ132" i="3"/>
  <c r="AN133" i="3"/>
  <c r="AO133" i="3"/>
  <c r="AP133" i="3"/>
  <c r="AQ133" i="3"/>
  <c r="AN134" i="3"/>
  <c r="AO134" i="3"/>
  <c r="AP134" i="3"/>
  <c r="AQ134" i="3"/>
  <c r="AA131" i="3"/>
  <c r="AB131" i="3"/>
  <c r="AC131" i="3"/>
  <c r="AD131" i="3"/>
  <c r="AA132" i="3"/>
  <c r="AB132" i="3"/>
  <c r="AC132" i="3"/>
  <c r="AD132" i="3"/>
  <c r="AA133" i="3"/>
  <c r="AB133" i="3"/>
  <c r="AC133" i="3"/>
  <c r="AD133" i="3"/>
  <c r="AA134" i="3"/>
  <c r="AB134" i="3"/>
  <c r="AC134" i="3"/>
  <c r="AD134" i="3"/>
  <c r="Z134" i="3"/>
  <c r="Z133" i="3"/>
  <c r="Z132" i="3"/>
  <c r="Z131" i="3"/>
  <c r="V131" i="3"/>
  <c r="W131" i="3"/>
  <c r="X131" i="3"/>
  <c r="Y131" i="3"/>
  <c r="V132" i="3"/>
  <c r="W132" i="3"/>
  <c r="X132" i="3"/>
  <c r="Y132" i="3"/>
  <c r="V133" i="3"/>
  <c r="W133" i="3"/>
  <c r="X133" i="3"/>
  <c r="Y133" i="3"/>
  <c r="V134" i="3"/>
  <c r="W134" i="3"/>
  <c r="X134" i="3"/>
  <c r="Y134" i="3"/>
  <c r="U134" i="3"/>
  <c r="U133" i="3"/>
  <c r="U132" i="3"/>
  <c r="U131" i="3"/>
  <c r="Q131" i="3"/>
  <c r="R131" i="3"/>
  <c r="S131" i="3"/>
  <c r="T131" i="3"/>
  <c r="Q132" i="3"/>
  <c r="R132" i="3"/>
  <c r="S132" i="3"/>
  <c r="T132" i="3"/>
  <c r="Q133" i="3"/>
  <c r="R133" i="3"/>
  <c r="S133" i="3"/>
  <c r="T133" i="3"/>
  <c r="Q134" i="3"/>
  <c r="R134" i="3"/>
  <c r="S134" i="3"/>
  <c r="T134" i="3"/>
  <c r="P134" i="3"/>
  <c r="P133" i="3"/>
  <c r="P132" i="3"/>
  <c r="P131" i="3"/>
  <c r="L131" i="3"/>
  <c r="M131" i="3"/>
  <c r="N131" i="3"/>
  <c r="O131" i="3"/>
  <c r="L132" i="3"/>
  <c r="M132" i="3"/>
  <c r="N132" i="3"/>
  <c r="O132" i="3"/>
  <c r="L133" i="3"/>
  <c r="M133" i="3"/>
  <c r="N133" i="3"/>
  <c r="O133" i="3"/>
  <c r="L134" i="3"/>
  <c r="M134" i="3"/>
  <c r="N134" i="3"/>
  <c r="O134" i="3"/>
  <c r="K134" i="3"/>
  <c r="K133" i="3"/>
  <c r="K132" i="3"/>
  <c r="K131" i="3"/>
  <c r="M111" i="10"/>
  <c r="AN130" i="3"/>
  <c r="AO130" i="3"/>
  <c r="AP130" i="3"/>
  <c r="AQ130" i="3"/>
  <c r="AA130" i="3"/>
  <c r="AB130" i="3"/>
  <c r="AC130" i="3"/>
  <c r="AD130" i="3"/>
  <c r="Z130" i="3"/>
  <c r="V130" i="3"/>
  <c r="W130" i="3"/>
  <c r="X130" i="3"/>
  <c r="Y130" i="3"/>
  <c r="U130" i="3"/>
  <c r="Q130" i="3"/>
  <c r="R130" i="3"/>
  <c r="S130" i="3"/>
  <c r="T130" i="3"/>
  <c r="P130" i="3"/>
  <c r="L130" i="3"/>
  <c r="M130" i="3"/>
  <c r="N130" i="3"/>
  <c r="O130" i="3"/>
  <c r="K130" i="3"/>
  <c r="AN129" i="3"/>
  <c r="AO129" i="3"/>
  <c r="AP129" i="3"/>
  <c r="AQ129" i="3"/>
  <c r="AA129" i="3"/>
  <c r="AB129" i="3"/>
  <c r="AC129" i="3"/>
  <c r="AD129" i="3"/>
  <c r="Z129" i="3"/>
  <c r="V129" i="3"/>
  <c r="W129" i="3"/>
  <c r="X129" i="3"/>
  <c r="Y129" i="3"/>
  <c r="U129" i="3"/>
  <c r="Q129" i="3"/>
  <c r="R129" i="3"/>
  <c r="S129" i="3"/>
  <c r="T129" i="3"/>
  <c r="P129" i="3"/>
  <c r="L129" i="3"/>
  <c r="M129" i="3"/>
  <c r="N129" i="3"/>
  <c r="O129" i="3"/>
  <c r="K129" i="3"/>
  <c r="AN128" i="3"/>
  <c r="AO128" i="3"/>
  <c r="AP128" i="3"/>
  <c r="AQ128" i="3"/>
  <c r="AA128" i="3"/>
  <c r="AB128" i="3"/>
  <c r="AC128" i="3"/>
  <c r="AD128" i="3"/>
  <c r="Z128" i="3"/>
  <c r="V128" i="3"/>
  <c r="W128" i="3"/>
  <c r="X128" i="3"/>
  <c r="Y128" i="3"/>
  <c r="U128" i="3"/>
  <c r="Q128" i="3"/>
  <c r="R128" i="3"/>
  <c r="S128" i="3"/>
  <c r="T128" i="3"/>
  <c r="P128" i="3"/>
  <c r="L128" i="3"/>
  <c r="M128" i="3"/>
  <c r="N128" i="3"/>
  <c r="O128" i="3"/>
  <c r="AN123" i="3"/>
  <c r="AO123" i="3"/>
  <c r="AP123" i="3"/>
  <c r="AQ123" i="3"/>
  <c r="AA123" i="3"/>
  <c r="AB123" i="3"/>
  <c r="AC123" i="3"/>
  <c r="AD123" i="3"/>
  <c r="Z123" i="3"/>
  <c r="V123" i="3"/>
  <c r="W123" i="3"/>
  <c r="X123" i="3"/>
  <c r="Y123" i="3"/>
  <c r="U123" i="3"/>
  <c r="Q123" i="3"/>
  <c r="R123" i="3"/>
  <c r="S123" i="3"/>
  <c r="T123" i="3"/>
  <c r="P123" i="3"/>
  <c r="K123" i="3"/>
  <c r="L123" i="3"/>
  <c r="M123" i="3"/>
  <c r="N123" i="3"/>
  <c r="O123" i="3"/>
  <c r="AN122" i="3"/>
  <c r="AO122" i="3"/>
  <c r="AP122" i="3"/>
  <c r="AQ122" i="3"/>
  <c r="AA122" i="3"/>
  <c r="AB122" i="3"/>
  <c r="AC122" i="3"/>
  <c r="AD122" i="3"/>
  <c r="V122" i="3"/>
  <c r="W122" i="3"/>
  <c r="X122" i="3"/>
  <c r="Y122" i="3"/>
  <c r="Q122" i="3"/>
  <c r="R122" i="3"/>
  <c r="S122" i="3"/>
  <c r="T122" i="3"/>
  <c r="L122" i="3"/>
  <c r="M122" i="3"/>
  <c r="N122" i="3"/>
  <c r="O122" i="3"/>
  <c r="Z122" i="3"/>
  <c r="U122" i="3"/>
  <c r="P122" i="3"/>
  <c r="K122" i="3"/>
  <c r="AN121" i="3"/>
  <c r="AO121" i="3"/>
  <c r="AP121" i="3"/>
  <c r="AQ121" i="3"/>
  <c r="AA121" i="3"/>
  <c r="AB121" i="3"/>
  <c r="AC121" i="3"/>
  <c r="AD121" i="3"/>
  <c r="Z121" i="3"/>
  <c r="V121" i="3"/>
  <c r="W121" i="3"/>
  <c r="X121" i="3"/>
  <c r="Y121" i="3"/>
  <c r="U121" i="3"/>
  <c r="Q121" i="3"/>
  <c r="R121" i="3"/>
  <c r="S121" i="3"/>
  <c r="T121" i="3"/>
  <c r="P121" i="3"/>
  <c r="K121" i="3"/>
  <c r="L121" i="3"/>
  <c r="M121" i="3"/>
  <c r="N121" i="3"/>
  <c r="O121" i="3"/>
  <c r="AQ116" i="3"/>
  <c r="AP116" i="3"/>
  <c r="AO116" i="3"/>
  <c r="AN116" i="3"/>
  <c r="AD116" i="3"/>
  <c r="AC116" i="3"/>
  <c r="AB116" i="3"/>
  <c r="AA116" i="3"/>
  <c r="K119" i="3"/>
  <c r="L119" i="3"/>
  <c r="M119" i="3"/>
  <c r="N119" i="3"/>
  <c r="O119" i="3"/>
  <c r="P119" i="3"/>
  <c r="Q119" i="3"/>
  <c r="R119" i="3"/>
  <c r="S119" i="3"/>
  <c r="T119" i="3"/>
  <c r="Z119" i="3"/>
  <c r="AA119" i="3"/>
  <c r="AB119" i="3"/>
  <c r="AC119" i="3"/>
  <c r="AD119" i="3"/>
  <c r="AM119" i="3"/>
  <c r="AN119" i="3"/>
  <c r="AO119" i="3"/>
  <c r="AP119" i="3"/>
  <c r="AQ119" i="3"/>
  <c r="Z116" i="3"/>
  <c r="V116" i="3"/>
  <c r="W116" i="3"/>
  <c r="X116" i="3"/>
  <c r="Y116" i="3"/>
  <c r="U116" i="3"/>
  <c r="Q116" i="3"/>
  <c r="R116" i="3"/>
  <c r="S116" i="3"/>
  <c r="T116" i="3"/>
  <c r="P116" i="3"/>
  <c r="L116" i="3"/>
  <c r="M116" i="3"/>
  <c r="N116" i="3"/>
  <c r="O116" i="3"/>
  <c r="K116" i="3"/>
  <c r="K115" i="3"/>
  <c r="AN115" i="3"/>
  <c r="AO115" i="3"/>
  <c r="AP115" i="3"/>
  <c r="AQ115" i="3"/>
  <c r="AA115" i="3"/>
  <c r="AB115" i="3"/>
  <c r="AC115" i="3"/>
  <c r="AD115" i="3"/>
  <c r="Z115" i="3"/>
  <c r="V115" i="3"/>
  <c r="W115" i="3"/>
  <c r="X115" i="3"/>
  <c r="Y115" i="3"/>
  <c r="U115" i="3"/>
  <c r="Q115" i="3"/>
  <c r="R115" i="3"/>
  <c r="S115" i="3"/>
  <c r="T115" i="3"/>
  <c r="P115" i="3"/>
  <c r="L115" i="3"/>
  <c r="M115" i="3"/>
  <c r="N115" i="3"/>
  <c r="O115" i="3"/>
  <c r="AN173" i="3"/>
  <c r="AO173" i="3"/>
  <c r="AP173" i="3"/>
  <c r="AQ173" i="3"/>
  <c r="AA173" i="3"/>
  <c r="AB173" i="3"/>
  <c r="AC173" i="3"/>
  <c r="AD173" i="3"/>
  <c r="Z173" i="3"/>
  <c r="V173" i="3"/>
  <c r="Q173" i="3"/>
  <c r="R173" i="3"/>
  <c r="S173" i="3"/>
  <c r="T173" i="3"/>
  <c r="P173" i="3"/>
  <c r="L173" i="3"/>
  <c r="M173" i="3"/>
  <c r="N173" i="3"/>
  <c r="O173" i="3"/>
  <c r="K173" i="3"/>
  <c r="AN141" i="3"/>
  <c r="AA141" i="3"/>
  <c r="V141" i="3"/>
  <c r="U141" i="3"/>
  <c r="Z141" i="3"/>
  <c r="Q141" i="3"/>
  <c r="P141" i="3"/>
  <c r="L141" i="3"/>
  <c r="K141" i="3"/>
  <c r="AA125" i="3"/>
  <c r="AB125" i="3"/>
  <c r="AC125" i="3"/>
  <c r="AD125" i="3"/>
  <c r="Z125" i="3"/>
  <c r="Q125" i="3"/>
  <c r="R125" i="3"/>
  <c r="S125" i="3"/>
  <c r="T125" i="3"/>
  <c r="P125" i="3"/>
  <c r="L125" i="3"/>
  <c r="M125" i="3"/>
  <c r="N125" i="3"/>
  <c r="O125" i="3"/>
  <c r="K125" i="3"/>
  <c r="AA124" i="3"/>
  <c r="AB124" i="3"/>
  <c r="AC124" i="3"/>
  <c r="AD124" i="3"/>
  <c r="Z124" i="3"/>
  <c r="U124" i="3"/>
  <c r="Q124" i="3"/>
  <c r="R124" i="3"/>
  <c r="S124" i="3"/>
  <c r="T124" i="3"/>
  <c r="P124" i="3"/>
  <c r="L124" i="3"/>
  <c r="M124" i="3"/>
  <c r="N124" i="3"/>
  <c r="O124" i="3"/>
  <c r="K124" i="3"/>
  <c r="AN120" i="3"/>
  <c r="AO120" i="3"/>
  <c r="AP120" i="3"/>
  <c r="AQ120" i="3"/>
  <c r="AM120" i="3"/>
  <c r="AA120" i="3"/>
  <c r="AB120" i="3"/>
  <c r="AC120" i="3"/>
  <c r="AD120" i="3"/>
  <c r="Z120" i="3"/>
  <c r="Q120" i="3"/>
  <c r="R120" i="3"/>
  <c r="S120" i="3"/>
  <c r="T120" i="3"/>
  <c r="P120" i="3"/>
  <c r="L120" i="3"/>
  <c r="M120" i="3"/>
  <c r="N120" i="3"/>
  <c r="O120" i="3"/>
  <c r="K120" i="3"/>
  <c r="Q645" i="10"/>
  <c r="P645" i="10"/>
  <c r="O645" i="10"/>
  <c r="N645" i="10"/>
  <c r="M645" i="10"/>
  <c r="Q644" i="10"/>
  <c r="P644" i="10"/>
  <c r="O644" i="10"/>
  <c r="N644" i="10"/>
  <c r="M644" i="10"/>
  <c r="Q643" i="10"/>
  <c r="P643" i="10"/>
  <c r="O643" i="10"/>
  <c r="N643" i="10"/>
  <c r="M643" i="10"/>
  <c r="Q642" i="10"/>
  <c r="P642" i="10"/>
  <c r="O642" i="10"/>
  <c r="N642" i="10"/>
  <c r="M642" i="10"/>
  <c r="Q641" i="10"/>
  <c r="P641" i="10"/>
  <c r="O641" i="10"/>
  <c r="N641" i="10"/>
  <c r="M641" i="10"/>
  <c r="Q640" i="10"/>
  <c r="P640" i="10"/>
  <c r="O640" i="10"/>
  <c r="N640" i="10"/>
  <c r="M640" i="10"/>
  <c r="Q639" i="10"/>
  <c r="P639" i="10"/>
  <c r="O639" i="10"/>
  <c r="N639" i="10"/>
  <c r="M639" i="10"/>
  <c r="Q638" i="10"/>
  <c r="P638" i="10"/>
  <c r="O638" i="10"/>
  <c r="N638" i="10"/>
  <c r="M638" i="10"/>
  <c r="Q637" i="10"/>
  <c r="P637" i="10"/>
  <c r="O637" i="10"/>
  <c r="N637" i="10"/>
  <c r="M637" i="10"/>
  <c r="Q636" i="10"/>
  <c r="P636" i="10"/>
  <c r="O636" i="10"/>
  <c r="N636" i="10"/>
  <c r="M636" i="10"/>
  <c r="Q635" i="10"/>
  <c r="P635" i="10"/>
  <c r="O635" i="10"/>
  <c r="N635" i="10"/>
  <c r="M635" i="10"/>
  <c r="Q631" i="10"/>
  <c r="P631" i="10"/>
  <c r="O631" i="10"/>
  <c r="N631" i="10"/>
  <c r="M631" i="10"/>
  <c r="P630" i="10"/>
  <c r="O630" i="10"/>
  <c r="N630" i="10"/>
  <c r="M630" i="10"/>
  <c r="P629" i="10"/>
  <c r="O629" i="10"/>
  <c r="N629" i="10"/>
  <c r="M629" i="10"/>
  <c r="P628" i="10"/>
  <c r="O628" i="10"/>
  <c r="N628" i="10"/>
  <c r="M628" i="10"/>
  <c r="P627" i="10"/>
  <c r="O627" i="10"/>
  <c r="N627" i="10"/>
  <c r="M627" i="10"/>
  <c r="P626" i="10"/>
  <c r="O626" i="10"/>
  <c r="N626" i="10"/>
  <c r="M626" i="10"/>
  <c r="P625" i="10"/>
  <c r="O625" i="10"/>
  <c r="N625" i="10"/>
  <c r="M625" i="10"/>
  <c r="P624" i="10"/>
  <c r="O624" i="10"/>
  <c r="N624" i="10"/>
  <c r="M624" i="10"/>
  <c r="P623" i="10"/>
  <c r="O623" i="10"/>
  <c r="N623" i="10"/>
  <c r="M623" i="10"/>
  <c r="P622" i="10"/>
  <c r="O622" i="10"/>
  <c r="N622" i="10"/>
  <c r="M622" i="10"/>
  <c r="Q621" i="10"/>
  <c r="P621" i="10"/>
  <c r="O621" i="10"/>
  <c r="N621" i="10"/>
  <c r="M621" i="10"/>
  <c r="H621" i="10"/>
  <c r="H617" i="10"/>
  <c r="Q627" i="10" s="1"/>
  <c r="H616" i="10"/>
  <c r="Q626" i="10" s="1"/>
  <c r="H613" i="10"/>
  <c r="Q623" i="10" s="1"/>
  <c r="H611" i="10"/>
  <c r="Q600" i="10"/>
  <c r="Y173" i="3" s="1"/>
  <c r="P600" i="10"/>
  <c r="X173" i="3" s="1"/>
  <c r="O600" i="10"/>
  <c r="W173" i="3" s="1"/>
  <c r="N600" i="10"/>
  <c r="M600" i="10"/>
  <c r="U173" i="3" s="1"/>
  <c r="H600" i="10"/>
  <c r="G600" i="10"/>
  <c r="F600" i="10"/>
  <c r="E600" i="10"/>
  <c r="D600" i="10"/>
  <c r="H583" i="10"/>
  <c r="G583" i="10"/>
  <c r="F583" i="10"/>
  <c r="E583" i="10"/>
  <c r="D583" i="10"/>
  <c r="H519" i="10"/>
  <c r="G519" i="10"/>
  <c r="F519" i="10"/>
  <c r="E519" i="10"/>
  <c r="D519" i="10"/>
  <c r="H504" i="10"/>
  <c r="G504" i="10"/>
  <c r="F504" i="10"/>
  <c r="E504" i="10"/>
  <c r="D504" i="10"/>
  <c r="H489" i="10"/>
  <c r="G489" i="10"/>
  <c r="F489" i="10"/>
  <c r="E489" i="10"/>
  <c r="D489" i="10"/>
  <c r="H476" i="10"/>
  <c r="G476" i="10"/>
  <c r="F476" i="10"/>
  <c r="E476" i="10"/>
  <c r="D476" i="10"/>
  <c r="H475" i="10"/>
  <c r="G475" i="10"/>
  <c r="F475" i="10"/>
  <c r="E475" i="10"/>
  <c r="D475" i="10"/>
  <c r="H461" i="10"/>
  <c r="G461" i="10"/>
  <c r="F461" i="10"/>
  <c r="E461" i="10"/>
  <c r="D461" i="10"/>
  <c r="H460" i="10"/>
  <c r="G460" i="10"/>
  <c r="F460" i="10"/>
  <c r="E460" i="10"/>
  <c r="D460" i="10"/>
  <c r="H445" i="10"/>
  <c r="G445" i="10"/>
  <c r="F445" i="10"/>
  <c r="E445" i="10"/>
  <c r="D445" i="10"/>
  <c r="H444" i="10"/>
  <c r="G444" i="10"/>
  <c r="F444" i="10"/>
  <c r="E444" i="10"/>
  <c r="D444" i="10"/>
  <c r="H431" i="10"/>
  <c r="G431" i="10"/>
  <c r="F431" i="10"/>
  <c r="E431" i="10"/>
  <c r="D431" i="10"/>
  <c r="H430" i="10"/>
  <c r="G430" i="10"/>
  <c r="F430" i="10"/>
  <c r="E430" i="10"/>
  <c r="D430" i="10"/>
  <c r="H416" i="10"/>
  <c r="G416" i="10"/>
  <c r="F416" i="10"/>
  <c r="E416" i="10"/>
  <c r="D416" i="10"/>
  <c r="H415" i="10"/>
  <c r="G415" i="10"/>
  <c r="F415" i="10"/>
  <c r="E415" i="10"/>
  <c r="D415" i="10"/>
  <c r="H401" i="10"/>
  <c r="G401" i="10"/>
  <c r="F401" i="10"/>
  <c r="E401" i="10"/>
  <c r="D401" i="10"/>
  <c r="H400" i="10"/>
  <c r="G400" i="10"/>
  <c r="F400" i="10"/>
  <c r="E400" i="10"/>
  <c r="D400" i="10"/>
  <c r="H387" i="10"/>
  <c r="G387" i="10"/>
  <c r="F387" i="10"/>
  <c r="E387" i="10"/>
  <c r="D387" i="10"/>
  <c r="H386" i="10"/>
  <c r="G386" i="10"/>
  <c r="F386" i="10"/>
  <c r="E386" i="10"/>
  <c r="D386" i="10"/>
  <c r="H372" i="10"/>
  <c r="G372" i="10"/>
  <c r="F372" i="10"/>
  <c r="E372" i="10"/>
  <c r="D372" i="10"/>
  <c r="H371" i="10"/>
  <c r="G371" i="10"/>
  <c r="F371" i="10"/>
  <c r="E371" i="10"/>
  <c r="D371" i="10"/>
  <c r="H357" i="10"/>
  <c r="G357" i="10"/>
  <c r="F357" i="10"/>
  <c r="E357" i="10"/>
  <c r="D357" i="10"/>
  <c r="H356" i="10"/>
  <c r="G356" i="10"/>
  <c r="F356" i="10"/>
  <c r="E356" i="10"/>
  <c r="D356" i="10"/>
  <c r="H342" i="10"/>
  <c r="G342" i="10"/>
  <c r="F342" i="10"/>
  <c r="E342" i="10"/>
  <c r="D342" i="10"/>
  <c r="H341" i="10"/>
  <c r="G341" i="10"/>
  <c r="F341" i="10"/>
  <c r="E341" i="10"/>
  <c r="D341" i="10"/>
  <c r="H326" i="10"/>
  <c r="G326" i="10"/>
  <c r="F326" i="10"/>
  <c r="E326" i="10"/>
  <c r="D326" i="10"/>
  <c r="H325" i="10"/>
  <c r="G325" i="10"/>
  <c r="F325" i="10"/>
  <c r="E325" i="10"/>
  <c r="D325" i="10"/>
  <c r="H308" i="10"/>
  <c r="G308" i="10"/>
  <c r="F308" i="10"/>
  <c r="E308" i="10"/>
  <c r="D308" i="10"/>
  <c r="H295" i="10"/>
  <c r="G295" i="10"/>
  <c r="F295" i="10"/>
  <c r="E295" i="10"/>
  <c r="D295" i="10"/>
  <c r="H294" i="10"/>
  <c r="G294" i="10"/>
  <c r="F294" i="10"/>
  <c r="E294" i="10"/>
  <c r="D294" i="10"/>
  <c r="H280" i="10"/>
  <c r="G280" i="10"/>
  <c r="F280" i="10"/>
  <c r="E280" i="10"/>
  <c r="D280" i="10"/>
  <c r="H279" i="10"/>
  <c r="G279" i="10"/>
  <c r="F279" i="10"/>
  <c r="E279" i="10"/>
  <c r="D279" i="10"/>
  <c r="H265" i="10"/>
  <c r="G265" i="10"/>
  <c r="F265" i="10"/>
  <c r="E265" i="10"/>
  <c r="D265" i="10"/>
  <c r="H264" i="10"/>
  <c r="G264" i="10"/>
  <c r="F264" i="10"/>
  <c r="E264" i="10"/>
  <c r="D264" i="10"/>
  <c r="H250" i="10"/>
  <c r="G250" i="10"/>
  <c r="F250" i="10"/>
  <c r="E250" i="10"/>
  <c r="D250" i="10"/>
  <c r="H249" i="10"/>
  <c r="G249" i="10"/>
  <c r="F249" i="10"/>
  <c r="E249" i="10"/>
  <c r="D249" i="10"/>
  <c r="H235" i="10"/>
  <c r="G235" i="10"/>
  <c r="F235" i="10"/>
  <c r="E235" i="10"/>
  <c r="D235" i="10"/>
  <c r="H234" i="10"/>
  <c r="G234" i="10"/>
  <c r="F234" i="10"/>
  <c r="E234" i="10"/>
  <c r="D234" i="10"/>
  <c r="H219" i="10"/>
  <c r="G219" i="10"/>
  <c r="F219" i="10"/>
  <c r="E219" i="10"/>
  <c r="D219" i="10"/>
  <c r="H218" i="10"/>
  <c r="G218" i="10"/>
  <c r="F218" i="10"/>
  <c r="E218" i="10"/>
  <c r="D218" i="10"/>
  <c r="H203" i="10"/>
  <c r="G203" i="10"/>
  <c r="F203" i="10"/>
  <c r="E203" i="10"/>
  <c r="D203" i="10"/>
  <c r="H202" i="10"/>
  <c r="G202" i="10"/>
  <c r="F202" i="10"/>
  <c r="E202" i="10"/>
  <c r="D202" i="10"/>
  <c r="G188" i="10"/>
  <c r="F188" i="10"/>
  <c r="E188" i="10"/>
  <c r="D188" i="10"/>
  <c r="O187" i="10"/>
  <c r="N187" i="10"/>
  <c r="M187" i="10"/>
  <c r="L187" i="10"/>
  <c r="K187" i="10"/>
  <c r="G187" i="10"/>
  <c r="F187" i="10"/>
  <c r="E187" i="10"/>
  <c r="D187" i="10"/>
  <c r="O186" i="10"/>
  <c r="N186" i="10"/>
  <c r="M186" i="10"/>
  <c r="L186" i="10"/>
  <c r="K186" i="10"/>
  <c r="H171" i="10"/>
  <c r="G171" i="10"/>
  <c r="F171" i="10"/>
  <c r="E171" i="10"/>
  <c r="D171" i="10"/>
  <c r="H156" i="10"/>
  <c r="G156" i="10"/>
  <c r="F156" i="10"/>
  <c r="E156" i="10"/>
  <c r="D156" i="10"/>
  <c r="H141" i="10"/>
  <c r="G141" i="10"/>
  <c r="F141" i="10"/>
  <c r="E141" i="10"/>
  <c r="D141" i="10"/>
  <c r="H126" i="10"/>
  <c r="G126" i="10"/>
  <c r="F126" i="10"/>
  <c r="E126" i="10"/>
  <c r="D126" i="10"/>
  <c r="AA111" i="10"/>
  <c r="Y125" i="3" s="1"/>
  <c r="Z111" i="10"/>
  <c r="X125" i="3" s="1"/>
  <c r="Y111" i="10"/>
  <c r="W125" i="3" s="1"/>
  <c r="X111" i="10"/>
  <c r="V125" i="3" s="1"/>
  <c r="W111" i="10"/>
  <c r="U125" i="3" s="1"/>
  <c r="Q111" i="10"/>
  <c r="Y124" i="3" s="1"/>
  <c r="P111" i="10"/>
  <c r="X124" i="3" s="1"/>
  <c r="O111" i="10"/>
  <c r="W124" i="3" s="1"/>
  <c r="N111" i="10"/>
  <c r="V124" i="3" s="1"/>
  <c r="H111" i="10"/>
  <c r="G111" i="10"/>
  <c r="F111" i="10"/>
  <c r="E111" i="10"/>
  <c r="D111" i="10"/>
  <c r="G96" i="10"/>
  <c r="F96" i="10"/>
  <c r="E96" i="10"/>
  <c r="D96" i="10"/>
  <c r="H66" i="10"/>
  <c r="G66" i="10"/>
  <c r="F66" i="10"/>
  <c r="E66" i="10"/>
  <c r="D66" i="10"/>
  <c r="Q53" i="10"/>
  <c r="Y120" i="3" s="1"/>
  <c r="P53" i="10"/>
  <c r="X120" i="3" s="1"/>
  <c r="O53" i="10"/>
  <c r="W120" i="3" s="1"/>
  <c r="N53" i="10"/>
  <c r="V120" i="3" s="1"/>
  <c r="M53" i="10"/>
  <c r="U120" i="3" s="1"/>
  <c r="H52" i="10"/>
  <c r="G52" i="10"/>
  <c r="F52" i="10"/>
  <c r="E52" i="10"/>
  <c r="D52" i="10"/>
  <c r="Q24" i="10"/>
  <c r="Y119" i="3" s="1"/>
  <c r="P24" i="10"/>
  <c r="X119" i="3" s="1"/>
  <c r="O24" i="10"/>
  <c r="W119" i="3" s="1"/>
  <c r="N24" i="10"/>
  <c r="V119" i="3" s="1"/>
  <c r="M24" i="10"/>
  <c r="U119" i="3" s="1"/>
  <c r="H24" i="10"/>
  <c r="G24" i="10"/>
  <c r="F24" i="10"/>
  <c r="E24" i="10"/>
  <c r="D24" i="10"/>
  <c r="H8" i="10"/>
  <c r="G8" i="10"/>
  <c r="F8" i="10"/>
  <c r="E8" i="10"/>
  <c r="D8" i="10"/>
  <c r="AW171" i="3" l="1"/>
  <c r="AW154" i="3"/>
  <c r="AX173" i="3"/>
  <c r="AY131" i="3"/>
  <c r="AX123" i="3"/>
  <c r="AY173" i="3"/>
  <c r="AX130" i="3"/>
  <c r="AW139" i="3"/>
  <c r="AY132" i="3"/>
  <c r="AX166" i="3"/>
  <c r="AX140" i="3"/>
  <c r="AY121" i="3"/>
  <c r="AX167" i="3"/>
  <c r="AX174" i="3"/>
  <c r="AX150" i="3"/>
  <c r="AF151" i="3"/>
  <c r="AW129" i="3"/>
  <c r="AX151" i="3"/>
  <c r="AY143" i="3"/>
  <c r="AW151" i="3"/>
  <c r="AI173" i="3"/>
  <c r="AH121" i="3"/>
  <c r="AX154" i="3"/>
  <c r="AY158" i="3"/>
  <c r="AH157" i="3"/>
  <c r="AY116" i="3"/>
  <c r="AY167" i="3"/>
  <c r="AF165" i="3"/>
  <c r="AY172" i="3"/>
  <c r="AY151" i="3"/>
  <c r="AY134" i="3"/>
  <c r="AX120" i="3"/>
  <c r="K149" i="3"/>
  <c r="AX157" i="3"/>
  <c r="AG171" i="3"/>
  <c r="AY164" i="3"/>
  <c r="AW150" i="3"/>
  <c r="AG173" i="3"/>
  <c r="AX121" i="3"/>
  <c r="AF173" i="3"/>
  <c r="M149" i="3"/>
  <c r="AG163" i="3"/>
  <c r="AJ154" i="3"/>
  <c r="AJ174" i="3"/>
  <c r="AX143" i="3"/>
  <c r="AW165" i="3"/>
  <c r="P148" i="3"/>
  <c r="AX152" i="3"/>
  <c r="AW130" i="3"/>
  <c r="AI174" i="3"/>
  <c r="AE132" i="3"/>
  <c r="AX158" i="3"/>
  <c r="AW128" i="3"/>
  <c r="T148" i="3"/>
  <c r="AH173" i="3"/>
  <c r="AX119" i="3"/>
  <c r="AX128" i="3"/>
  <c r="AX133" i="3"/>
  <c r="AX139" i="3"/>
  <c r="S148" i="3"/>
  <c r="Y149" i="3"/>
  <c r="AY119" i="3"/>
  <c r="AE122" i="3"/>
  <c r="AY128" i="3"/>
  <c r="R148" i="3"/>
  <c r="AJ148" i="3" s="1"/>
  <c r="AX134" i="3"/>
  <c r="AY140" i="3"/>
  <c r="AH163" i="3"/>
  <c r="AY129" i="3"/>
  <c r="W149" i="3"/>
  <c r="Z149" i="3"/>
  <c r="N149" i="3"/>
  <c r="AW158" i="3"/>
  <c r="AY150" i="3"/>
  <c r="AW172" i="3"/>
  <c r="AH174" i="3"/>
  <c r="X148" i="3"/>
  <c r="AW120" i="3"/>
  <c r="AW164" i="3"/>
  <c r="AJ173" i="3"/>
  <c r="T149" i="3"/>
  <c r="S149" i="3"/>
  <c r="U148" i="3"/>
  <c r="AW157" i="3"/>
  <c r="AJ157" i="3"/>
  <c r="M148" i="3"/>
  <c r="AA149" i="3"/>
  <c r="AE157" i="3"/>
  <c r="AX171" i="3"/>
  <c r="AW173" i="3"/>
  <c r="AE173" i="3"/>
  <c r="AE154" i="3"/>
  <c r="L149" i="3"/>
  <c r="Y148" i="3"/>
  <c r="K148" i="3"/>
  <c r="R149" i="3"/>
  <c r="Q149" i="3"/>
  <c r="X149" i="3"/>
  <c r="AI166" i="3"/>
  <c r="AG174" i="3"/>
  <c r="AX164" i="3"/>
  <c r="AX170" i="3"/>
  <c r="AX132" i="3"/>
  <c r="AW152" i="3"/>
  <c r="AY139" i="3"/>
  <c r="AY123" i="3"/>
  <c r="AX125" i="3"/>
  <c r="AW153" i="3"/>
  <c r="AY157" i="3"/>
  <c r="AW125" i="3"/>
  <c r="AW133" i="3"/>
  <c r="AW140" i="3"/>
  <c r="AF174" i="3"/>
  <c r="AE174" i="3"/>
  <c r="AW174" i="3"/>
  <c r="AY174" i="3"/>
  <c r="AF172" i="3"/>
  <c r="AX172" i="3"/>
  <c r="AF171" i="3"/>
  <c r="AF152" i="3"/>
  <c r="AJ171" i="3"/>
  <c r="AF166" i="3"/>
  <c r="AI157" i="3"/>
  <c r="AI164" i="3"/>
  <c r="AH171" i="3"/>
  <c r="AZ171" i="3" s="1"/>
  <c r="AH165" i="3"/>
  <c r="AG157" i="3"/>
  <c r="AF133" i="3"/>
  <c r="AJ151" i="3"/>
  <c r="AH133" i="3"/>
  <c r="AY163" i="3"/>
  <c r="AH154" i="3"/>
  <c r="AZ154" i="3" s="1"/>
  <c r="AH119" i="3"/>
  <c r="AE134" i="3"/>
  <c r="AH150" i="3"/>
  <c r="AI154" i="3"/>
  <c r="AJ165" i="3"/>
  <c r="AF115" i="3"/>
  <c r="AW121" i="3"/>
  <c r="AG167" i="3"/>
  <c r="AX145" i="3"/>
  <c r="AW119" i="3"/>
  <c r="AE145" i="3"/>
  <c r="AH162" i="3"/>
  <c r="AI172" i="3"/>
  <c r="AI121" i="3"/>
  <c r="AI129" i="3"/>
  <c r="AH140" i="3"/>
  <c r="AG128" i="3"/>
  <c r="AH164" i="3"/>
  <c r="AI171" i="3"/>
  <c r="AJ115" i="3"/>
  <c r="AE121" i="3"/>
  <c r="AI116" i="3"/>
  <c r="AJ158" i="3"/>
  <c r="AG122" i="3"/>
  <c r="AE124" i="3"/>
  <c r="AF141" i="3"/>
  <c r="AH143" i="3"/>
  <c r="AE150" i="3"/>
  <c r="AI152" i="3"/>
  <c r="AG166" i="3"/>
  <c r="AG120" i="3"/>
  <c r="AF139" i="3"/>
  <c r="AJ131" i="3"/>
  <c r="AE152" i="3"/>
  <c r="AI163" i="3"/>
  <c r="AJ166" i="3"/>
  <c r="AJ170" i="3"/>
  <c r="AE115" i="3"/>
  <c r="AY166" i="3"/>
  <c r="AG170" i="3"/>
  <c r="AH152" i="3"/>
  <c r="AF121" i="3"/>
  <c r="AH123" i="3"/>
  <c r="AH132" i="3"/>
  <c r="AE140" i="3"/>
  <c r="AE144" i="3"/>
  <c r="AE153" i="3"/>
  <c r="AJ163" i="3"/>
  <c r="AG133" i="3"/>
  <c r="AX165" i="3"/>
  <c r="AW134" i="3"/>
  <c r="AG151" i="3"/>
  <c r="AI120" i="3"/>
  <c r="AH125" i="3"/>
  <c r="AF134" i="3"/>
  <c r="AG140" i="3"/>
  <c r="AE165" i="3"/>
  <c r="AE119" i="3"/>
  <c r="AI165" i="3"/>
  <c r="AI145" i="3"/>
  <c r="AI134" i="3"/>
  <c r="AW145" i="3"/>
  <c r="AE139" i="3"/>
  <c r="AG129" i="3"/>
  <c r="AJ120" i="3"/>
  <c r="AG145" i="3"/>
  <c r="AF153" i="3"/>
  <c r="AE125" i="3"/>
  <c r="AE162" i="3"/>
  <c r="AG164" i="3"/>
  <c r="AE116" i="3"/>
  <c r="AJ129" i="3"/>
  <c r="AE166" i="3"/>
  <c r="AE143" i="3"/>
  <c r="AF116" i="3"/>
  <c r="AY133" i="3"/>
  <c r="AI140" i="3"/>
  <c r="AJ124" i="3"/>
  <c r="AI125" i="3"/>
  <c r="AJ140" i="3"/>
  <c r="AX163" i="3"/>
  <c r="AY170" i="3"/>
  <c r="AJ150" i="3"/>
  <c r="AF154" i="3"/>
  <c r="AI158" i="3"/>
  <c r="AF163" i="3"/>
  <c r="AJ164" i="3"/>
  <c r="AX116" i="3"/>
  <c r="AG115" i="3"/>
  <c r="AH115" i="3"/>
  <c r="AH116" i="3"/>
  <c r="AY154" i="3"/>
  <c r="AW144" i="3"/>
  <c r="AF144" i="3"/>
  <c r="AG150" i="3"/>
  <c r="AF158" i="3"/>
  <c r="AI115" i="3"/>
  <c r="AE123" i="3"/>
  <c r="AJ133" i="3"/>
  <c r="AG116" i="3"/>
  <c r="AF129" i="3"/>
  <c r="AW116" i="3"/>
  <c r="AY145" i="3"/>
  <c r="AY115" i="3"/>
  <c r="AG172" i="3"/>
  <c r="AG119" i="3"/>
  <c r="AE120" i="3"/>
  <c r="AG130" i="3"/>
  <c r="AH158" i="3"/>
  <c r="AX115" i="3"/>
  <c r="AE158" i="3"/>
  <c r="AJ145" i="3"/>
  <c r="AG139" i="3"/>
  <c r="AH129" i="3"/>
  <c r="AF119" i="3"/>
  <c r="AJ162" i="3"/>
  <c r="AW115" i="3"/>
  <c r="AG153" i="3"/>
  <c r="AH167" i="3"/>
  <c r="AW163" i="3"/>
  <c r="AY120" i="3"/>
  <c r="AF145" i="3"/>
  <c r="AG132" i="3"/>
  <c r="AG162" i="3"/>
  <c r="AE163" i="3"/>
  <c r="AE141" i="3"/>
  <c r="AG141" i="3"/>
  <c r="AF143" i="3"/>
  <c r="AI119" i="3"/>
  <c r="AX129" i="3"/>
  <c r="AF157" i="3"/>
  <c r="AJ119" i="3"/>
  <c r="AF125" i="3"/>
  <c r="AE128" i="3"/>
  <c r="AF150" i="3"/>
  <c r="AH153" i="3"/>
  <c r="AI170" i="3"/>
  <c r="AW166" i="3"/>
  <c r="AG154" i="3"/>
  <c r="AH141" i="3"/>
  <c r="AG134" i="3"/>
  <c r="AI139" i="3"/>
  <c r="AJ116" i="3"/>
  <c r="AF120" i="3"/>
  <c r="AF130" i="3"/>
  <c r="AE131" i="3"/>
  <c r="AF132" i="3"/>
  <c r="AH134" i="3"/>
  <c r="AJ139" i="3"/>
  <c r="AG165" i="3"/>
  <c r="AE170" i="3"/>
  <c r="AE172" i="3"/>
  <c r="AE171" i="3"/>
  <c r="AJ172" i="3"/>
  <c r="AH172" i="3"/>
  <c r="AH170" i="3"/>
  <c r="AF170" i="3"/>
  <c r="AW170" i="3"/>
  <c r="AJ167" i="3"/>
  <c r="AE167" i="3"/>
  <c r="AW167" i="3"/>
  <c r="AI167" i="3"/>
  <c r="AF167" i="3"/>
  <c r="AY165" i="3"/>
  <c r="AH166" i="3"/>
  <c r="AI162" i="3"/>
  <c r="AE164" i="3"/>
  <c r="AY162" i="3"/>
  <c r="AX162" i="3"/>
  <c r="AF164" i="3"/>
  <c r="AF162" i="3"/>
  <c r="AW162" i="3"/>
  <c r="AG158" i="3"/>
  <c r="AY153" i="3"/>
  <c r="AJ153" i="3"/>
  <c r="AX153" i="3"/>
  <c r="AI153" i="3"/>
  <c r="AG152" i="3"/>
  <c r="AJ152" i="3"/>
  <c r="AY152" i="3"/>
  <c r="AI151" i="3"/>
  <c r="AE151" i="3"/>
  <c r="AI150" i="3"/>
  <c r="AH151" i="3"/>
  <c r="AH144" i="3"/>
  <c r="AI144" i="3"/>
  <c r="AH145" i="3"/>
  <c r="AG144" i="3"/>
  <c r="AY144" i="3"/>
  <c r="AX144" i="3"/>
  <c r="AJ144" i="3"/>
  <c r="AI143" i="3"/>
  <c r="AG143" i="3"/>
  <c r="AW143" i="3"/>
  <c r="AJ143" i="3"/>
  <c r="AJ141" i="3"/>
  <c r="AY141" i="3"/>
  <c r="AX141" i="3"/>
  <c r="AW141" i="3"/>
  <c r="AI141" i="3"/>
  <c r="AF140" i="3"/>
  <c r="AH139" i="3"/>
  <c r="AJ132" i="3"/>
  <c r="AJ134" i="3"/>
  <c r="AW132" i="3"/>
  <c r="AI133" i="3"/>
  <c r="AE133" i="3"/>
  <c r="AI132" i="3"/>
  <c r="AH131" i="3"/>
  <c r="AF131" i="3"/>
  <c r="AX131" i="3"/>
  <c r="AW131" i="3"/>
  <c r="AI131" i="3"/>
  <c r="AG131" i="3"/>
  <c r="AI130" i="3"/>
  <c r="AE130" i="3"/>
  <c r="AH130" i="3"/>
  <c r="AJ130" i="3"/>
  <c r="AY130" i="3"/>
  <c r="AF128" i="3"/>
  <c r="AE129" i="3"/>
  <c r="AJ128" i="3"/>
  <c r="AI128" i="3"/>
  <c r="AH128" i="3"/>
  <c r="AG125" i="3"/>
  <c r="AJ125" i="3"/>
  <c r="AY125" i="3"/>
  <c r="AI124" i="3"/>
  <c r="AG124" i="3"/>
  <c r="AY124" i="3"/>
  <c r="AX124" i="3"/>
  <c r="AW124" i="3"/>
  <c r="AF124" i="3"/>
  <c r="AH124" i="3"/>
  <c r="AG123" i="3"/>
  <c r="AF123" i="3"/>
  <c r="AW123" i="3"/>
  <c r="AJ123" i="3"/>
  <c r="AI123" i="3"/>
  <c r="AH122" i="3"/>
  <c r="AJ122" i="3"/>
  <c r="AF122" i="3"/>
  <c r="AY122" i="3"/>
  <c r="AX122" i="3"/>
  <c r="AW122" i="3"/>
  <c r="AI122" i="3"/>
  <c r="AG121" i="3"/>
  <c r="AH120" i="3"/>
  <c r="AJ121" i="3"/>
  <c r="BA166" i="3" l="1"/>
  <c r="BA123" i="3"/>
  <c r="BA130" i="3"/>
  <c r="BA150" i="3"/>
  <c r="AZ139" i="3"/>
  <c r="BA173" i="3"/>
  <c r="AZ129" i="3"/>
  <c r="BA140" i="3"/>
  <c r="BA120" i="3"/>
  <c r="AZ151" i="3"/>
  <c r="AZ121" i="3"/>
  <c r="AX148" i="3"/>
  <c r="BA174" i="3"/>
  <c r="BA167" i="3"/>
  <c r="AW149" i="3"/>
  <c r="BA151" i="3"/>
  <c r="AZ120" i="3"/>
  <c r="BA134" i="3"/>
  <c r="BA132" i="3"/>
  <c r="BA128" i="3"/>
  <c r="BA157" i="3"/>
  <c r="AF148" i="3"/>
  <c r="AZ157" i="3"/>
  <c r="AI148" i="3"/>
  <c r="AZ150" i="3"/>
  <c r="AZ172" i="3"/>
  <c r="BA154" i="3"/>
  <c r="AG148" i="3"/>
  <c r="BA170" i="3"/>
  <c r="BA121" i="3"/>
  <c r="BA164" i="3"/>
  <c r="AY148" i="3"/>
  <c r="BB148" i="3" s="1"/>
  <c r="BB154" i="3"/>
  <c r="AZ163" i="3"/>
  <c r="BA143" i="3"/>
  <c r="AX149" i="3"/>
  <c r="AZ165" i="3"/>
  <c r="BB157" i="3"/>
  <c r="AG149" i="3"/>
  <c r="BB174" i="3"/>
  <c r="AZ158" i="3"/>
  <c r="AZ130" i="3"/>
  <c r="AF149" i="3"/>
  <c r="AI149" i="3"/>
  <c r="BA119" i="3"/>
  <c r="AW148" i="3"/>
  <c r="AJ149" i="3"/>
  <c r="AH149" i="3"/>
  <c r="AY149" i="3"/>
  <c r="BA133" i="3"/>
  <c r="AZ125" i="3"/>
  <c r="BA158" i="3"/>
  <c r="BA152" i="3"/>
  <c r="AZ173" i="3"/>
  <c r="AZ128" i="3"/>
  <c r="BA145" i="3"/>
  <c r="AE149" i="3"/>
  <c r="BB158" i="3"/>
  <c r="BB143" i="3"/>
  <c r="BB131" i="3"/>
  <c r="BB151" i="3"/>
  <c r="BB139" i="3"/>
  <c r="BB164" i="3"/>
  <c r="BA171" i="3"/>
  <c r="BB134" i="3"/>
  <c r="AZ164" i="3"/>
  <c r="BB132" i="3"/>
  <c r="BB123" i="3"/>
  <c r="BB129" i="3"/>
  <c r="AZ140" i="3"/>
  <c r="AZ174" i="3"/>
  <c r="BB121" i="3"/>
  <c r="BB119" i="3"/>
  <c r="BB150" i="3"/>
  <c r="BB116" i="3"/>
  <c r="BB172" i="3"/>
  <c r="BA139" i="3"/>
  <c r="BB171" i="3"/>
  <c r="BB128" i="3"/>
  <c r="BB140" i="3"/>
  <c r="BB173" i="3"/>
  <c r="BB167" i="3"/>
  <c r="AZ152" i="3"/>
  <c r="AZ133" i="3"/>
  <c r="BA125" i="3"/>
  <c r="BA172" i="3"/>
  <c r="AZ153" i="3"/>
  <c r="BA115" i="3"/>
  <c r="BA165" i="3"/>
  <c r="BB163" i="3"/>
  <c r="BB166" i="3"/>
  <c r="BA129" i="3"/>
  <c r="AZ119" i="3"/>
  <c r="BA163" i="3"/>
  <c r="AZ116" i="3"/>
  <c r="BB165" i="3"/>
  <c r="AZ134" i="3"/>
  <c r="AE148" i="3"/>
  <c r="AZ143" i="3"/>
  <c r="BB133" i="3"/>
  <c r="BB162" i="3"/>
  <c r="BB170" i="3"/>
  <c r="AZ115" i="3"/>
  <c r="AZ145" i="3"/>
  <c r="AZ144" i="3"/>
  <c r="AZ123" i="3"/>
  <c r="BB124" i="3"/>
  <c r="AZ162" i="3"/>
  <c r="BB115" i="3"/>
  <c r="BA116" i="3"/>
  <c r="AZ132" i="3"/>
  <c r="AH148" i="3"/>
  <c r="AZ124" i="3"/>
  <c r="BB120" i="3"/>
  <c r="BA141" i="3"/>
  <c r="AZ166" i="3"/>
  <c r="BA162" i="3"/>
  <c r="BB141" i="3"/>
  <c r="BA124" i="3"/>
  <c r="BB152" i="3"/>
  <c r="BB125" i="3"/>
  <c r="BB130" i="3"/>
  <c r="AZ122" i="3"/>
  <c r="AZ141" i="3"/>
  <c r="BB122" i="3"/>
  <c r="AZ131" i="3"/>
  <c r="AZ167" i="3"/>
  <c r="BB145" i="3"/>
  <c r="AZ170" i="3"/>
  <c r="BA153" i="3"/>
  <c r="BB153" i="3"/>
  <c r="BA144" i="3"/>
  <c r="BB144" i="3"/>
  <c r="BA131" i="3"/>
  <c r="BA122" i="3"/>
  <c r="AS92" i="3"/>
  <c r="AT92" i="3"/>
  <c r="AU92" i="3"/>
  <c r="AV92" i="3"/>
  <c r="AR92" i="3"/>
  <c r="K92" i="3"/>
  <c r="AS16" i="3"/>
  <c r="AT16" i="3"/>
  <c r="AU16" i="3"/>
  <c r="AV16" i="3"/>
  <c r="AR16" i="3"/>
  <c r="AN16" i="3"/>
  <c r="AO16" i="3"/>
  <c r="AP16" i="3"/>
  <c r="AQ16" i="3"/>
  <c r="AM16" i="3"/>
  <c r="AA16" i="3"/>
  <c r="AB16" i="3"/>
  <c r="AC16" i="3"/>
  <c r="AD16" i="3"/>
  <c r="Z16" i="3"/>
  <c r="V16" i="3"/>
  <c r="W16" i="3"/>
  <c r="X16" i="3"/>
  <c r="Y16" i="3"/>
  <c r="U16" i="3"/>
  <c r="Q16" i="3"/>
  <c r="R16" i="3"/>
  <c r="S16" i="3"/>
  <c r="T16" i="3"/>
  <c r="P16" i="3"/>
  <c r="K16" i="3"/>
  <c r="L16" i="3"/>
  <c r="M16" i="3"/>
  <c r="N16" i="3"/>
  <c r="O16" i="3"/>
  <c r="BA148" i="3" l="1"/>
  <c r="AZ149" i="3"/>
  <c r="BB149" i="3"/>
  <c r="BA149" i="3"/>
  <c r="AZ148" i="3"/>
  <c r="AW16" i="3"/>
  <c r="K89" i="3"/>
  <c r="K88" i="3"/>
  <c r="K81" i="3"/>
  <c r="AV73" i="3"/>
  <c r="AU73" i="3"/>
  <c r="AT73" i="3"/>
  <c r="AS73" i="3"/>
  <c r="AR73" i="3"/>
  <c r="K73" i="3"/>
  <c r="K72" i="3"/>
  <c r="K71" i="3"/>
  <c r="K69" i="3"/>
  <c r="K68" i="3"/>
  <c r="K63" i="3"/>
  <c r="K61" i="3"/>
  <c r="AR54" i="3"/>
  <c r="AV46" i="3"/>
  <c r="AU46" i="3"/>
  <c r="AT46" i="3"/>
  <c r="AS46" i="3"/>
  <c r="AR46" i="3"/>
  <c r="K46" i="3"/>
  <c r="X450" i="7"/>
  <c r="Y450" i="7"/>
  <c r="Z450" i="7"/>
  <c r="AA450" i="7"/>
  <c r="W450" i="7"/>
  <c r="X423" i="7"/>
  <c r="AS89" i="3" s="1"/>
  <c r="Y423" i="7"/>
  <c r="AT89" i="3" s="1"/>
  <c r="Z423" i="7"/>
  <c r="AU89" i="3" s="1"/>
  <c r="AA423" i="7"/>
  <c r="AV89" i="3" s="1"/>
  <c r="W423" i="7"/>
  <c r="AR89" i="3" s="1"/>
  <c r="O423" i="7"/>
  <c r="AS88" i="3" s="1"/>
  <c r="P423" i="7"/>
  <c r="AT88" i="3" s="1"/>
  <c r="Q423" i="7"/>
  <c r="AU88" i="3" s="1"/>
  <c r="R423" i="7"/>
  <c r="AV88" i="3" s="1"/>
  <c r="N423" i="7"/>
  <c r="AR88" i="3" s="1"/>
  <c r="D384" i="7"/>
  <c r="AS81" i="3" s="1"/>
  <c r="E384" i="7"/>
  <c r="AT81" i="3" s="1"/>
  <c r="F384" i="7"/>
  <c r="AU81" i="3" s="1"/>
  <c r="G384" i="7"/>
  <c r="AV81" i="3" s="1"/>
  <c r="C384" i="7"/>
  <c r="AR81" i="3" s="1"/>
  <c r="D266" i="7"/>
  <c r="AS72" i="3" s="1"/>
  <c r="E266" i="7"/>
  <c r="AT72" i="3" s="1"/>
  <c r="F266" i="7"/>
  <c r="AU72" i="3" s="1"/>
  <c r="G266" i="7"/>
  <c r="AV72" i="3" s="1"/>
  <c r="C266" i="7"/>
  <c r="AR72" i="3" s="1"/>
  <c r="D254" i="7"/>
  <c r="AS71" i="3" s="1"/>
  <c r="E254" i="7"/>
  <c r="AT71" i="3" s="1"/>
  <c r="F254" i="7"/>
  <c r="AU71" i="3" s="1"/>
  <c r="G254" i="7"/>
  <c r="AV71" i="3" s="1"/>
  <c r="C254" i="7"/>
  <c r="AR71" i="3" s="1"/>
  <c r="D227" i="7"/>
  <c r="AS69" i="3" s="1"/>
  <c r="E227" i="7"/>
  <c r="AT69" i="3" s="1"/>
  <c r="F227" i="7"/>
  <c r="AU69" i="3" s="1"/>
  <c r="G227" i="7"/>
  <c r="AV69" i="3" s="1"/>
  <c r="C227" i="7"/>
  <c r="AR69" i="3" s="1"/>
  <c r="D215" i="7"/>
  <c r="AS68" i="3" s="1"/>
  <c r="E215" i="7"/>
  <c r="AT68" i="3" s="1"/>
  <c r="F215" i="7"/>
  <c r="AU68" i="3" s="1"/>
  <c r="G215" i="7"/>
  <c r="AV68" i="3" s="1"/>
  <c r="C215" i="7"/>
  <c r="AR68" i="3" s="1"/>
  <c r="D199" i="7"/>
  <c r="E199" i="7"/>
  <c r="F199" i="7"/>
  <c r="G199" i="7"/>
  <c r="C199" i="7"/>
  <c r="D187" i="7"/>
  <c r="E187" i="7"/>
  <c r="F187" i="7"/>
  <c r="G187" i="7"/>
  <c r="C187" i="7"/>
  <c r="D121" i="7"/>
  <c r="AS63" i="3" s="1"/>
  <c r="E121" i="7"/>
  <c r="AT63" i="3" s="1"/>
  <c r="F121" i="7"/>
  <c r="AU63" i="3" s="1"/>
  <c r="G121" i="7"/>
  <c r="AV63" i="3" s="1"/>
  <c r="C121" i="7"/>
  <c r="AR63" i="3" s="1"/>
  <c r="D97" i="7"/>
  <c r="AS61" i="3" s="1"/>
  <c r="E97" i="7"/>
  <c r="AT61" i="3" s="1"/>
  <c r="F97" i="7"/>
  <c r="AU61" i="3" s="1"/>
  <c r="G97" i="7"/>
  <c r="AV61" i="3" s="1"/>
  <c r="C97" i="7"/>
  <c r="AR61" i="3" s="1"/>
  <c r="AV45" i="3" l="1"/>
  <c r="AU45" i="3"/>
  <c r="AT45" i="3"/>
  <c r="AS45" i="3"/>
  <c r="AR45" i="3"/>
  <c r="K45" i="3"/>
  <c r="AV29" i="3"/>
  <c r="AU29" i="3"/>
  <c r="AT29" i="3"/>
  <c r="AS29" i="3"/>
  <c r="AR29" i="3"/>
  <c r="K29" i="3"/>
  <c r="AV21" i="3"/>
  <c r="AU21" i="3"/>
  <c r="AT21" i="3"/>
  <c r="AS21" i="3"/>
  <c r="AR21" i="3"/>
  <c r="K21" i="3"/>
  <c r="AV20" i="3"/>
  <c r="AU20" i="3"/>
  <c r="AT20" i="3"/>
  <c r="AS20" i="3"/>
  <c r="AR20" i="3"/>
  <c r="K20" i="3"/>
  <c r="AV19" i="3"/>
  <c r="AU19" i="3"/>
  <c r="AT19" i="3"/>
  <c r="AS19" i="3"/>
  <c r="AR19" i="3"/>
  <c r="K19" i="3"/>
  <c r="AV17" i="3"/>
  <c r="AU17" i="3"/>
  <c r="AT17" i="3"/>
  <c r="AS17" i="3"/>
  <c r="AR17" i="3"/>
  <c r="K17" i="3"/>
  <c r="AV15" i="3"/>
  <c r="AU15" i="3"/>
  <c r="AT15" i="3"/>
  <c r="AS15" i="3"/>
  <c r="AR15" i="3"/>
  <c r="K15" i="3"/>
  <c r="AV14" i="3"/>
  <c r="AU14" i="3"/>
  <c r="AT14" i="3"/>
  <c r="AS14" i="3"/>
  <c r="AR14" i="3"/>
  <c r="K14" i="3"/>
  <c r="AT13" i="3"/>
  <c r="AS13" i="3"/>
  <c r="AR13" i="3"/>
  <c r="AV12" i="3"/>
  <c r="AU12" i="3"/>
  <c r="AT12" i="3"/>
  <c r="AS12" i="3"/>
  <c r="AR12" i="3"/>
  <c r="K12" i="3"/>
  <c r="AV8" i="3"/>
  <c r="AU8" i="3"/>
  <c r="AT8" i="3"/>
  <c r="AS8" i="3"/>
  <c r="AR8" i="3"/>
  <c r="K8" i="3"/>
  <c r="AV6" i="3"/>
  <c r="AU6" i="3"/>
  <c r="AT6" i="3"/>
  <c r="AS6" i="3"/>
  <c r="AR6" i="3"/>
  <c r="K6" i="3"/>
  <c r="AS4" i="3"/>
  <c r="AT4" i="3"/>
  <c r="AU4" i="3"/>
  <c r="AV4" i="3"/>
  <c r="AR4" i="3"/>
  <c r="K4" i="3"/>
  <c r="AV3" i="3"/>
  <c r="AU3" i="3"/>
  <c r="AT3" i="3"/>
  <c r="AS3" i="3"/>
  <c r="AR3" i="3"/>
  <c r="AS113" i="3"/>
  <c r="AT113" i="3"/>
  <c r="AU113" i="3"/>
  <c r="AV113" i="3"/>
  <c r="AR113" i="3"/>
  <c r="AM113" i="3"/>
  <c r="AS112" i="3"/>
  <c r="AT112" i="3"/>
  <c r="AU112" i="3"/>
  <c r="AV112" i="3"/>
  <c r="AR112" i="3"/>
  <c r="AM112" i="3"/>
  <c r="AS111" i="3"/>
  <c r="AT111" i="3"/>
  <c r="AU111" i="3"/>
  <c r="AV111" i="3"/>
  <c r="AR111" i="3"/>
  <c r="AM111" i="3"/>
  <c r="AS108" i="3"/>
  <c r="AT108" i="3"/>
  <c r="AU108" i="3"/>
  <c r="AV108" i="3"/>
  <c r="AR108" i="3"/>
  <c r="AM108" i="3"/>
  <c r="AS107" i="3"/>
  <c r="AT107" i="3"/>
  <c r="AU107" i="3"/>
  <c r="AV107" i="3"/>
  <c r="AR107" i="3"/>
  <c r="AM107" i="3"/>
  <c r="AS106" i="3"/>
  <c r="AT106" i="3"/>
  <c r="AU106" i="3"/>
  <c r="AV106" i="3"/>
  <c r="AR106" i="3"/>
  <c r="AM106" i="3"/>
  <c r="AS105" i="3"/>
  <c r="AT105" i="3"/>
  <c r="AU105" i="3"/>
  <c r="AV105" i="3"/>
  <c r="AR105" i="3"/>
  <c r="AM105" i="3"/>
  <c r="AS102" i="3"/>
  <c r="AT102" i="3"/>
  <c r="AU102" i="3"/>
  <c r="AV102" i="3"/>
  <c r="AR102" i="3"/>
  <c r="AM102" i="3"/>
  <c r="AS101" i="3"/>
  <c r="AT101" i="3"/>
  <c r="AU101" i="3"/>
  <c r="AV101" i="3"/>
  <c r="AR101" i="3"/>
  <c r="AM101" i="3"/>
  <c r="AS95" i="3"/>
  <c r="AT95" i="3"/>
  <c r="AU95" i="3"/>
  <c r="AV95" i="3"/>
  <c r="AR95" i="3"/>
  <c r="AM95" i="3"/>
  <c r="AS94" i="3"/>
  <c r="AT94" i="3"/>
  <c r="AU94" i="3"/>
  <c r="AV94" i="3"/>
  <c r="AR94" i="3"/>
  <c r="AM94" i="3"/>
  <c r="AM277" i="3" s="1"/>
  <c r="AS93" i="3"/>
  <c r="AT93" i="3"/>
  <c r="AU93" i="3"/>
  <c r="AV93" i="3"/>
  <c r="AR93" i="3"/>
  <c r="AM93" i="3"/>
  <c r="AR100" i="3"/>
  <c r="AS100" i="3"/>
  <c r="AT100" i="3"/>
  <c r="AU100" i="3"/>
  <c r="AV100" i="3"/>
  <c r="K114" i="3"/>
  <c r="AS91" i="3"/>
  <c r="AT91" i="3"/>
  <c r="AU91" i="3"/>
  <c r="AV91" i="3"/>
  <c r="AR91" i="3"/>
  <c r="AM91" i="3"/>
  <c r="AS90" i="3"/>
  <c r="AT90" i="3"/>
  <c r="AU90" i="3"/>
  <c r="AV90" i="3"/>
  <c r="AR90" i="3"/>
  <c r="AM90" i="3"/>
  <c r="AS30" i="3"/>
  <c r="AT30" i="3"/>
  <c r="AU30" i="3"/>
  <c r="AV30" i="3"/>
  <c r="AS83" i="3"/>
  <c r="AT83" i="3"/>
  <c r="AU83" i="3"/>
  <c r="AV83" i="3"/>
  <c r="AR83" i="3"/>
  <c r="AM83" i="3"/>
  <c r="AS82" i="3"/>
  <c r="AT82" i="3"/>
  <c r="AU82" i="3"/>
  <c r="AV82" i="3"/>
  <c r="AR82" i="3"/>
  <c r="AM82" i="3"/>
  <c r="AS80" i="3"/>
  <c r="AT80" i="3"/>
  <c r="AU80" i="3"/>
  <c r="AV80" i="3"/>
  <c r="AR80" i="3"/>
  <c r="AM80" i="3"/>
  <c r="AS79" i="3"/>
  <c r="AT79" i="3"/>
  <c r="AU79" i="3"/>
  <c r="AV79" i="3"/>
  <c r="AR79" i="3"/>
  <c r="AM79" i="3"/>
  <c r="AS78" i="3"/>
  <c r="AT78" i="3"/>
  <c r="AU78" i="3"/>
  <c r="AV78" i="3"/>
  <c r="AR78" i="3"/>
  <c r="AM78" i="3"/>
  <c r="AS77" i="3"/>
  <c r="AT77" i="3"/>
  <c r="AU77" i="3"/>
  <c r="AV77" i="3"/>
  <c r="AR77" i="3"/>
  <c r="AM77" i="3"/>
  <c r="AS76" i="3"/>
  <c r="AT76" i="3"/>
  <c r="AU76" i="3"/>
  <c r="AV76" i="3"/>
  <c r="AR76" i="3"/>
  <c r="AM76" i="3"/>
  <c r="AS75" i="3"/>
  <c r="AT75" i="3"/>
  <c r="AU75" i="3"/>
  <c r="AV75" i="3"/>
  <c r="AR75" i="3"/>
  <c r="AM75" i="3"/>
  <c r="AS74" i="3"/>
  <c r="AT74" i="3"/>
  <c r="AU74" i="3"/>
  <c r="AV74" i="3"/>
  <c r="AR74" i="3"/>
  <c r="AM74" i="3"/>
  <c r="AS70" i="3"/>
  <c r="AT70" i="3"/>
  <c r="AU70" i="3"/>
  <c r="AV70" i="3"/>
  <c r="AR70" i="3"/>
  <c r="AM70" i="3"/>
  <c r="AS67" i="3"/>
  <c r="AT67" i="3"/>
  <c r="AU67" i="3"/>
  <c r="AV67" i="3"/>
  <c r="AR67" i="3"/>
  <c r="AM67" i="3"/>
  <c r="AS66" i="3"/>
  <c r="AT66" i="3"/>
  <c r="AU66" i="3"/>
  <c r="AV66" i="3"/>
  <c r="AR66" i="3"/>
  <c r="AM66" i="3"/>
  <c r="AS65" i="3"/>
  <c r="AT65" i="3"/>
  <c r="AU65" i="3"/>
  <c r="AV65" i="3"/>
  <c r="AR65" i="3"/>
  <c r="AM65" i="3"/>
  <c r="AS64" i="3"/>
  <c r="AT64" i="3"/>
  <c r="AU64" i="3"/>
  <c r="AV64" i="3"/>
  <c r="AR64" i="3"/>
  <c r="AM64" i="3"/>
  <c r="AS62" i="3"/>
  <c r="AT62" i="3"/>
  <c r="AU62" i="3"/>
  <c r="AV62" i="3"/>
  <c r="AR62" i="3"/>
  <c r="AM62" i="3"/>
  <c r="AS60" i="3"/>
  <c r="AT60" i="3"/>
  <c r="AU60" i="3"/>
  <c r="AV60" i="3"/>
  <c r="AR60" i="3"/>
  <c r="AM60" i="3"/>
  <c r="AS59" i="3"/>
  <c r="AT59" i="3"/>
  <c r="AU59" i="3"/>
  <c r="AV59" i="3"/>
  <c r="AR59" i="3"/>
  <c r="AM59" i="3"/>
  <c r="AS58" i="3"/>
  <c r="AT58" i="3"/>
  <c r="AU58" i="3"/>
  <c r="AV58" i="3"/>
  <c r="AR58" i="3"/>
  <c r="AM58" i="3"/>
  <c r="AS57" i="3"/>
  <c r="AT57" i="3"/>
  <c r="AU57" i="3"/>
  <c r="AV57" i="3"/>
  <c r="AR57" i="3"/>
  <c r="AM57" i="3"/>
  <c r="AS56" i="3"/>
  <c r="AT56" i="3"/>
  <c r="AU56" i="3"/>
  <c r="AV56" i="3"/>
  <c r="AR56" i="3"/>
  <c r="AM56" i="3"/>
  <c r="AS55" i="3"/>
  <c r="AT55" i="3"/>
  <c r="AU55" i="3"/>
  <c r="AV55" i="3"/>
  <c r="AR55" i="3"/>
  <c r="AM55" i="3"/>
  <c r="AS54" i="3"/>
  <c r="AT54" i="3"/>
  <c r="AU54" i="3"/>
  <c r="AV54" i="3"/>
  <c r="AM54" i="3"/>
  <c r="AS44" i="3"/>
  <c r="AT44" i="3"/>
  <c r="AU44" i="3"/>
  <c r="AV44" i="3"/>
  <c r="AR44" i="3"/>
  <c r="AM44" i="3"/>
  <c r="AS43" i="3"/>
  <c r="AT43" i="3"/>
  <c r="AU43" i="3"/>
  <c r="AV43" i="3"/>
  <c r="AR43" i="3"/>
  <c r="AM43" i="3"/>
  <c r="AS42" i="3"/>
  <c r="AT42" i="3"/>
  <c r="AU42" i="3"/>
  <c r="AV42" i="3"/>
  <c r="AR42" i="3"/>
  <c r="AM42" i="3"/>
  <c r="AS38" i="3"/>
  <c r="AT38" i="3"/>
  <c r="AU38" i="3"/>
  <c r="AV38" i="3"/>
  <c r="AR38" i="3"/>
  <c r="AM38" i="3"/>
  <c r="AS37" i="3"/>
  <c r="AT37" i="3"/>
  <c r="AU37" i="3"/>
  <c r="AV37" i="3"/>
  <c r="AR37" i="3"/>
  <c r="AM37" i="3"/>
  <c r="AS36" i="3"/>
  <c r="AT36" i="3"/>
  <c r="AU36" i="3"/>
  <c r="AV36" i="3"/>
  <c r="AR36" i="3"/>
  <c r="AM36" i="3"/>
  <c r="AS35" i="3"/>
  <c r="AT35" i="3"/>
  <c r="AU35" i="3"/>
  <c r="AV35" i="3"/>
  <c r="AR35" i="3"/>
  <c r="AM35" i="3"/>
  <c r="AS34" i="3"/>
  <c r="AT34" i="3"/>
  <c r="AU34" i="3"/>
  <c r="AV34" i="3"/>
  <c r="AR34" i="3"/>
  <c r="AM34" i="3"/>
  <c r="AS33" i="3"/>
  <c r="AT33" i="3"/>
  <c r="AU33" i="3"/>
  <c r="AV33" i="3"/>
  <c r="AR33" i="3"/>
  <c r="AM33" i="3"/>
  <c r="AS32" i="3"/>
  <c r="AT32" i="3"/>
  <c r="AU32" i="3"/>
  <c r="AV32" i="3"/>
  <c r="AR32" i="3"/>
  <c r="AM32" i="3"/>
  <c r="AS31" i="3"/>
  <c r="AT31" i="3"/>
  <c r="AU31" i="3"/>
  <c r="AV31" i="3"/>
  <c r="AR31" i="3"/>
  <c r="AM31" i="3"/>
  <c r="AR30" i="3"/>
  <c r="AM30" i="3"/>
  <c r="AS28" i="3"/>
  <c r="AT28" i="3"/>
  <c r="AU28" i="3"/>
  <c r="AV28" i="3"/>
  <c r="AR28" i="3"/>
  <c r="AM28" i="3"/>
  <c r="AS27" i="3"/>
  <c r="AT27" i="3"/>
  <c r="AU27" i="3"/>
  <c r="AV27" i="3"/>
  <c r="AR27" i="3"/>
  <c r="AM27" i="3"/>
  <c r="AS25" i="3"/>
  <c r="AT25" i="3"/>
  <c r="AU25" i="3"/>
  <c r="AV25" i="3"/>
  <c r="AR25" i="3"/>
  <c r="AM25" i="3"/>
  <c r="AS24" i="3"/>
  <c r="AT24" i="3"/>
  <c r="AU24" i="3"/>
  <c r="AV24" i="3"/>
  <c r="AR24" i="3"/>
  <c r="AM24" i="3"/>
  <c r="AS23" i="3"/>
  <c r="AT23" i="3"/>
  <c r="AU23" i="3"/>
  <c r="AV23" i="3"/>
  <c r="AR23" i="3"/>
  <c r="AM23" i="3"/>
  <c r="AS26" i="3"/>
  <c r="AT26" i="3"/>
  <c r="AU26" i="3"/>
  <c r="AV26" i="3"/>
  <c r="AR26" i="3"/>
  <c r="AS22" i="3"/>
  <c r="AT22" i="3"/>
  <c r="AU22" i="3"/>
  <c r="AV22" i="3"/>
  <c r="AR22" i="3"/>
  <c r="AM22" i="3"/>
  <c r="AR57" i="2"/>
  <c r="Z201" i="3"/>
  <c r="AG57" i="2"/>
  <c r="U201" i="3"/>
  <c r="AB57" i="2"/>
  <c r="P201" i="3"/>
  <c r="W57" i="2"/>
  <c r="K201" i="3"/>
  <c r="R57" i="2"/>
  <c r="AN112" i="3"/>
  <c r="AO112" i="3"/>
  <c r="AP112" i="3"/>
  <c r="AQ112" i="3"/>
  <c r="AN113" i="3"/>
  <c r="AO113" i="3"/>
  <c r="AP113" i="3"/>
  <c r="AQ113" i="3"/>
  <c r="AN114" i="3"/>
  <c r="AO114" i="3"/>
  <c r="AP114" i="3"/>
  <c r="AQ114" i="3"/>
  <c r="AM114" i="3"/>
  <c r="AA112" i="3"/>
  <c r="AB112" i="3"/>
  <c r="AC112" i="3"/>
  <c r="AD112" i="3"/>
  <c r="AA113" i="3"/>
  <c r="AB113" i="3"/>
  <c r="AC113" i="3"/>
  <c r="AD113" i="3"/>
  <c r="AA114" i="3"/>
  <c r="AB114" i="3"/>
  <c r="AC114" i="3"/>
  <c r="AD114" i="3"/>
  <c r="Z114" i="3"/>
  <c r="Z113" i="3"/>
  <c r="Z112" i="3"/>
  <c r="V112" i="3"/>
  <c r="W112" i="3"/>
  <c r="X112" i="3"/>
  <c r="Y112" i="3"/>
  <c r="V113" i="3"/>
  <c r="W113" i="3"/>
  <c r="X113" i="3"/>
  <c r="Y113" i="3"/>
  <c r="V114" i="3"/>
  <c r="W114" i="3"/>
  <c r="X114" i="3"/>
  <c r="Y114" i="3"/>
  <c r="U114" i="3"/>
  <c r="U113" i="3"/>
  <c r="U112" i="3"/>
  <c r="Q112" i="3"/>
  <c r="R112" i="3"/>
  <c r="S112" i="3"/>
  <c r="T112" i="3"/>
  <c r="Q113" i="3"/>
  <c r="R113" i="3"/>
  <c r="S113" i="3"/>
  <c r="T113" i="3"/>
  <c r="Q114" i="3"/>
  <c r="R114" i="3"/>
  <c r="S114" i="3"/>
  <c r="T114" i="3"/>
  <c r="P114" i="3"/>
  <c r="P113" i="3"/>
  <c r="P112" i="3"/>
  <c r="L112" i="3"/>
  <c r="M112" i="3"/>
  <c r="N112" i="3"/>
  <c r="O112" i="3"/>
  <c r="L113" i="3"/>
  <c r="M113" i="3"/>
  <c r="N113" i="3"/>
  <c r="O113" i="3"/>
  <c r="L114" i="3"/>
  <c r="M114" i="3"/>
  <c r="N114" i="3"/>
  <c r="O114" i="3"/>
  <c r="K113" i="3"/>
  <c r="K112" i="3"/>
  <c r="AN111" i="3"/>
  <c r="AO111" i="3"/>
  <c r="AP111" i="3"/>
  <c r="AQ111" i="3"/>
  <c r="AA111" i="3"/>
  <c r="AB111" i="3"/>
  <c r="AC111" i="3"/>
  <c r="AD111" i="3"/>
  <c r="Z111" i="3"/>
  <c r="V111" i="3"/>
  <c r="W111" i="3"/>
  <c r="X111" i="3"/>
  <c r="Y111" i="3"/>
  <c r="U111" i="3"/>
  <c r="Q111" i="3"/>
  <c r="R111" i="3"/>
  <c r="S111" i="3"/>
  <c r="T111" i="3"/>
  <c r="P111" i="3"/>
  <c r="L111" i="3"/>
  <c r="M111" i="3"/>
  <c r="N111" i="3"/>
  <c r="O111" i="3"/>
  <c r="AN107" i="3"/>
  <c r="AO107" i="3"/>
  <c r="AP107" i="3"/>
  <c r="AQ107" i="3"/>
  <c r="AN108" i="3"/>
  <c r="AO108" i="3"/>
  <c r="AP108" i="3"/>
  <c r="AQ108" i="3"/>
  <c r="AA107" i="3"/>
  <c r="AB107" i="3"/>
  <c r="AC107" i="3"/>
  <c r="AD107" i="3"/>
  <c r="AA108" i="3"/>
  <c r="AB108" i="3"/>
  <c r="AC108" i="3"/>
  <c r="AD108" i="3"/>
  <c r="Z107" i="3"/>
  <c r="Z108" i="3"/>
  <c r="V107" i="3"/>
  <c r="W107" i="3"/>
  <c r="X107" i="3"/>
  <c r="Y107" i="3"/>
  <c r="V108" i="3"/>
  <c r="W108" i="3"/>
  <c r="X108" i="3"/>
  <c r="Y108" i="3"/>
  <c r="U108" i="3"/>
  <c r="U107" i="3"/>
  <c r="Q107" i="3"/>
  <c r="R107" i="3"/>
  <c r="S107" i="3"/>
  <c r="T107" i="3"/>
  <c r="Q108" i="3"/>
  <c r="R108" i="3"/>
  <c r="S108" i="3"/>
  <c r="T108" i="3"/>
  <c r="P107" i="3"/>
  <c r="P108" i="3"/>
  <c r="L107" i="3"/>
  <c r="M107" i="3"/>
  <c r="N107" i="3"/>
  <c r="O107" i="3"/>
  <c r="L108" i="3"/>
  <c r="M108" i="3"/>
  <c r="N108" i="3"/>
  <c r="O108" i="3"/>
  <c r="K108" i="3"/>
  <c r="K107" i="3"/>
  <c r="AN90" i="3"/>
  <c r="AO90" i="3"/>
  <c r="AP90" i="3"/>
  <c r="AQ90" i="3"/>
  <c r="AN91" i="3"/>
  <c r="AO91" i="3"/>
  <c r="AP91" i="3"/>
  <c r="AQ91" i="3"/>
  <c r="AN92" i="3"/>
  <c r="AO92" i="3"/>
  <c r="AP92" i="3"/>
  <c r="AQ92" i="3"/>
  <c r="AN93" i="3"/>
  <c r="AO93" i="3"/>
  <c r="AP93" i="3"/>
  <c r="AQ93" i="3"/>
  <c r="AN94" i="3"/>
  <c r="AN277" i="3" s="1"/>
  <c r="AO94" i="3"/>
  <c r="AO277" i="3" s="1"/>
  <c r="AP94" i="3"/>
  <c r="AP277" i="3" s="1"/>
  <c r="AQ94" i="3"/>
  <c r="AQ277" i="3" s="1"/>
  <c r="AN95" i="3"/>
  <c r="AO95" i="3"/>
  <c r="AP95" i="3"/>
  <c r="AQ95" i="3"/>
  <c r="AN100" i="3"/>
  <c r="AO100" i="3"/>
  <c r="AP100" i="3"/>
  <c r="AQ100" i="3"/>
  <c r="AN101" i="3"/>
  <c r="AO101" i="3"/>
  <c r="AP101" i="3"/>
  <c r="AQ101" i="3"/>
  <c r="AN102" i="3"/>
  <c r="AO102" i="3"/>
  <c r="AP102" i="3"/>
  <c r="AQ102" i="3"/>
  <c r="AN105" i="3"/>
  <c r="AO105" i="3"/>
  <c r="AP105" i="3"/>
  <c r="AQ105" i="3"/>
  <c r="AN106" i="3"/>
  <c r="AO106" i="3"/>
  <c r="AP106" i="3"/>
  <c r="AQ106" i="3"/>
  <c r="AM92" i="3"/>
  <c r="AA90" i="3"/>
  <c r="AB90" i="3"/>
  <c r="AC90" i="3"/>
  <c r="AD90" i="3"/>
  <c r="AA91" i="3"/>
  <c r="AB91" i="3"/>
  <c r="AC91" i="3"/>
  <c r="AD91" i="3"/>
  <c r="AA92" i="3"/>
  <c r="AB92" i="3"/>
  <c r="AC92" i="3"/>
  <c r="AD92" i="3"/>
  <c r="AA93" i="3"/>
  <c r="AB93" i="3"/>
  <c r="AC93" i="3"/>
  <c r="AD93" i="3"/>
  <c r="AA94" i="3"/>
  <c r="AB94" i="3"/>
  <c r="AC94" i="3"/>
  <c r="AD94" i="3"/>
  <c r="AA95" i="3"/>
  <c r="AB95" i="3"/>
  <c r="AC95" i="3"/>
  <c r="AD95" i="3"/>
  <c r="AA100" i="3"/>
  <c r="AB100" i="3"/>
  <c r="AC100" i="3"/>
  <c r="AD100" i="3"/>
  <c r="AA101" i="3"/>
  <c r="AB101" i="3"/>
  <c r="AC101" i="3"/>
  <c r="AD101" i="3"/>
  <c r="AA102" i="3"/>
  <c r="AB102" i="3"/>
  <c r="AC102" i="3"/>
  <c r="AD102" i="3"/>
  <c r="AA105" i="3"/>
  <c r="AB105" i="3"/>
  <c r="AC105" i="3"/>
  <c r="AD105" i="3"/>
  <c r="AA106" i="3"/>
  <c r="AB106" i="3"/>
  <c r="AC106" i="3"/>
  <c r="AD106" i="3"/>
  <c r="Z106" i="3"/>
  <c r="Z105" i="3"/>
  <c r="Z102" i="3"/>
  <c r="Z101" i="3"/>
  <c r="Z95" i="3"/>
  <c r="Z94" i="3"/>
  <c r="Z93" i="3"/>
  <c r="Z92" i="3"/>
  <c r="Z91" i="3"/>
  <c r="Z90" i="3"/>
  <c r="V90" i="3"/>
  <c r="W90" i="3"/>
  <c r="X90" i="3"/>
  <c r="Y90" i="3"/>
  <c r="V91" i="3"/>
  <c r="W91" i="3"/>
  <c r="X91" i="3"/>
  <c r="Y91" i="3"/>
  <c r="V92" i="3"/>
  <c r="W92" i="3"/>
  <c r="X92" i="3"/>
  <c r="Y92" i="3"/>
  <c r="V93" i="3"/>
  <c r="W93" i="3"/>
  <c r="X93" i="3"/>
  <c r="Y93" i="3"/>
  <c r="V94" i="3"/>
  <c r="W94" i="3"/>
  <c r="X94" i="3"/>
  <c r="Y94" i="3"/>
  <c r="V95" i="3"/>
  <c r="W95" i="3"/>
  <c r="X95" i="3"/>
  <c r="Y95" i="3"/>
  <c r="V100" i="3"/>
  <c r="W100" i="3"/>
  <c r="X100" i="3"/>
  <c r="Y100" i="3"/>
  <c r="V101" i="3"/>
  <c r="W101" i="3"/>
  <c r="X101" i="3"/>
  <c r="Y101" i="3"/>
  <c r="V102" i="3"/>
  <c r="W102" i="3"/>
  <c r="X102" i="3"/>
  <c r="Y102" i="3"/>
  <c r="V105" i="3"/>
  <c r="W105" i="3"/>
  <c r="X105" i="3"/>
  <c r="Y105" i="3"/>
  <c r="V106" i="3"/>
  <c r="W106" i="3"/>
  <c r="X106" i="3"/>
  <c r="Y106" i="3"/>
  <c r="U106" i="3"/>
  <c r="U105" i="3"/>
  <c r="U102" i="3"/>
  <c r="U101" i="3"/>
  <c r="U95" i="3"/>
  <c r="U94" i="3"/>
  <c r="U93" i="3"/>
  <c r="U92" i="3"/>
  <c r="U91" i="3"/>
  <c r="U90" i="3"/>
  <c r="Q90" i="3"/>
  <c r="R90" i="3"/>
  <c r="S90" i="3"/>
  <c r="T90" i="3"/>
  <c r="Q91" i="3"/>
  <c r="R91" i="3"/>
  <c r="S91" i="3"/>
  <c r="T91" i="3"/>
  <c r="Q92" i="3"/>
  <c r="R92" i="3"/>
  <c r="S92" i="3"/>
  <c r="T92" i="3"/>
  <c r="Q93" i="3"/>
  <c r="R93" i="3"/>
  <c r="S93" i="3"/>
  <c r="T93" i="3"/>
  <c r="Q94" i="3"/>
  <c r="R94" i="3"/>
  <c r="S94" i="3"/>
  <c r="T94" i="3"/>
  <c r="Q95" i="3"/>
  <c r="R95" i="3"/>
  <c r="S95" i="3"/>
  <c r="T95" i="3"/>
  <c r="Q100" i="3"/>
  <c r="R100" i="3"/>
  <c r="S100" i="3"/>
  <c r="T100" i="3"/>
  <c r="Q101" i="3"/>
  <c r="R101" i="3"/>
  <c r="S101" i="3"/>
  <c r="T101" i="3"/>
  <c r="Q102" i="3"/>
  <c r="R102" i="3"/>
  <c r="S102" i="3"/>
  <c r="T102" i="3"/>
  <c r="Q105" i="3"/>
  <c r="R105" i="3"/>
  <c r="S105" i="3"/>
  <c r="T105" i="3"/>
  <c r="Q106" i="3"/>
  <c r="R106" i="3"/>
  <c r="S106" i="3"/>
  <c r="T106" i="3"/>
  <c r="P106" i="3"/>
  <c r="P105" i="3"/>
  <c r="P102" i="3"/>
  <c r="P101" i="3"/>
  <c r="P95" i="3"/>
  <c r="P94" i="3"/>
  <c r="P93" i="3"/>
  <c r="P92" i="3"/>
  <c r="P91" i="3"/>
  <c r="P90" i="3"/>
  <c r="L90" i="3"/>
  <c r="M90" i="3"/>
  <c r="N90" i="3"/>
  <c r="O90" i="3"/>
  <c r="L91" i="3"/>
  <c r="M91" i="3"/>
  <c r="N91" i="3"/>
  <c r="O91" i="3"/>
  <c r="L92" i="3"/>
  <c r="M92" i="3"/>
  <c r="N92" i="3"/>
  <c r="O92" i="3"/>
  <c r="L93" i="3"/>
  <c r="M93" i="3"/>
  <c r="N93" i="3"/>
  <c r="O93" i="3"/>
  <c r="L94" i="3"/>
  <c r="M94" i="3"/>
  <c r="N94" i="3"/>
  <c r="O94" i="3"/>
  <c r="L95" i="3"/>
  <c r="M95" i="3"/>
  <c r="N95" i="3"/>
  <c r="O95" i="3"/>
  <c r="L100" i="3"/>
  <c r="M100" i="3"/>
  <c r="N100" i="3"/>
  <c r="O100" i="3"/>
  <c r="L101" i="3"/>
  <c r="M101" i="3"/>
  <c r="N101" i="3"/>
  <c r="O101" i="3"/>
  <c r="L102" i="3"/>
  <c r="M102" i="3"/>
  <c r="N102" i="3"/>
  <c r="O102" i="3"/>
  <c r="L105" i="3"/>
  <c r="M105" i="3"/>
  <c r="N105" i="3"/>
  <c r="O105" i="3"/>
  <c r="L106" i="3"/>
  <c r="M106" i="3"/>
  <c r="N106" i="3"/>
  <c r="O106" i="3"/>
  <c r="K106" i="3"/>
  <c r="K102" i="3"/>
  <c r="K101" i="3"/>
  <c r="K95" i="3"/>
  <c r="K94" i="3"/>
  <c r="K93" i="3"/>
  <c r="K91" i="3"/>
  <c r="K90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M81" i="3"/>
  <c r="AN81" i="3"/>
  <c r="AO81" i="3"/>
  <c r="AP81" i="3"/>
  <c r="AQ81" i="3"/>
  <c r="AN80" i="3"/>
  <c r="AO80" i="3"/>
  <c r="AP80" i="3"/>
  <c r="AQ80" i="3"/>
  <c r="AN82" i="3"/>
  <c r="AO82" i="3"/>
  <c r="AP82" i="3"/>
  <c r="AQ82" i="3"/>
  <c r="AN83" i="3"/>
  <c r="AO83" i="3"/>
  <c r="AP83" i="3"/>
  <c r="AQ83" i="3"/>
  <c r="AA80" i="3"/>
  <c r="AB80" i="3"/>
  <c r="AC80" i="3"/>
  <c r="AD80" i="3"/>
  <c r="AA82" i="3"/>
  <c r="AB82" i="3"/>
  <c r="AC82" i="3"/>
  <c r="AD82" i="3"/>
  <c r="AA83" i="3"/>
  <c r="AB83" i="3"/>
  <c r="AC83" i="3"/>
  <c r="AD83" i="3"/>
  <c r="Z83" i="3"/>
  <c r="Z82" i="3"/>
  <c r="Z80" i="3"/>
  <c r="V80" i="3"/>
  <c r="W80" i="3"/>
  <c r="X80" i="3"/>
  <c r="Y80" i="3"/>
  <c r="V82" i="3"/>
  <c r="W82" i="3"/>
  <c r="X82" i="3"/>
  <c r="Y82" i="3"/>
  <c r="V83" i="3"/>
  <c r="W83" i="3"/>
  <c r="X83" i="3"/>
  <c r="Y83" i="3"/>
  <c r="U83" i="3"/>
  <c r="U82" i="3"/>
  <c r="U80" i="3"/>
  <c r="Q80" i="3"/>
  <c r="R80" i="3"/>
  <c r="S80" i="3"/>
  <c r="T80" i="3"/>
  <c r="Q82" i="3"/>
  <c r="R82" i="3"/>
  <c r="S82" i="3"/>
  <c r="T82" i="3"/>
  <c r="Q83" i="3"/>
  <c r="R83" i="3"/>
  <c r="S83" i="3"/>
  <c r="T83" i="3"/>
  <c r="P83" i="3"/>
  <c r="P82" i="3"/>
  <c r="P80" i="3"/>
  <c r="L80" i="3"/>
  <c r="M80" i="3"/>
  <c r="N80" i="3"/>
  <c r="O80" i="3"/>
  <c r="L82" i="3"/>
  <c r="M82" i="3"/>
  <c r="N82" i="3"/>
  <c r="O82" i="3"/>
  <c r="L83" i="3"/>
  <c r="M83" i="3"/>
  <c r="N83" i="3"/>
  <c r="O83" i="3"/>
  <c r="K83" i="3"/>
  <c r="K82" i="3"/>
  <c r="K80" i="3"/>
  <c r="AN78" i="3"/>
  <c r="AO78" i="3"/>
  <c r="AP78" i="3"/>
  <c r="AQ78" i="3"/>
  <c r="AN79" i="3"/>
  <c r="AO79" i="3"/>
  <c r="AP79" i="3"/>
  <c r="AQ79" i="3"/>
  <c r="AA78" i="3"/>
  <c r="AB78" i="3"/>
  <c r="AC78" i="3"/>
  <c r="AD78" i="3"/>
  <c r="AA79" i="3"/>
  <c r="AB79" i="3"/>
  <c r="AC79" i="3"/>
  <c r="AD79" i="3"/>
  <c r="Z79" i="3"/>
  <c r="Z78" i="3"/>
  <c r="V78" i="3"/>
  <c r="W78" i="3"/>
  <c r="X78" i="3"/>
  <c r="Y78" i="3"/>
  <c r="V79" i="3"/>
  <c r="W79" i="3"/>
  <c r="X79" i="3"/>
  <c r="Y79" i="3"/>
  <c r="U79" i="3"/>
  <c r="U78" i="3"/>
  <c r="Q78" i="3"/>
  <c r="R78" i="3"/>
  <c r="S78" i="3"/>
  <c r="T78" i="3"/>
  <c r="Q79" i="3"/>
  <c r="R79" i="3"/>
  <c r="S79" i="3"/>
  <c r="T79" i="3"/>
  <c r="P79" i="3"/>
  <c r="P78" i="3"/>
  <c r="L78" i="3"/>
  <c r="M78" i="3"/>
  <c r="N78" i="3"/>
  <c r="O78" i="3"/>
  <c r="L79" i="3"/>
  <c r="M79" i="3"/>
  <c r="N79" i="3"/>
  <c r="O79" i="3"/>
  <c r="K79" i="3"/>
  <c r="K78" i="3"/>
  <c r="AN75" i="3"/>
  <c r="AO75" i="3"/>
  <c r="AP75" i="3"/>
  <c r="AQ75" i="3"/>
  <c r="AN76" i="3"/>
  <c r="AO76" i="3"/>
  <c r="AP76" i="3"/>
  <c r="AQ76" i="3"/>
  <c r="AN77" i="3"/>
  <c r="AO77" i="3"/>
  <c r="AP77" i="3"/>
  <c r="AQ77" i="3"/>
  <c r="AA75" i="3"/>
  <c r="AB75" i="3"/>
  <c r="AC75" i="3"/>
  <c r="AD75" i="3"/>
  <c r="AA76" i="3"/>
  <c r="AB76" i="3"/>
  <c r="AC76" i="3"/>
  <c r="AD76" i="3"/>
  <c r="AA77" i="3"/>
  <c r="AB77" i="3"/>
  <c r="AC77" i="3"/>
  <c r="AD77" i="3"/>
  <c r="Z77" i="3"/>
  <c r="Z76" i="3"/>
  <c r="W75" i="3"/>
  <c r="X75" i="3"/>
  <c r="Y75" i="3"/>
  <c r="W76" i="3"/>
  <c r="X76" i="3"/>
  <c r="Y76" i="3"/>
  <c r="W77" i="3"/>
  <c r="X77" i="3"/>
  <c r="Y77" i="3"/>
  <c r="V77" i="3"/>
  <c r="V76" i="3"/>
  <c r="V75" i="3"/>
  <c r="Q75" i="3"/>
  <c r="R75" i="3"/>
  <c r="S75" i="3"/>
  <c r="T75" i="3"/>
  <c r="Q76" i="3"/>
  <c r="R76" i="3"/>
  <c r="S76" i="3"/>
  <c r="T76" i="3"/>
  <c r="Q77" i="3"/>
  <c r="R77" i="3"/>
  <c r="S77" i="3"/>
  <c r="T77" i="3"/>
  <c r="P77" i="3"/>
  <c r="P76" i="3"/>
  <c r="K75" i="3"/>
  <c r="L75" i="3"/>
  <c r="M75" i="3"/>
  <c r="N75" i="3"/>
  <c r="O75" i="3"/>
  <c r="L76" i="3"/>
  <c r="M76" i="3"/>
  <c r="N76" i="3"/>
  <c r="O76" i="3"/>
  <c r="L77" i="3"/>
  <c r="M77" i="3"/>
  <c r="N77" i="3"/>
  <c r="O77" i="3"/>
  <c r="K76" i="3"/>
  <c r="K77" i="3"/>
  <c r="Z75" i="3"/>
  <c r="U75" i="3"/>
  <c r="P75" i="3"/>
  <c r="AN74" i="3"/>
  <c r="AO74" i="3"/>
  <c r="AP74" i="3"/>
  <c r="AQ74" i="3"/>
  <c r="AA74" i="3"/>
  <c r="AB74" i="3"/>
  <c r="AC74" i="3"/>
  <c r="AD74" i="3"/>
  <c r="Z74" i="3"/>
  <c r="V74" i="3"/>
  <c r="W74" i="3"/>
  <c r="X74" i="3"/>
  <c r="Y74" i="3"/>
  <c r="U74" i="3"/>
  <c r="K74" i="3"/>
  <c r="Q74" i="3"/>
  <c r="R74" i="3"/>
  <c r="S74" i="3"/>
  <c r="T74" i="3"/>
  <c r="L74" i="3"/>
  <c r="M74" i="3"/>
  <c r="N74" i="3"/>
  <c r="O74" i="3"/>
  <c r="L70" i="3"/>
  <c r="M70" i="3"/>
  <c r="N70" i="3"/>
  <c r="O70" i="3"/>
  <c r="P74" i="3"/>
  <c r="AN73" i="3"/>
  <c r="AO73" i="3"/>
  <c r="AP73" i="3"/>
  <c r="AQ73" i="3"/>
  <c r="AM73" i="3"/>
  <c r="AA73" i="3"/>
  <c r="AB73" i="3"/>
  <c r="AC73" i="3"/>
  <c r="AD73" i="3"/>
  <c r="Z73" i="3"/>
  <c r="V73" i="3"/>
  <c r="W73" i="3"/>
  <c r="X73" i="3"/>
  <c r="Y73" i="3"/>
  <c r="U73" i="3"/>
  <c r="Q73" i="3"/>
  <c r="R73" i="3"/>
  <c r="S73" i="3"/>
  <c r="T73" i="3"/>
  <c r="P73" i="3"/>
  <c r="L73" i="3"/>
  <c r="M73" i="3"/>
  <c r="N73" i="3"/>
  <c r="O73" i="3"/>
  <c r="K70" i="3"/>
  <c r="AN70" i="3"/>
  <c r="AO70" i="3"/>
  <c r="AP70" i="3"/>
  <c r="AQ70" i="3"/>
  <c r="AA70" i="3"/>
  <c r="AB70" i="3"/>
  <c r="AC70" i="3"/>
  <c r="AD70" i="3"/>
  <c r="Z70" i="3"/>
  <c r="V70" i="3"/>
  <c r="W70" i="3"/>
  <c r="X70" i="3"/>
  <c r="Y70" i="3"/>
  <c r="U70" i="3"/>
  <c r="Q70" i="3"/>
  <c r="R70" i="3"/>
  <c r="S70" i="3"/>
  <c r="T70" i="3"/>
  <c r="P70" i="3"/>
  <c r="AN64" i="3"/>
  <c r="AO64" i="3"/>
  <c r="AP64" i="3"/>
  <c r="AQ64" i="3"/>
  <c r="AN65" i="3"/>
  <c r="AO65" i="3"/>
  <c r="AP65" i="3"/>
  <c r="AQ65" i="3"/>
  <c r="AN66" i="3"/>
  <c r="AO66" i="3"/>
  <c r="AP66" i="3"/>
  <c r="AQ66" i="3"/>
  <c r="AN67" i="3"/>
  <c r="AO67" i="3"/>
  <c r="AP67" i="3"/>
  <c r="AQ67" i="3"/>
  <c r="AA64" i="3"/>
  <c r="AB64" i="3"/>
  <c r="AC64" i="3"/>
  <c r="AD64" i="3"/>
  <c r="AA65" i="3"/>
  <c r="AB65" i="3"/>
  <c r="AC65" i="3"/>
  <c r="AD65" i="3"/>
  <c r="AA66" i="3"/>
  <c r="AB66" i="3"/>
  <c r="AC66" i="3"/>
  <c r="AD66" i="3"/>
  <c r="AA67" i="3"/>
  <c r="AB67" i="3"/>
  <c r="AC67" i="3"/>
  <c r="AD67" i="3"/>
  <c r="Z67" i="3"/>
  <c r="Z66" i="3"/>
  <c r="Z65" i="3"/>
  <c r="Z64" i="3"/>
  <c r="U64" i="3"/>
  <c r="V64" i="3"/>
  <c r="W64" i="3"/>
  <c r="X64" i="3"/>
  <c r="Y64" i="3"/>
  <c r="V65" i="3"/>
  <c r="W65" i="3"/>
  <c r="X65" i="3"/>
  <c r="Y65" i="3"/>
  <c r="V66" i="3"/>
  <c r="W66" i="3"/>
  <c r="X66" i="3"/>
  <c r="Y66" i="3"/>
  <c r="V67" i="3"/>
  <c r="W67" i="3"/>
  <c r="X67" i="3"/>
  <c r="Y67" i="3"/>
  <c r="U67" i="3"/>
  <c r="U66" i="3"/>
  <c r="U65" i="3"/>
  <c r="Q64" i="3"/>
  <c r="R64" i="3"/>
  <c r="S64" i="3"/>
  <c r="T64" i="3"/>
  <c r="Q65" i="3"/>
  <c r="R65" i="3"/>
  <c r="S65" i="3"/>
  <c r="T65" i="3"/>
  <c r="Q66" i="3"/>
  <c r="R66" i="3"/>
  <c r="S66" i="3"/>
  <c r="T66" i="3"/>
  <c r="Q67" i="3"/>
  <c r="R67" i="3"/>
  <c r="S67" i="3"/>
  <c r="T67" i="3"/>
  <c r="P67" i="3"/>
  <c r="P66" i="3"/>
  <c r="P65" i="3"/>
  <c r="P64" i="3"/>
  <c r="K64" i="3"/>
  <c r="L64" i="3"/>
  <c r="M64" i="3"/>
  <c r="N64" i="3"/>
  <c r="O64" i="3"/>
  <c r="L65" i="3"/>
  <c r="M65" i="3"/>
  <c r="N65" i="3"/>
  <c r="O65" i="3"/>
  <c r="L66" i="3"/>
  <c r="M66" i="3"/>
  <c r="N66" i="3"/>
  <c r="O66" i="3"/>
  <c r="L67" i="3"/>
  <c r="M67" i="3"/>
  <c r="N67" i="3"/>
  <c r="O67" i="3"/>
  <c r="K67" i="3"/>
  <c r="K66" i="3"/>
  <c r="K65" i="3"/>
  <c r="AN62" i="3"/>
  <c r="AO62" i="3"/>
  <c r="AP62" i="3"/>
  <c r="AQ62" i="3"/>
  <c r="AN60" i="3"/>
  <c r="AO60" i="3"/>
  <c r="AP60" i="3"/>
  <c r="AQ60" i="3"/>
  <c r="AA62" i="3"/>
  <c r="AB62" i="3"/>
  <c r="AC62" i="3"/>
  <c r="AD62" i="3"/>
  <c r="AA60" i="3"/>
  <c r="AB60" i="3"/>
  <c r="AC60" i="3"/>
  <c r="AD60" i="3"/>
  <c r="Z62" i="3"/>
  <c r="Z60" i="3"/>
  <c r="V62" i="3"/>
  <c r="W62" i="3"/>
  <c r="X62" i="3"/>
  <c r="Y62" i="3"/>
  <c r="V60" i="3"/>
  <c r="W60" i="3"/>
  <c r="X60" i="3"/>
  <c r="Y60" i="3"/>
  <c r="U62" i="3"/>
  <c r="U60" i="3"/>
  <c r="Q62" i="3"/>
  <c r="R62" i="3"/>
  <c r="S62" i="3"/>
  <c r="T62" i="3"/>
  <c r="Q60" i="3"/>
  <c r="R60" i="3"/>
  <c r="S60" i="3"/>
  <c r="T60" i="3"/>
  <c r="P62" i="3"/>
  <c r="P60" i="3"/>
  <c r="K60" i="3"/>
  <c r="L62" i="3"/>
  <c r="M62" i="3"/>
  <c r="N62" i="3"/>
  <c r="O62" i="3"/>
  <c r="L60" i="3"/>
  <c r="M60" i="3"/>
  <c r="N60" i="3"/>
  <c r="O60" i="3"/>
  <c r="K62" i="3"/>
  <c r="AN58" i="3"/>
  <c r="AO58" i="3"/>
  <c r="AP58" i="3"/>
  <c r="AQ58" i="3"/>
  <c r="AN59" i="3"/>
  <c r="AO59" i="3"/>
  <c r="AP59" i="3"/>
  <c r="AQ59" i="3"/>
  <c r="AA58" i="3"/>
  <c r="AB58" i="3"/>
  <c r="AC58" i="3"/>
  <c r="AD58" i="3"/>
  <c r="AA59" i="3"/>
  <c r="AB59" i="3"/>
  <c r="AC59" i="3"/>
  <c r="AD59" i="3"/>
  <c r="Z59" i="3"/>
  <c r="Z58" i="3"/>
  <c r="V58" i="3"/>
  <c r="W58" i="3"/>
  <c r="X58" i="3"/>
  <c r="Y58" i="3"/>
  <c r="V59" i="3"/>
  <c r="W59" i="3"/>
  <c r="X59" i="3"/>
  <c r="Y59" i="3"/>
  <c r="U59" i="3"/>
  <c r="U58" i="3"/>
  <c r="Q58" i="3"/>
  <c r="R58" i="3"/>
  <c r="S58" i="3"/>
  <c r="T58" i="3"/>
  <c r="Q59" i="3"/>
  <c r="R59" i="3"/>
  <c r="S59" i="3"/>
  <c r="T59" i="3"/>
  <c r="P59" i="3"/>
  <c r="P58" i="3"/>
  <c r="K58" i="3"/>
  <c r="L58" i="3"/>
  <c r="M58" i="3"/>
  <c r="N58" i="3"/>
  <c r="O58" i="3"/>
  <c r="L59" i="3"/>
  <c r="M59" i="3"/>
  <c r="N59" i="3"/>
  <c r="O59" i="3"/>
  <c r="K59" i="3"/>
  <c r="AN57" i="3"/>
  <c r="AO57" i="3"/>
  <c r="AP57" i="3"/>
  <c r="AQ57" i="3"/>
  <c r="AA57" i="3"/>
  <c r="AB57" i="3"/>
  <c r="AC57" i="3"/>
  <c r="AD57" i="3"/>
  <c r="Z57" i="3"/>
  <c r="V57" i="3"/>
  <c r="W57" i="3"/>
  <c r="X57" i="3"/>
  <c r="Y57" i="3"/>
  <c r="U57" i="3"/>
  <c r="Q57" i="3"/>
  <c r="R57" i="3"/>
  <c r="S57" i="3"/>
  <c r="T57" i="3"/>
  <c r="P57" i="3"/>
  <c r="L57" i="3"/>
  <c r="M57" i="3"/>
  <c r="N57" i="3"/>
  <c r="O57" i="3"/>
  <c r="K57" i="3"/>
  <c r="AN56" i="3"/>
  <c r="AO56" i="3"/>
  <c r="AP56" i="3"/>
  <c r="AQ56" i="3"/>
  <c r="AA56" i="3"/>
  <c r="AB56" i="3"/>
  <c r="AC56" i="3"/>
  <c r="AD56" i="3"/>
  <c r="Z56" i="3"/>
  <c r="V56" i="3"/>
  <c r="W56" i="3"/>
  <c r="X56" i="3"/>
  <c r="Y56" i="3"/>
  <c r="U56" i="3"/>
  <c r="Q56" i="3"/>
  <c r="R56" i="3"/>
  <c r="S56" i="3"/>
  <c r="T56" i="3"/>
  <c r="P56" i="3"/>
  <c r="L56" i="3"/>
  <c r="M56" i="3"/>
  <c r="N56" i="3"/>
  <c r="O56" i="3"/>
  <c r="K56" i="3"/>
  <c r="AN55" i="3"/>
  <c r="AO55" i="3"/>
  <c r="AP55" i="3"/>
  <c r="AQ55" i="3"/>
  <c r="AA55" i="3"/>
  <c r="AB55" i="3"/>
  <c r="AC55" i="3"/>
  <c r="AD55" i="3"/>
  <c r="Z55" i="3"/>
  <c r="V55" i="3"/>
  <c r="W55" i="3"/>
  <c r="X55" i="3"/>
  <c r="Y55" i="3"/>
  <c r="U55" i="3"/>
  <c r="Q55" i="3"/>
  <c r="R55" i="3"/>
  <c r="S55" i="3"/>
  <c r="T55" i="3"/>
  <c r="P55" i="3"/>
  <c r="L55" i="3"/>
  <c r="M55" i="3"/>
  <c r="N55" i="3"/>
  <c r="O55" i="3"/>
  <c r="K55" i="3"/>
  <c r="AN54" i="3"/>
  <c r="AO54" i="3"/>
  <c r="AP54" i="3"/>
  <c r="AQ54" i="3"/>
  <c r="AA54" i="3"/>
  <c r="AB54" i="3"/>
  <c r="AC54" i="3"/>
  <c r="AD54" i="3"/>
  <c r="Z54" i="3"/>
  <c r="V54" i="3"/>
  <c r="W54" i="3"/>
  <c r="X54" i="3"/>
  <c r="Y54" i="3"/>
  <c r="U54" i="3"/>
  <c r="Q54" i="3"/>
  <c r="R54" i="3"/>
  <c r="S54" i="3"/>
  <c r="T54" i="3"/>
  <c r="P54" i="3"/>
  <c r="L54" i="3"/>
  <c r="M54" i="3"/>
  <c r="N54" i="3"/>
  <c r="O54" i="3"/>
  <c r="AN44" i="3"/>
  <c r="AO44" i="3"/>
  <c r="AP44" i="3"/>
  <c r="AQ44" i="3"/>
  <c r="AA44" i="3"/>
  <c r="AB44" i="3"/>
  <c r="AC44" i="3"/>
  <c r="AD44" i="3"/>
  <c r="Z44" i="3"/>
  <c r="V44" i="3"/>
  <c r="W44" i="3"/>
  <c r="X44" i="3"/>
  <c r="Y44" i="3"/>
  <c r="U44" i="3"/>
  <c r="Q44" i="3"/>
  <c r="R44" i="3"/>
  <c r="S44" i="3"/>
  <c r="T44" i="3"/>
  <c r="P44" i="3"/>
  <c r="L44" i="3"/>
  <c r="M44" i="3"/>
  <c r="N44" i="3"/>
  <c r="O44" i="3"/>
  <c r="K44" i="3"/>
  <c r="AN43" i="3"/>
  <c r="AO43" i="3"/>
  <c r="AP43" i="3"/>
  <c r="AQ43" i="3"/>
  <c r="AA43" i="3"/>
  <c r="AB43" i="3"/>
  <c r="AC43" i="3"/>
  <c r="AD43" i="3"/>
  <c r="Z43" i="3"/>
  <c r="V43" i="3"/>
  <c r="W43" i="3"/>
  <c r="X43" i="3"/>
  <c r="Y43" i="3"/>
  <c r="U43" i="3"/>
  <c r="Q43" i="3"/>
  <c r="R43" i="3"/>
  <c r="S43" i="3"/>
  <c r="T43" i="3"/>
  <c r="P43" i="3"/>
  <c r="K43" i="3"/>
  <c r="L43" i="3"/>
  <c r="M43" i="3"/>
  <c r="N43" i="3"/>
  <c r="O43" i="3"/>
  <c r="AN42" i="3"/>
  <c r="AO42" i="3"/>
  <c r="AP42" i="3"/>
  <c r="AQ42" i="3"/>
  <c r="AA42" i="3"/>
  <c r="AB42" i="3"/>
  <c r="AC42" i="3"/>
  <c r="AD42" i="3"/>
  <c r="Z42" i="3"/>
  <c r="V42" i="3"/>
  <c r="W42" i="3"/>
  <c r="X42" i="3"/>
  <c r="Y42" i="3"/>
  <c r="U42" i="3"/>
  <c r="K42" i="3"/>
  <c r="Q42" i="3"/>
  <c r="R42" i="3"/>
  <c r="S42" i="3"/>
  <c r="T42" i="3"/>
  <c r="P42" i="3"/>
  <c r="L42" i="3"/>
  <c r="M42" i="3"/>
  <c r="N42" i="3"/>
  <c r="O42" i="3"/>
  <c r="AN38" i="3"/>
  <c r="AO38" i="3"/>
  <c r="AP38" i="3"/>
  <c r="AQ38" i="3"/>
  <c r="AA38" i="3"/>
  <c r="AB38" i="3"/>
  <c r="AC38" i="3"/>
  <c r="AD38" i="3"/>
  <c r="Z38" i="3"/>
  <c r="V38" i="3"/>
  <c r="W38" i="3"/>
  <c r="X38" i="3"/>
  <c r="Y38" i="3"/>
  <c r="U38" i="3"/>
  <c r="Q38" i="3"/>
  <c r="R38" i="3"/>
  <c r="S38" i="3"/>
  <c r="T38" i="3"/>
  <c r="P38" i="3"/>
  <c r="K38" i="3"/>
  <c r="L38" i="3"/>
  <c r="M38" i="3"/>
  <c r="N38" i="3"/>
  <c r="O38" i="3"/>
  <c r="AN37" i="3"/>
  <c r="AO37" i="3"/>
  <c r="AP37" i="3"/>
  <c r="AQ37" i="3"/>
  <c r="AA37" i="3"/>
  <c r="AB37" i="3"/>
  <c r="AC37" i="3"/>
  <c r="AD37" i="3"/>
  <c r="Z37" i="3"/>
  <c r="V37" i="3"/>
  <c r="W37" i="3"/>
  <c r="X37" i="3"/>
  <c r="Y37" i="3"/>
  <c r="U37" i="3"/>
  <c r="Q37" i="3"/>
  <c r="R37" i="3"/>
  <c r="S37" i="3"/>
  <c r="T37" i="3"/>
  <c r="P37" i="3"/>
  <c r="K37" i="3"/>
  <c r="L37" i="3"/>
  <c r="M37" i="3"/>
  <c r="N37" i="3"/>
  <c r="O37" i="3"/>
  <c r="AN36" i="3"/>
  <c r="AO36" i="3"/>
  <c r="AP36" i="3"/>
  <c r="AQ36" i="3"/>
  <c r="AA36" i="3"/>
  <c r="AB36" i="3"/>
  <c r="AC36" i="3"/>
  <c r="AD36" i="3"/>
  <c r="Z36" i="3"/>
  <c r="V36" i="3"/>
  <c r="W36" i="3"/>
  <c r="X36" i="3"/>
  <c r="Y36" i="3"/>
  <c r="U36" i="3"/>
  <c r="Q36" i="3"/>
  <c r="R36" i="3"/>
  <c r="S36" i="3"/>
  <c r="T36" i="3"/>
  <c r="P36" i="3"/>
  <c r="L36" i="3"/>
  <c r="M36" i="3"/>
  <c r="N36" i="3"/>
  <c r="O36" i="3"/>
  <c r="K36" i="3"/>
  <c r="K221" i="3" s="1"/>
  <c r="AN35" i="3"/>
  <c r="AO35" i="3"/>
  <c r="AP35" i="3"/>
  <c r="AQ35" i="3"/>
  <c r="AA35" i="3"/>
  <c r="AB35" i="3"/>
  <c r="AC35" i="3"/>
  <c r="AD35" i="3"/>
  <c r="Z35" i="3"/>
  <c r="V35" i="3"/>
  <c r="W35" i="3"/>
  <c r="X35" i="3"/>
  <c r="Y35" i="3"/>
  <c r="U35" i="3"/>
  <c r="Q35" i="3"/>
  <c r="R35" i="3"/>
  <c r="S35" i="3"/>
  <c r="T35" i="3"/>
  <c r="P35" i="3"/>
  <c r="L35" i="3"/>
  <c r="M35" i="3"/>
  <c r="N35" i="3"/>
  <c r="O35" i="3"/>
  <c r="K35" i="3"/>
  <c r="K34" i="3"/>
  <c r="AN34" i="3"/>
  <c r="AO34" i="3"/>
  <c r="AP34" i="3"/>
  <c r="AQ34" i="3"/>
  <c r="AA34" i="3"/>
  <c r="AB34" i="3"/>
  <c r="AC34" i="3"/>
  <c r="AD34" i="3"/>
  <c r="Z34" i="3"/>
  <c r="V34" i="3"/>
  <c r="W34" i="3"/>
  <c r="X34" i="3"/>
  <c r="Y34" i="3"/>
  <c r="U34" i="3"/>
  <c r="Q34" i="3"/>
  <c r="R34" i="3"/>
  <c r="S34" i="3"/>
  <c r="T34" i="3"/>
  <c r="P34" i="3"/>
  <c r="L34" i="3"/>
  <c r="M34" i="3"/>
  <c r="N34" i="3"/>
  <c r="O34" i="3"/>
  <c r="K33" i="3"/>
  <c r="AN33" i="3"/>
  <c r="AO33" i="3"/>
  <c r="AP33" i="3"/>
  <c r="AQ33" i="3"/>
  <c r="AA33" i="3"/>
  <c r="AB33" i="3"/>
  <c r="AC33" i="3"/>
  <c r="AD33" i="3"/>
  <c r="Z33" i="3"/>
  <c r="V33" i="3"/>
  <c r="W33" i="3"/>
  <c r="X33" i="3"/>
  <c r="Y33" i="3"/>
  <c r="U33" i="3"/>
  <c r="Q33" i="3"/>
  <c r="R33" i="3"/>
  <c r="S33" i="3"/>
  <c r="T33" i="3"/>
  <c r="P33" i="3"/>
  <c r="L33" i="3"/>
  <c r="M33" i="3"/>
  <c r="N33" i="3"/>
  <c r="O33" i="3"/>
  <c r="AN32" i="3"/>
  <c r="AO32" i="3"/>
  <c r="AP32" i="3"/>
  <c r="AQ32" i="3"/>
  <c r="AA32" i="3"/>
  <c r="AB32" i="3"/>
  <c r="AC32" i="3"/>
  <c r="AD32" i="3"/>
  <c r="Z32" i="3"/>
  <c r="V32" i="3"/>
  <c r="W32" i="3"/>
  <c r="X32" i="3"/>
  <c r="Y32" i="3"/>
  <c r="U32" i="3"/>
  <c r="Q32" i="3"/>
  <c r="R32" i="3"/>
  <c r="S32" i="3"/>
  <c r="T32" i="3"/>
  <c r="P32" i="3"/>
  <c r="L32" i="3"/>
  <c r="M32" i="3"/>
  <c r="N32" i="3"/>
  <c r="O32" i="3"/>
  <c r="K32" i="3"/>
  <c r="AN31" i="3"/>
  <c r="AO31" i="3"/>
  <c r="AP31" i="3"/>
  <c r="AQ31" i="3"/>
  <c r="AA31" i="3"/>
  <c r="AB31" i="3"/>
  <c r="AC31" i="3"/>
  <c r="AD31" i="3"/>
  <c r="Z31" i="3"/>
  <c r="V31" i="3"/>
  <c r="W31" i="3"/>
  <c r="X31" i="3"/>
  <c r="Y31" i="3"/>
  <c r="U31" i="3"/>
  <c r="Q31" i="3"/>
  <c r="R31" i="3"/>
  <c r="S31" i="3"/>
  <c r="T31" i="3"/>
  <c r="P31" i="3"/>
  <c r="L31" i="3"/>
  <c r="M31" i="3"/>
  <c r="N31" i="3"/>
  <c r="O31" i="3"/>
  <c r="K31" i="3"/>
  <c r="K30" i="3"/>
  <c r="AN30" i="3"/>
  <c r="AO30" i="3"/>
  <c r="AP30" i="3"/>
  <c r="AQ30" i="3"/>
  <c r="AA30" i="3"/>
  <c r="AB30" i="3"/>
  <c r="AC30" i="3"/>
  <c r="AD30" i="3"/>
  <c r="Z30" i="3"/>
  <c r="V30" i="3"/>
  <c r="W30" i="3"/>
  <c r="X30" i="3"/>
  <c r="Y30" i="3"/>
  <c r="U30" i="3"/>
  <c r="Q30" i="3"/>
  <c r="R30" i="3"/>
  <c r="S30" i="3"/>
  <c r="T30" i="3"/>
  <c r="P30" i="3"/>
  <c r="L30" i="3"/>
  <c r="M30" i="3"/>
  <c r="N30" i="3"/>
  <c r="O30" i="3"/>
  <c r="AN28" i="3"/>
  <c r="AO28" i="3"/>
  <c r="AP28" i="3"/>
  <c r="AQ28" i="3"/>
  <c r="AA28" i="3"/>
  <c r="AB28" i="3"/>
  <c r="AC28" i="3"/>
  <c r="AD28" i="3"/>
  <c r="Z28" i="3"/>
  <c r="V28" i="3"/>
  <c r="W28" i="3"/>
  <c r="X28" i="3"/>
  <c r="Y28" i="3"/>
  <c r="U28" i="3"/>
  <c r="Q28" i="3"/>
  <c r="R28" i="3"/>
  <c r="S28" i="3"/>
  <c r="T28" i="3"/>
  <c r="P28" i="3"/>
  <c r="K28" i="3"/>
  <c r="L28" i="3"/>
  <c r="M28" i="3"/>
  <c r="N28" i="3"/>
  <c r="O28" i="3"/>
  <c r="AN27" i="3"/>
  <c r="AO27" i="3"/>
  <c r="AP27" i="3"/>
  <c r="AQ27" i="3"/>
  <c r="AA27" i="3"/>
  <c r="AB27" i="3"/>
  <c r="AC27" i="3"/>
  <c r="AD27" i="3"/>
  <c r="Z27" i="3"/>
  <c r="V27" i="3"/>
  <c r="W27" i="3"/>
  <c r="X27" i="3"/>
  <c r="Y27" i="3"/>
  <c r="U27" i="3"/>
  <c r="Q27" i="3"/>
  <c r="R27" i="3"/>
  <c r="S27" i="3"/>
  <c r="T27" i="3"/>
  <c r="P27" i="3"/>
  <c r="K27" i="3"/>
  <c r="L27" i="3"/>
  <c r="M27" i="3"/>
  <c r="N27" i="3"/>
  <c r="O27" i="3"/>
  <c r="K25" i="3"/>
  <c r="AN25" i="3"/>
  <c r="AO25" i="3"/>
  <c r="AP25" i="3"/>
  <c r="AQ25" i="3"/>
  <c r="AA25" i="3"/>
  <c r="AB25" i="3"/>
  <c r="AC25" i="3"/>
  <c r="AD25" i="3"/>
  <c r="Z25" i="3"/>
  <c r="V25" i="3"/>
  <c r="W25" i="3"/>
  <c r="X25" i="3"/>
  <c r="Y25" i="3"/>
  <c r="U25" i="3"/>
  <c r="Q25" i="3"/>
  <c r="R25" i="3"/>
  <c r="S25" i="3"/>
  <c r="T25" i="3"/>
  <c r="P25" i="3"/>
  <c r="L25" i="3"/>
  <c r="M25" i="3"/>
  <c r="N25" i="3"/>
  <c r="O25" i="3"/>
  <c r="AN24" i="3"/>
  <c r="AO24" i="3"/>
  <c r="AP24" i="3"/>
  <c r="AQ24" i="3"/>
  <c r="AA24" i="3"/>
  <c r="AB24" i="3"/>
  <c r="AC24" i="3"/>
  <c r="AD24" i="3"/>
  <c r="Z24" i="3"/>
  <c r="V24" i="3"/>
  <c r="W24" i="3"/>
  <c r="X24" i="3"/>
  <c r="Y24" i="3"/>
  <c r="U24" i="3"/>
  <c r="Q24" i="3"/>
  <c r="R24" i="3"/>
  <c r="S24" i="3"/>
  <c r="T24" i="3"/>
  <c r="P24" i="3"/>
  <c r="L24" i="3"/>
  <c r="M24" i="3"/>
  <c r="O24" i="3"/>
  <c r="K24" i="3"/>
  <c r="AN23" i="3"/>
  <c r="AO23" i="3"/>
  <c r="AP23" i="3"/>
  <c r="AQ23" i="3"/>
  <c r="AA23" i="3"/>
  <c r="AB23" i="3"/>
  <c r="AC23" i="3"/>
  <c r="AD23" i="3"/>
  <c r="Z23" i="3"/>
  <c r="V23" i="3"/>
  <c r="W23" i="3"/>
  <c r="X23" i="3"/>
  <c r="Y23" i="3"/>
  <c r="U23" i="3"/>
  <c r="Q23" i="3"/>
  <c r="R23" i="3"/>
  <c r="S23" i="3"/>
  <c r="T23" i="3"/>
  <c r="P23" i="3"/>
  <c r="K23" i="3"/>
  <c r="L23" i="3"/>
  <c r="M23" i="3"/>
  <c r="N23" i="3"/>
  <c r="O23" i="3"/>
  <c r="AN22" i="3"/>
  <c r="AO22" i="3"/>
  <c r="AP22" i="3"/>
  <c r="AQ22" i="3"/>
  <c r="AA22" i="3"/>
  <c r="AB22" i="3"/>
  <c r="AC22" i="3"/>
  <c r="AD22" i="3"/>
  <c r="Z22" i="3"/>
  <c r="V22" i="3"/>
  <c r="W22" i="3"/>
  <c r="X22" i="3"/>
  <c r="Y22" i="3"/>
  <c r="U22" i="3"/>
  <c r="Q22" i="3"/>
  <c r="R22" i="3"/>
  <c r="S22" i="3"/>
  <c r="T22" i="3"/>
  <c r="P22" i="3"/>
  <c r="K22" i="3"/>
  <c r="L22" i="3"/>
  <c r="M22" i="3"/>
  <c r="N22" i="3"/>
  <c r="O22" i="3"/>
  <c r="AM100" i="3"/>
  <c r="Z100" i="3"/>
  <c r="U100" i="3"/>
  <c r="P100" i="3"/>
  <c r="K100" i="3"/>
  <c r="AN88" i="3"/>
  <c r="AO88" i="3"/>
  <c r="AP88" i="3"/>
  <c r="AQ88" i="3"/>
  <c r="AN89" i="3"/>
  <c r="AO89" i="3"/>
  <c r="AP89" i="3"/>
  <c r="AQ89" i="3"/>
  <c r="AM89" i="3"/>
  <c r="AM88" i="3"/>
  <c r="AA88" i="3"/>
  <c r="AB88" i="3"/>
  <c r="AC88" i="3"/>
  <c r="AD88" i="3"/>
  <c r="AA89" i="3"/>
  <c r="AB89" i="3"/>
  <c r="AC89" i="3"/>
  <c r="AD89" i="3"/>
  <c r="Z89" i="3"/>
  <c r="Z88" i="3"/>
  <c r="V88" i="3"/>
  <c r="W88" i="3"/>
  <c r="X88" i="3"/>
  <c r="Y88" i="3"/>
  <c r="V89" i="3"/>
  <c r="W89" i="3"/>
  <c r="X89" i="3"/>
  <c r="Y89" i="3"/>
  <c r="U89" i="3"/>
  <c r="U88" i="3"/>
  <c r="Q88" i="3"/>
  <c r="R88" i="3"/>
  <c r="S88" i="3"/>
  <c r="T88" i="3"/>
  <c r="Q89" i="3"/>
  <c r="R89" i="3"/>
  <c r="S89" i="3"/>
  <c r="T89" i="3"/>
  <c r="P89" i="3"/>
  <c r="P88" i="3"/>
  <c r="L88" i="3"/>
  <c r="M88" i="3"/>
  <c r="N88" i="3"/>
  <c r="O88" i="3"/>
  <c r="L89" i="3"/>
  <c r="M89" i="3"/>
  <c r="N89" i="3"/>
  <c r="O89" i="3"/>
  <c r="L63" i="3"/>
  <c r="U77" i="3"/>
  <c r="U76" i="3"/>
  <c r="AN71" i="3"/>
  <c r="AO71" i="3"/>
  <c r="AP71" i="3"/>
  <c r="AQ71" i="3"/>
  <c r="AN72" i="3"/>
  <c r="AO72" i="3"/>
  <c r="AP72" i="3"/>
  <c r="AQ72" i="3"/>
  <c r="AM72" i="3"/>
  <c r="AM71" i="3"/>
  <c r="AA71" i="3"/>
  <c r="AB71" i="3"/>
  <c r="AC71" i="3"/>
  <c r="AD71" i="3"/>
  <c r="AA72" i="3"/>
  <c r="AB72" i="3"/>
  <c r="AC72" i="3"/>
  <c r="AD72" i="3"/>
  <c r="Z72" i="3"/>
  <c r="Z71" i="3"/>
  <c r="V71" i="3"/>
  <c r="W71" i="3"/>
  <c r="X71" i="3"/>
  <c r="Y71" i="3"/>
  <c r="V72" i="3"/>
  <c r="W72" i="3"/>
  <c r="X72" i="3"/>
  <c r="Y72" i="3"/>
  <c r="U72" i="3"/>
  <c r="Q71" i="3"/>
  <c r="R71" i="3"/>
  <c r="S71" i="3"/>
  <c r="T71" i="3"/>
  <c r="Q72" i="3"/>
  <c r="R72" i="3"/>
  <c r="S72" i="3"/>
  <c r="T72" i="3"/>
  <c r="P72" i="3"/>
  <c r="P71" i="3"/>
  <c r="L71" i="3"/>
  <c r="M71" i="3"/>
  <c r="N71" i="3"/>
  <c r="O71" i="3"/>
  <c r="L72" i="3"/>
  <c r="M72" i="3"/>
  <c r="N72" i="3"/>
  <c r="O72" i="3"/>
  <c r="AN68" i="3"/>
  <c r="AO68" i="3"/>
  <c r="AP68" i="3"/>
  <c r="AQ68" i="3"/>
  <c r="AN69" i="3"/>
  <c r="AO69" i="3"/>
  <c r="AP69" i="3"/>
  <c r="AQ69" i="3"/>
  <c r="AM69" i="3"/>
  <c r="AM68" i="3"/>
  <c r="AA68" i="3"/>
  <c r="AB68" i="3"/>
  <c r="AC68" i="3"/>
  <c r="AD68" i="3"/>
  <c r="AA69" i="3"/>
  <c r="AB69" i="3"/>
  <c r="AC69" i="3"/>
  <c r="AD69" i="3"/>
  <c r="Z69" i="3"/>
  <c r="Z68" i="3"/>
  <c r="V68" i="3"/>
  <c r="W68" i="3"/>
  <c r="X68" i="3"/>
  <c r="Y68" i="3"/>
  <c r="V69" i="3"/>
  <c r="W69" i="3"/>
  <c r="X69" i="3"/>
  <c r="Y69" i="3"/>
  <c r="U68" i="3"/>
  <c r="Q68" i="3"/>
  <c r="R68" i="3"/>
  <c r="S68" i="3"/>
  <c r="T68" i="3"/>
  <c r="Q69" i="3"/>
  <c r="R69" i="3"/>
  <c r="S69" i="3"/>
  <c r="T69" i="3"/>
  <c r="P69" i="3"/>
  <c r="P68" i="3"/>
  <c r="L68" i="3"/>
  <c r="M68" i="3"/>
  <c r="N68" i="3"/>
  <c r="O68" i="3"/>
  <c r="L69" i="3"/>
  <c r="M69" i="3"/>
  <c r="N69" i="3"/>
  <c r="O69" i="3"/>
  <c r="AN61" i="3"/>
  <c r="AO61" i="3"/>
  <c r="AP61" i="3"/>
  <c r="AQ61" i="3"/>
  <c r="AN63" i="3"/>
  <c r="AO63" i="3"/>
  <c r="AP63" i="3"/>
  <c r="AQ63" i="3"/>
  <c r="AM63" i="3"/>
  <c r="AM61" i="3"/>
  <c r="AA61" i="3"/>
  <c r="AB61" i="3"/>
  <c r="AC61" i="3"/>
  <c r="AD61" i="3"/>
  <c r="AA63" i="3"/>
  <c r="AB63" i="3"/>
  <c r="AC63" i="3"/>
  <c r="AD63" i="3"/>
  <c r="Z63" i="3"/>
  <c r="Z61" i="3"/>
  <c r="V61" i="3"/>
  <c r="W61" i="3"/>
  <c r="X61" i="3"/>
  <c r="Y61" i="3"/>
  <c r="V63" i="3"/>
  <c r="W63" i="3"/>
  <c r="X63" i="3"/>
  <c r="Y63" i="3"/>
  <c r="U63" i="3"/>
  <c r="U61" i="3"/>
  <c r="Q61" i="3"/>
  <c r="R61" i="3"/>
  <c r="S61" i="3"/>
  <c r="T61" i="3"/>
  <c r="Q63" i="3"/>
  <c r="R63" i="3"/>
  <c r="S63" i="3"/>
  <c r="T63" i="3"/>
  <c r="P63" i="3"/>
  <c r="P61" i="3"/>
  <c r="L61" i="3"/>
  <c r="M61" i="3"/>
  <c r="N61" i="3"/>
  <c r="O61" i="3"/>
  <c r="M63" i="3"/>
  <c r="N63" i="3"/>
  <c r="O63" i="3"/>
  <c r="C256" i="7"/>
  <c r="U71" i="3" s="1"/>
  <c r="C229" i="7"/>
  <c r="U69" i="3" s="1"/>
  <c r="D201" i="7"/>
  <c r="AN46" i="3"/>
  <c r="AO46" i="3"/>
  <c r="AP46" i="3"/>
  <c r="AQ46" i="3"/>
  <c r="AM46" i="3"/>
  <c r="AA46" i="3"/>
  <c r="AB46" i="3"/>
  <c r="AC46" i="3"/>
  <c r="AD46" i="3"/>
  <c r="Z46" i="3"/>
  <c r="V46" i="3"/>
  <c r="W46" i="3"/>
  <c r="X46" i="3"/>
  <c r="Y46" i="3"/>
  <c r="U46" i="3"/>
  <c r="Q46" i="3"/>
  <c r="R46" i="3"/>
  <c r="AY46" i="3" s="1"/>
  <c r="S46" i="3"/>
  <c r="AX46" i="3" s="1"/>
  <c r="T46" i="3"/>
  <c r="AW46" i="3" s="1"/>
  <c r="P46" i="3"/>
  <c r="L46" i="3"/>
  <c r="M46" i="3"/>
  <c r="N46" i="3"/>
  <c r="O46" i="3"/>
  <c r="K231" i="3"/>
  <c r="AN45" i="3"/>
  <c r="AO45" i="3"/>
  <c r="AP45" i="3"/>
  <c r="AQ45" i="3"/>
  <c r="AM45" i="3"/>
  <c r="AA45" i="3"/>
  <c r="AB45" i="3"/>
  <c r="AC45" i="3"/>
  <c r="AD45" i="3"/>
  <c r="Z45" i="3"/>
  <c r="V45" i="3"/>
  <c r="W45" i="3"/>
  <c r="X45" i="3"/>
  <c r="Y45" i="3"/>
  <c r="U45" i="3"/>
  <c r="Q45" i="3"/>
  <c r="R45" i="3"/>
  <c r="S45" i="3"/>
  <c r="AX45" i="3" s="1"/>
  <c r="T45" i="3"/>
  <c r="P45" i="3"/>
  <c r="O45" i="3"/>
  <c r="L45" i="3"/>
  <c r="M45" i="3"/>
  <c r="N45" i="3"/>
  <c r="N230" i="3" s="1"/>
  <c r="O40" i="3"/>
  <c r="AN29" i="3"/>
  <c r="AO29" i="3"/>
  <c r="AP29" i="3"/>
  <c r="AQ29" i="3"/>
  <c r="AM29" i="3"/>
  <c r="AA29" i="3"/>
  <c r="AB29" i="3"/>
  <c r="AC29" i="3"/>
  <c r="AD29" i="3"/>
  <c r="Z29" i="3"/>
  <c r="V29" i="3"/>
  <c r="W29" i="3"/>
  <c r="X29" i="3"/>
  <c r="Y29" i="3"/>
  <c r="U29" i="3"/>
  <c r="Q29" i="3"/>
  <c r="R29" i="3"/>
  <c r="S29" i="3"/>
  <c r="T29" i="3"/>
  <c r="P29" i="3"/>
  <c r="L29" i="3"/>
  <c r="M29" i="3"/>
  <c r="N29" i="3"/>
  <c r="O29" i="3"/>
  <c r="AN26" i="3"/>
  <c r="AO26" i="3"/>
  <c r="AP26" i="3"/>
  <c r="AQ26" i="3"/>
  <c r="AM26" i="3"/>
  <c r="AA26" i="3"/>
  <c r="AB26" i="3"/>
  <c r="AC26" i="3"/>
  <c r="AD26" i="3"/>
  <c r="Z26" i="3"/>
  <c r="V26" i="3"/>
  <c r="W26" i="3"/>
  <c r="X26" i="3"/>
  <c r="Y26" i="3"/>
  <c r="U26" i="3"/>
  <c r="Q26" i="3"/>
  <c r="R26" i="3"/>
  <c r="S26" i="3"/>
  <c r="T26" i="3"/>
  <c r="P26" i="3"/>
  <c r="L26" i="3"/>
  <c r="M26" i="3"/>
  <c r="N26" i="3"/>
  <c r="O26" i="3"/>
  <c r="O211" i="3" s="1"/>
  <c r="K26" i="3"/>
  <c r="AN21" i="3"/>
  <c r="AO21" i="3"/>
  <c r="AP21" i="3"/>
  <c r="AQ21" i="3"/>
  <c r="AM21" i="3"/>
  <c r="AA21" i="3"/>
  <c r="AB21" i="3"/>
  <c r="AC21" i="3"/>
  <c r="AD21" i="3"/>
  <c r="Z21" i="3"/>
  <c r="V21" i="3"/>
  <c r="W21" i="3"/>
  <c r="X21" i="3"/>
  <c r="Y21" i="3"/>
  <c r="U21" i="3"/>
  <c r="Q21" i="3"/>
  <c r="R21" i="3"/>
  <c r="S21" i="3"/>
  <c r="T21" i="3"/>
  <c r="P21" i="3"/>
  <c r="L21" i="3"/>
  <c r="M21" i="3"/>
  <c r="N21" i="3"/>
  <c r="O21" i="3"/>
  <c r="AN20" i="3"/>
  <c r="AO20" i="3"/>
  <c r="AP20" i="3"/>
  <c r="AQ20" i="3"/>
  <c r="AM20" i="3"/>
  <c r="AA20" i="3"/>
  <c r="AB20" i="3"/>
  <c r="AC20" i="3"/>
  <c r="AD20" i="3"/>
  <c r="Z20" i="3"/>
  <c r="V20" i="3"/>
  <c r="W20" i="3"/>
  <c r="X20" i="3"/>
  <c r="Y20" i="3"/>
  <c r="U20" i="3"/>
  <c r="Q20" i="3"/>
  <c r="R20" i="3"/>
  <c r="S20" i="3"/>
  <c r="T20" i="3"/>
  <c r="P20" i="3"/>
  <c r="L20" i="3"/>
  <c r="M20" i="3"/>
  <c r="N20" i="3"/>
  <c r="O20" i="3"/>
  <c r="AN19" i="3"/>
  <c r="AO19" i="3"/>
  <c r="AP19" i="3"/>
  <c r="AQ19" i="3"/>
  <c r="AM19" i="3"/>
  <c r="AA19" i="3"/>
  <c r="AB19" i="3"/>
  <c r="AC19" i="3"/>
  <c r="AD19" i="3"/>
  <c r="Z19" i="3"/>
  <c r="V19" i="3"/>
  <c r="W19" i="3"/>
  <c r="X19" i="3"/>
  <c r="Y19" i="3"/>
  <c r="U19" i="3"/>
  <c r="Q19" i="3"/>
  <c r="R19" i="3"/>
  <c r="S19" i="3"/>
  <c r="AX19" i="3" s="1"/>
  <c r="T19" i="3"/>
  <c r="P19" i="3"/>
  <c r="L19" i="3"/>
  <c r="M19" i="3"/>
  <c r="N19" i="3"/>
  <c r="O19" i="3"/>
  <c r="AN17" i="3"/>
  <c r="AO17" i="3"/>
  <c r="AP17" i="3"/>
  <c r="AQ17" i="3"/>
  <c r="AM17" i="3"/>
  <c r="AA17" i="3"/>
  <c r="AB17" i="3"/>
  <c r="AC17" i="3"/>
  <c r="AD17" i="3"/>
  <c r="Z17" i="3"/>
  <c r="V17" i="3"/>
  <c r="W17" i="3"/>
  <c r="X17" i="3"/>
  <c r="Y17" i="3"/>
  <c r="U17" i="3"/>
  <c r="Q17" i="3"/>
  <c r="R17" i="3"/>
  <c r="S17" i="3"/>
  <c r="T17" i="3"/>
  <c r="P17" i="3"/>
  <c r="L17" i="3"/>
  <c r="M17" i="3"/>
  <c r="N17" i="3"/>
  <c r="O17" i="3"/>
  <c r="O202" i="3" s="1"/>
  <c r="AY16" i="3"/>
  <c r="AX16" i="3"/>
  <c r="AN15" i="3"/>
  <c r="AO15" i="3"/>
  <c r="AP15" i="3"/>
  <c r="AQ15" i="3"/>
  <c r="AM15" i="3"/>
  <c r="AA15" i="3"/>
  <c r="AB15" i="3"/>
  <c r="AC15" i="3"/>
  <c r="AD15" i="3"/>
  <c r="Z15" i="3"/>
  <c r="Q15" i="3"/>
  <c r="R15" i="3"/>
  <c r="S15" i="3"/>
  <c r="T15" i="3"/>
  <c r="P15" i="3"/>
  <c r="L15" i="3"/>
  <c r="M15" i="3"/>
  <c r="N15" i="3"/>
  <c r="O15" i="3"/>
  <c r="AN14" i="3"/>
  <c r="AO14" i="3"/>
  <c r="AP14" i="3"/>
  <c r="AQ14" i="3"/>
  <c r="AM14" i="3"/>
  <c r="AA14" i="3"/>
  <c r="AB14" i="3"/>
  <c r="AC14" i="3"/>
  <c r="AD14" i="3"/>
  <c r="Z14" i="3"/>
  <c r="Q14" i="3"/>
  <c r="R14" i="3"/>
  <c r="S14" i="3"/>
  <c r="T14" i="3"/>
  <c r="P14" i="3"/>
  <c r="L14" i="3"/>
  <c r="M14" i="3"/>
  <c r="N14" i="3"/>
  <c r="O14" i="3"/>
  <c r="AN12" i="3"/>
  <c r="AO12" i="3"/>
  <c r="AP12" i="3"/>
  <c r="AQ12" i="3"/>
  <c r="AM12" i="3"/>
  <c r="AA12" i="3"/>
  <c r="AB12" i="3"/>
  <c r="AC12" i="3"/>
  <c r="AD12" i="3"/>
  <c r="Z12" i="3"/>
  <c r="Q12" i="3"/>
  <c r="R12" i="3"/>
  <c r="S12" i="3"/>
  <c r="T12" i="3"/>
  <c r="P12" i="3"/>
  <c r="L12" i="3"/>
  <c r="M12" i="3"/>
  <c r="N12" i="3"/>
  <c r="O12" i="3"/>
  <c r="AN8" i="3"/>
  <c r="AO8" i="3"/>
  <c r="AP8" i="3"/>
  <c r="AQ8" i="3"/>
  <c r="AM8" i="3"/>
  <c r="AA8" i="3"/>
  <c r="AB8" i="3"/>
  <c r="AC8" i="3"/>
  <c r="AD8" i="3"/>
  <c r="Z8" i="3"/>
  <c r="Q8" i="3"/>
  <c r="R8" i="3"/>
  <c r="S8" i="3"/>
  <c r="T8" i="3"/>
  <c r="P8" i="3"/>
  <c r="L8" i="3"/>
  <c r="M8" i="3"/>
  <c r="N8" i="3"/>
  <c r="O8" i="3"/>
  <c r="AN6" i="3"/>
  <c r="AO6" i="3"/>
  <c r="AP6" i="3"/>
  <c r="AQ6" i="3"/>
  <c r="AM6" i="3"/>
  <c r="AA6" i="3"/>
  <c r="AB6" i="3"/>
  <c r="AC6" i="3"/>
  <c r="AD6" i="3"/>
  <c r="Z6" i="3"/>
  <c r="K3" i="3"/>
  <c r="Q6" i="3"/>
  <c r="R6" i="3"/>
  <c r="S6" i="3"/>
  <c r="T6" i="3"/>
  <c r="P6" i="3"/>
  <c r="L6" i="3"/>
  <c r="M6" i="3"/>
  <c r="N6" i="3"/>
  <c r="O6" i="3"/>
  <c r="AN4" i="3"/>
  <c r="AO4" i="3"/>
  <c r="AP4" i="3"/>
  <c r="AQ4" i="3"/>
  <c r="AM4" i="3"/>
  <c r="AA4" i="3"/>
  <c r="AB4" i="3"/>
  <c r="AC4" i="3"/>
  <c r="AD4" i="3"/>
  <c r="Z4" i="3"/>
  <c r="Q4" i="3"/>
  <c r="R4" i="3"/>
  <c r="AY4" i="3" s="1"/>
  <c r="S4" i="3"/>
  <c r="T4" i="3"/>
  <c r="P4" i="3"/>
  <c r="L4" i="3"/>
  <c r="M4" i="3"/>
  <c r="N4" i="3"/>
  <c r="O4" i="3"/>
  <c r="AN3" i="3"/>
  <c r="AO3" i="3"/>
  <c r="AP3" i="3"/>
  <c r="AQ3" i="3"/>
  <c r="AM3" i="3"/>
  <c r="AO3" i="2"/>
  <c r="AL3" i="2"/>
  <c r="AA3" i="3"/>
  <c r="AB3" i="3"/>
  <c r="AC3" i="3"/>
  <c r="AD3" i="3"/>
  <c r="Z3" i="3"/>
  <c r="Q3" i="3"/>
  <c r="R3" i="3"/>
  <c r="S3" i="3"/>
  <c r="T3" i="3"/>
  <c r="P3" i="3"/>
  <c r="L3" i="3"/>
  <c r="M3" i="3"/>
  <c r="N3" i="3"/>
  <c r="O3" i="3"/>
  <c r="C366" i="2"/>
  <c r="C339" i="2"/>
  <c r="D311" i="2"/>
  <c r="O53" i="2"/>
  <c r="I245" i="2"/>
  <c r="J246" i="2"/>
  <c r="J245" i="2"/>
  <c r="K245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M101" i="2"/>
  <c r="AP101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M87" i="2"/>
  <c r="AP87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M88" i="2"/>
  <c r="AP88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M89" i="2"/>
  <c r="AP89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M90" i="2"/>
  <c r="AP90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M91" i="2"/>
  <c r="AP91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M92" i="2"/>
  <c r="AP92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M93" i="2"/>
  <c r="AP93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M94" i="2"/>
  <c r="AP94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M95" i="2"/>
  <c r="AP95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M99" i="2"/>
  <c r="AP99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M100" i="2"/>
  <c r="AP100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M79" i="2"/>
  <c r="AP79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M80" i="2"/>
  <c r="AP80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M81" i="2"/>
  <c r="AP81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M82" i="2"/>
  <c r="AP82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M84" i="2"/>
  <c r="AP84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M85" i="2"/>
  <c r="AP85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X78" i="2"/>
  <c r="AW78" i="2"/>
  <c r="AV78" i="2"/>
  <c r="AU78" i="2"/>
  <c r="AT78" i="2"/>
  <c r="W24" i="2"/>
  <c r="R24" i="2"/>
  <c r="R78" i="2" s="1"/>
  <c r="AX24" i="2"/>
  <c r="AW24" i="2"/>
  <c r="AV24" i="2"/>
  <c r="AU24" i="2"/>
  <c r="AT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V24" i="2"/>
  <c r="U24" i="2"/>
  <c r="T24" i="2"/>
  <c r="T78" i="2" s="1"/>
  <c r="S24" i="2"/>
  <c r="S78" i="2" s="1"/>
  <c r="AA114" i="2"/>
  <c r="AR103" i="2"/>
  <c r="AL49" i="2"/>
  <c r="AM49" i="2"/>
  <c r="AN49" i="2"/>
  <c r="AO49" i="2"/>
  <c r="AP49" i="2"/>
  <c r="AQ49" i="2"/>
  <c r="AR102" i="2"/>
  <c r="AQ48" i="2"/>
  <c r="AL48" i="2"/>
  <c r="AM48" i="2"/>
  <c r="AN48" i="2"/>
  <c r="AO48" i="2"/>
  <c r="AP48" i="2"/>
  <c r="G1365" i="2"/>
  <c r="F1365" i="2"/>
  <c r="E1365" i="2"/>
  <c r="D1365" i="2"/>
  <c r="C1365" i="2"/>
  <c r="G1361" i="2"/>
  <c r="F1361" i="2"/>
  <c r="E1361" i="2"/>
  <c r="D1361" i="2"/>
  <c r="C1361" i="2"/>
  <c r="G1360" i="2"/>
  <c r="F1360" i="2"/>
  <c r="E1360" i="2"/>
  <c r="D1360" i="2"/>
  <c r="C1360" i="2"/>
  <c r="G1359" i="2"/>
  <c r="F1359" i="2"/>
  <c r="E1359" i="2"/>
  <c r="D1359" i="2"/>
  <c r="C1359" i="2"/>
  <c r="G1358" i="2"/>
  <c r="F1358" i="2"/>
  <c r="C1358" i="2"/>
  <c r="G1357" i="2"/>
  <c r="F1357" i="2"/>
  <c r="E1357" i="2"/>
  <c r="D1357" i="2"/>
  <c r="C1357" i="2"/>
  <c r="G1355" i="2"/>
  <c r="F1355" i="2"/>
  <c r="E1355" i="2"/>
  <c r="D1355" i="2"/>
  <c r="C1355" i="2"/>
  <c r="AR101" i="2"/>
  <c r="AR100" i="2"/>
  <c r="AR99" i="2"/>
  <c r="R66" i="2"/>
  <c r="AR98" i="2"/>
  <c r="AL44" i="2"/>
  <c r="AM44" i="2"/>
  <c r="AN44" i="2"/>
  <c r="AO44" i="2"/>
  <c r="AP44" i="2"/>
  <c r="AQ44" i="2"/>
  <c r="G1300" i="2"/>
  <c r="AQ41" i="3" s="1"/>
  <c r="F1300" i="2"/>
  <c r="AP41" i="3" s="1"/>
  <c r="E1300" i="2"/>
  <c r="AO41" i="3" s="1"/>
  <c r="D1300" i="2"/>
  <c r="AN41" i="3" s="1"/>
  <c r="C1300" i="2"/>
  <c r="AM41" i="3" s="1"/>
  <c r="G1296" i="2"/>
  <c r="T41" i="3" s="1"/>
  <c r="F1296" i="2"/>
  <c r="S41" i="3" s="1"/>
  <c r="E1296" i="2"/>
  <c r="R41" i="3" s="1"/>
  <c r="D1296" i="2"/>
  <c r="Q41" i="3" s="1"/>
  <c r="C1296" i="2"/>
  <c r="P41" i="3" s="1"/>
  <c r="G1295" i="2"/>
  <c r="Y41" i="3" s="1"/>
  <c r="F1295" i="2"/>
  <c r="X41" i="3" s="1"/>
  <c r="E1295" i="2"/>
  <c r="W41" i="3" s="1"/>
  <c r="D1295" i="2"/>
  <c r="V41" i="3" s="1"/>
  <c r="C1295" i="2"/>
  <c r="U41" i="3" s="1"/>
  <c r="G1294" i="2"/>
  <c r="F1294" i="2"/>
  <c r="E1294" i="2"/>
  <c r="D1294" i="2"/>
  <c r="C1294" i="2"/>
  <c r="G1293" i="2"/>
  <c r="AV41" i="3" s="1"/>
  <c r="F1293" i="2"/>
  <c r="AU41" i="3" s="1"/>
  <c r="E1293" i="2"/>
  <c r="AT41" i="3" s="1"/>
  <c r="D1293" i="2"/>
  <c r="AS41" i="3" s="1"/>
  <c r="C1293" i="2"/>
  <c r="AR41" i="3" s="1"/>
  <c r="G1292" i="2"/>
  <c r="O41" i="3" s="1"/>
  <c r="F1292" i="2"/>
  <c r="N41" i="3" s="1"/>
  <c r="E1292" i="2"/>
  <c r="M41" i="3" s="1"/>
  <c r="D1292" i="2"/>
  <c r="L41" i="3" s="1"/>
  <c r="C1292" i="2"/>
  <c r="K41" i="3" s="1"/>
  <c r="G1290" i="2"/>
  <c r="AD41" i="3" s="1"/>
  <c r="F1290" i="2"/>
  <c r="AC41" i="3" s="1"/>
  <c r="E1290" i="2"/>
  <c r="AB41" i="3" s="1"/>
  <c r="D1290" i="2"/>
  <c r="AA41" i="3" s="1"/>
  <c r="C1290" i="2"/>
  <c r="Z41" i="3" s="1"/>
  <c r="AR97" i="2"/>
  <c r="AO43" i="2"/>
  <c r="AP43" i="2"/>
  <c r="AQ43" i="2"/>
  <c r="AL43" i="2"/>
  <c r="AM43" i="2"/>
  <c r="AN43" i="2"/>
  <c r="G1285" i="2"/>
  <c r="AQ40" i="3" s="1"/>
  <c r="F1285" i="2"/>
  <c r="AP40" i="3" s="1"/>
  <c r="E1285" i="2"/>
  <c r="AO40" i="3" s="1"/>
  <c r="D1285" i="2"/>
  <c r="AN40" i="3" s="1"/>
  <c r="C1285" i="2"/>
  <c r="AM40" i="3" s="1"/>
  <c r="G1281" i="2"/>
  <c r="T40" i="3" s="1"/>
  <c r="F1281" i="2"/>
  <c r="S40" i="3" s="1"/>
  <c r="E1281" i="2"/>
  <c r="R40" i="3" s="1"/>
  <c r="D1281" i="2"/>
  <c r="Q40" i="3" s="1"/>
  <c r="C1281" i="2"/>
  <c r="P40" i="3" s="1"/>
  <c r="G1280" i="2"/>
  <c r="Y40" i="3" s="1"/>
  <c r="F1280" i="2"/>
  <c r="X40" i="3" s="1"/>
  <c r="E1280" i="2"/>
  <c r="W40" i="3" s="1"/>
  <c r="D1280" i="2"/>
  <c r="V40" i="3" s="1"/>
  <c r="C1280" i="2"/>
  <c r="U40" i="3" s="1"/>
  <c r="G1279" i="2"/>
  <c r="F1279" i="2"/>
  <c r="E1279" i="2"/>
  <c r="D1279" i="2"/>
  <c r="C1279" i="2"/>
  <c r="G1278" i="2"/>
  <c r="AV40" i="3" s="1"/>
  <c r="F1278" i="2"/>
  <c r="AU40" i="3" s="1"/>
  <c r="E1278" i="2"/>
  <c r="AT40" i="3" s="1"/>
  <c r="D1278" i="2"/>
  <c r="AS40" i="3" s="1"/>
  <c r="C1278" i="2"/>
  <c r="AR40" i="3" s="1"/>
  <c r="F1277" i="2"/>
  <c r="N40" i="3" s="1"/>
  <c r="E1277" i="2"/>
  <c r="M40" i="3" s="1"/>
  <c r="D1277" i="2"/>
  <c r="L40" i="3" s="1"/>
  <c r="C1277" i="2"/>
  <c r="K40" i="3" s="1"/>
  <c r="G1275" i="2"/>
  <c r="AD40" i="3" s="1"/>
  <c r="F1275" i="2"/>
  <c r="AC40" i="3" s="1"/>
  <c r="E1275" i="2"/>
  <c r="AB40" i="3" s="1"/>
  <c r="D1275" i="2"/>
  <c r="AA40" i="3" s="1"/>
  <c r="C1275" i="2"/>
  <c r="Z40" i="3" s="1"/>
  <c r="AR96" i="2"/>
  <c r="AO42" i="2"/>
  <c r="AP42" i="2"/>
  <c r="AL42" i="2"/>
  <c r="AM42" i="2"/>
  <c r="AN42" i="2"/>
  <c r="AQ42" i="2"/>
  <c r="G1270" i="2"/>
  <c r="AQ39" i="3" s="1"/>
  <c r="F1270" i="2"/>
  <c r="AP39" i="3" s="1"/>
  <c r="E1270" i="2"/>
  <c r="AO39" i="3" s="1"/>
  <c r="D1270" i="2"/>
  <c r="AN39" i="3" s="1"/>
  <c r="C1270" i="2"/>
  <c r="AM39" i="3" s="1"/>
  <c r="G1266" i="2"/>
  <c r="T39" i="3" s="1"/>
  <c r="F1266" i="2"/>
  <c r="S39" i="3" s="1"/>
  <c r="E1266" i="2"/>
  <c r="R39" i="3" s="1"/>
  <c r="D1266" i="2"/>
  <c r="Q39" i="3" s="1"/>
  <c r="C1266" i="2"/>
  <c r="P39" i="3" s="1"/>
  <c r="G1265" i="2"/>
  <c r="Y39" i="3" s="1"/>
  <c r="F1265" i="2"/>
  <c r="X39" i="3" s="1"/>
  <c r="E1265" i="2"/>
  <c r="W39" i="3" s="1"/>
  <c r="D1265" i="2"/>
  <c r="V39" i="3" s="1"/>
  <c r="C1265" i="2"/>
  <c r="U39" i="3" s="1"/>
  <c r="G1264" i="2"/>
  <c r="F1264" i="2"/>
  <c r="E1264" i="2"/>
  <c r="D1264" i="2"/>
  <c r="C1264" i="2"/>
  <c r="G1263" i="2"/>
  <c r="AV39" i="3" s="1"/>
  <c r="F1263" i="2"/>
  <c r="AU39" i="3" s="1"/>
  <c r="E1263" i="2"/>
  <c r="AT39" i="3" s="1"/>
  <c r="D1263" i="2"/>
  <c r="AS39" i="3" s="1"/>
  <c r="C1263" i="2"/>
  <c r="AR39" i="3" s="1"/>
  <c r="G1262" i="2"/>
  <c r="O39" i="3" s="1"/>
  <c r="F1262" i="2"/>
  <c r="N39" i="3" s="1"/>
  <c r="E1262" i="2"/>
  <c r="M39" i="3" s="1"/>
  <c r="D1262" i="2"/>
  <c r="L39" i="3" s="1"/>
  <c r="C1262" i="2"/>
  <c r="K39" i="3" s="1"/>
  <c r="G1260" i="2"/>
  <c r="AD39" i="3" s="1"/>
  <c r="F1260" i="2"/>
  <c r="AC39" i="3" s="1"/>
  <c r="E1260" i="2"/>
  <c r="AB39" i="3" s="1"/>
  <c r="D1260" i="2"/>
  <c r="AA39" i="3" s="1"/>
  <c r="C1260" i="2"/>
  <c r="Z39" i="3" s="1"/>
  <c r="AR95" i="2"/>
  <c r="AR94" i="2"/>
  <c r="AR93" i="2"/>
  <c r="AR92" i="2"/>
  <c r="AR91" i="2"/>
  <c r="AR90" i="2"/>
  <c r="AR89" i="2"/>
  <c r="AR88" i="2"/>
  <c r="AR87" i="2"/>
  <c r="G832" i="2"/>
  <c r="Y15" i="3" s="1"/>
  <c r="F832" i="2"/>
  <c r="X15" i="3" s="1"/>
  <c r="E832" i="2"/>
  <c r="W15" i="3" s="1"/>
  <c r="D832" i="2"/>
  <c r="V15" i="3" s="1"/>
  <c r="C832" i="2"/>
  <c r="U15" i="3" s="1"/>
  <c r="AR86" i="2"/>
  <c r="AL32" i="2"/>
  <c r="AM32" i="2"/>
  <c r="AN32" i="2"/>
  <c r="AO32" i="2"/>
  <c r="AP32" i="2"/>
  <c r="AQ32" i="2"/>
  <c r="AR85" i="2"/>
  <c r="AR84" i="2"/>
  <c r="AR83" i="2"/>
  <c r="AL29" i="2"/>
  <c r="AM29" i="2"/>
  <c r="AN29" i="2"/>
  <c r="AO29" i="2"/>
  <c r="AP29" i="2"/>
  <c r="AQ29" i="2"/>
  <c r="AR82" i="2"/>
  <c r="AR81" i="2"/>
  <c r="AR80" i="2"/>
  <c r="AR79" i="2"/>
  <c r="AR77" i="2"/>
  <c r="AL23" i="2"/>
  <c r="AM23" i="2"/>
  <c r="AN23" i="2"/>
  <c r="AO23" i="2"/>
  <c r="AP23" i="2"/>
  <c r="AQ23" i="2"/>
  <c r="AR76" i="2"/>
  <c r="AL22" i="2"/>
  <c r="AM22" i="2"/>
  <c r="AN22" i="2"/>
  <c r="AO22" i="2"/>
  <c r="AP22" i="2"/>
  <c r="AQ22" i="2"/>
  <c r="AR75" i="2"/>
  <c r="AL21" i="2"/>
  <c r="AM21" i="2"/>
  <c r="AN21" i="2"/>
  <c r="AO21" i="2"/>
  <c r="AP21" i="2"/>
  <c r="AQ21" i="2"/>
  <c r="AR74" i="2"/>
  <c r="AL20" i="2"/>
  <c r="AM20" i="2"/>
  <c r="AN20" i="2"/>
  <c r="AO20" i="2"/>
  <c r="AP20" i="2"/>
  <c r="AQ20" i="2"/>
  <c r="C895" i="2"/>
  <c r="AM18" i="3" s="1"/>
  <c r="D895" i="2"/>
  <c r="AN18" i="3" s="1"/>
  <c r="E895" i="2"/>
  <c r="AO18" i="3" s="1"/>
  <c r="F895" i="2"/>
  <c r="AP18" i="3" s="1"/>
  <c r="G895" i="2"/>
  <c r="AQ18" i="3" s="1"/>
  <c r="G891" i="2"/>
  <c r="T18" i="3" s="1"/>
  <c r="F891" i="2"/>
  <c r="S18" i="3" s="1"/>
  <c r="E891" i="2"/>
  <c r="R18" i="3" s="1"/>
  <c r="D891" i="2"/>
  <c r="Q18" i="3" s="1"/>
  <c r="C891" i="2"/>
  <c r="P18" i="3" s="1"/>
  <c r="G890" i="2"/>
  <c r="Y18" i="3" s="1"/>
  <c r="F890" i="2"/>
  <c r="X18" i="3" s="1"/>
  <c r="E890" i="2"/>
  <c r="W18" i="3" s="1"/>
  <c r="D890" i="2"/>
  <c r="V18" i="3" s="1"/>
  <c r="C890" i="2"/>
  <c r="U18" i="3" s="1"/>
  <c r="G889" i="2"/>
  <c r="F889" i="2"/>
  <c r="E889" i="2"/>
  <c r="D889" i="2"/>
  <c r="C889" i="2"/>
  <c r="G888" i="2"/>
  <c r="AV18" i="3" s="1"/>
  <c r="F888" i="2"/>
  <c r="AU18" i="3" s="1"/>
  <c r="E888" i="2"/>
  <c r="AT18" i="3" s="1"/>
  <c r="D888" i="2"/>
  <c r="AS18" i="3" s="1"/>
  <c r="C888" i="2"/>
  <c r="AR18" i="3" s="1"/>
  <c r="G887" i="2"/>
  <c r="O18" i="3" s="1"/>
  <c r="F887" i="2"/>
  <c r="N18" i="3" s="1"/>
  <c r="E887" i="2"/>
  <c r="M18" i="3" s="1"/>
  <c r="D887" i="2"/>
  <c r="L18" i="3" s="1"/>
  <c r="L203" i="3" s="1"/>
  <c r="C887" i="2"/>
  <c r="K18" i="3" s="1"/>
  <c r="G885" i="2"/>
  <c r="AD18" i="3" s="1"/>
  <c r="F885" i="2"/>
  <c r="AC18" i="3" s="1"/>
  <c r="E885" i="2"/>
  <c r="AB18" i="3" s="1"/>
  <c r="D885" i="2"/>
  <c r="AA18" i="3" s="1"/>
  <c r="C885" i="2"/>
  <c r="Z18" i="3" s="1"/>
  <c r="AR73" i="2"/>
  <c r="AL19" i="2"/>
  <c r="AM19" i="2"/>
  <c r="AN19" i="2"/>
  <c r="AO19" i="2"/>
  <c r="AP19" i="2"/>
  <c r="AQ19" i="2"/>
  <c r="AR72" i="2"/>
  <c r="AQ18" i="2"/>
  <c r="AL18" i="2"/>
  <c r="AM18" i="2"/>
  <c r="AN18" i="2"/>
  <c r="AO18" i="2"/>
  <c r="AP18" i="2"/>
  <c r="AR71" i="2"/>
  <c r="AL16" i="2"/>
  <c r="AM16" i="2"/>
  <c r="AN16" i="2"/>
  <c r="AO16" i="2"/>
  <c r="AP16" i="2"/>
  <c r="AQ16" i="2"/>
  <c r="AL17" i="2"/>
  <c r="AM17" i="2"/>
  <c r="AN17" i="2"/>
  <c r="AO17" i="2"/>
  <c r="AP17" i="2"/>
  <c r="AQ17" i="2"/>
  <c r="AM15" i="2"/>
  <c r="AR70" i="2"/>
  <c r="AR69" i="2"/>
  <c r="AL15" i="2"/>
  <c r="AN15" i="2"/>
  <c r="AO15" i="2"/>
  <c r="AP15" i="2"/>
  <c r="AQ15" i="2"/>
  <c r="AR68" i="2"/>
  <c r="AO14" i="2"/>
  <c r="AP14" i="2"/>
  <c r="AQ14" i="2"/>
  <c r="AL14" i="2"/>
  <c r="AM14" i="2"/>
  <c r="AN14" i="2"/>
  <c r="AR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R67" i="2"/>
  <c r="S67" i="2"/>
  <c r="T67" i="2"/>
  <c r="U67" i="2"/>
  <c r="V67" i="2"/>
  <c r="AO13" i="2"/>
  <c r="AP13" i="2"/>
  <c r="AQ13" i="2"/>
  <c r="AL13" i="2"/>
  <c r="AM13" i="2"/>
  <c r="AN13" i="2"/>
  <c r="G795" i="2"/>
  <c r="AQ13" i="3" s="1"/>
  <c r="F795" i="2"/>
  <c r="AP13" i="3" s="1"/>
  <c r="E795" i="2"/>
  <c r="AO13" i="3" s="1"/>
  <c r="D795" i="2"/>
  <c r="AN13" i="3" s="1"/>
  <c r="C795" i="2"/>
  <c r="AM13" i="3" s="1"/>
  <c r="G791" i="2"/>
  <c r="T13" i="3" s="1"/>
  <c r="F791" i="2"/>
  <c r="S13" i="3" s="1"/>
  <c r="E791" i="2"/>
  <c r="R13" i="3" s="1"/>
  <c r="AY13" i="3" s="1"/>
  <c r="D791" i="2"/>
  <c r="Q13" i="3" s="1"/>
  <c r="C791" i="2"/>
  <c r="P13" i="3" s="1"/>
  <c r="G789" i="2"/>
  <c r="F789" i="2"/>
  <c r="E789" i="2"/>
  <c r="E790" i="2" s="1"/>
  <c r="W13" i="3" s="1"/>
  <c r="D789" i="2"/>
  <c r="D790" i="2" s="1"/>
  <c r="V13" i="3" s="1"/>
  <c r="C789" i="2"/>
  <c r="C790" i="2" s="1"/>
  <c r="U13" i="3" s="1"/>
  <c r="G788" i="2"/>
  <c r="AV13" i="3" s="1"/>
  <c r="F788" i="2"/>
  <c r="AU13" i="3" s="1"/>
  <c r="C787" i="2"/>
  <c r="K13" i="3" s="1"/>
  <c r="D787" i="2"/>
  <c r="L13" i="3" s="1"/>
  <c r="E787" i="2"/>
  <c r="M13" i="3" s="1"/>
  <c r="F787" i="2"/>
  <c r="N13" i="3" s="1"/>
  <c r="G787" i="2"/>
  <c r="O13" i="3" s="1"/>
  <c r="G785" i="2"/>
  <c r="AD13" i="3" s="1"/>
  <c r="F785" i="2"/>
  <c r="AC13" i="3" s="1"/>
  <c r="E785" i="2"/>
  <c r="AB13" i="3" s="1"/>
  <c r="D785" i="2"/>
  <c r="AA13" i="3" s="1"/>
  <c r="C785" i="2"/>
  <c r="Z13" i="3" s="1"/>
  <c r="AR66" i="2"/>
  <c r="AG66" i="2"/>
  <c r="AH66" i="2"/>
  <c r="AI66" i="2"/>
  <c r="AJ66" i="2"/>
  <c r="AK66" i="2"/>
  <c r="AB66" i="2"/>
  <c r="AC66" i="2"/>
  <c r="AD66" i="2"/>
  <c r="AE66" i="2"/>
  <c r="AF66" i="2"/>
  <c r="W66" i="2"/>
  <c r="X66" i="2"/>
  <c r="Y66" i="2"/>
  <c r="Z66" i="2"/>
  <c r="AA66" i="2"/>
  <c r="S66" i="2"/>
  <c r="T66" i="2"/>
  <c r="U66" i="2"/>
  <c r="V66" i="2"/>
  <c r="AO12" i="2"/>
  <c r="AP12" i="2"/>
  <c r="AQ12" i="2"/>
  <c r="AL12" i="2"/>
  <c r="AM12" i="2"/>
  <c r="AN12" i="2"/>
  <c r="AL11" i="2"/>
  <c r="AM11" i="2"/>
  <c r="AN11" i="2"/>
  <c r="AO11" i="2"/>
  <c r="AP11" i="2"/>
  <c r="G846" i="2"/>
  <c r="F846" i="2"/>
  <c r="E846" i="2"/>
  <c r="G818" i="2"/>
  <c r="Y14" i="3" s="1"/>
  <c r="F818" i="2"/>
  <c r="X14" i="3" s="1"/>
  <c r="E818" i="2"/>
  <c r="W14" i="3" s="1"/>
  <c r="D818" i="2"/>
  <c r="V14" i="3" s="1"/>
  <c r="C818" i="2"/>
  <c r="U14" i="3" s="1"/>
  <c r="G804" i="2"/>
  <c r="F804" i="2"/>
  <c r="E804" i="2"/>
  <c r="D804" i="2"/>
  <c r="C804" i="2"/>
  <c r="G774" i="2"/>
  <c r="Y12" i="3" s="1"/>
  <c r="F774" i="2"/>
  <c r="X12" i="3" s="1"/>
  <c r="E774" i="2"/>
  <c r="W12" i="3" s="1"/>
  <c r="D774" i="2"/>
  <c r="V12" i="3" s="1"/>
  <c r="C774" i="2"/>
  <c r="U12" i="3" s="1"/>
  <c r="AR65" i="2"/>
  <c r="AG65" i="2"/>
  <c r="AH65" i="2"/>
  <c r="AI65" i="2"/>
  <c r="AJ65" i="2"/>
  <c r="AK65" i="2"/>
  <c r="AB65" i="2"/>
  <c r="AC65" i="2"/>
  <c r="AD65" i="2"/>
  <c r="AE65" i="2"/>
  <c r="AF65" i="2"/>
  <c r="W65" i="2"/>
  <c r="X65" i="2"/>
  <c r="Y65" i="2"/>
  <c r="Z65" i="2"/>
  <c r="AA65" i="2"/>
  <c r="R65" i="2"/>
  <c r="S65" i="2"/>
  <c r="T65" i="2"/>
  <c r="U65" i="2"/>
  <c r="V65" i="2"/>
  <c r="AQ11" i="2"/>
  <c r="G745" i="2"/>
  <c r="AQ11" i="3" s="1"/>
  <c r="F745" i="2"/>
  <c r="AP11" i="3" s="1"/>
  <c r="E745" i="2"/>
  <c r="AO11" i="3" s="1"/>
  <c r="D745" i="2"/>
  <c r="AN11" i="3" s="1"/>
  <c r="C745" i="2"/>
  <c r="AM11" i="3" s="1"/>
  <c r="G741" i="2"/>
  <c r="T11" i="3" s="1"/>
  <c r="F741" i="2"/>
  <c r="S11" i="3" s="1"/>
  <c r="E741" i="2"/>
  <c r="R11" i="3" s="1"/>
  <c r="D741" i="2"/>
  <c r="Q11" i="3" s="1"/>
  <c r="C741" i="2"/>
  <c r="P11" i="3" s="1"/>
  <c r="G739" i="2"/>
  <c r="F739" i="2"/>
  <c r="E739" i="2"/>
  <c r="D739" i="2"/>
  <c r="C739" i="2"/>
  <c r="G738" i="2"/>
  <c r="AV11" i="3" s="1"/>
  <c r="F738" i="2"/>
  <c r="AU11" i="3" s="1"/>
  <c r="E738" i="2"/>
  <c r="AT11" i="3" s="1"/>
  <c r="D738" i="2"/>
  <c r="AS11" i="3" s="1"/>
  <c r="C738" i="2"/>
  <c r="AR11" i="3" s="1"/>
  <c r="G737" i="2"/>
  <c r="O11" i="3" s="1"/>
  <c r="F737" i="2"/>
  <c r="N11" i="3" s="1"/>
  <c r="E737" i="2"/>
  <c r="M11" i="3" s="1"/>
  <c r="D737" i="2"/>
  <c r="L11" i="3" s="1"/>
  <c r="C737" i="2"/>
  <c r="K11" i="3" s="1"/>
  <c r="G735" i="2"/>
  <c r="AD11" i="3" s="1"/>
  <c r="F735" i="2"/>
  <c r="AC11" i="3" s="1"/>
  <c r="E735" i="2"/>
  <c r="AB11" i="3" s="1"/>
  <c r="D735" i="2"/>
  <c r="AA11" i="3" s="1"/>
  <c r="C735" i="2"/>
  <c r="Z11" i="3" s="1"/>
  <c r="AR64" i="2"/>
  <c r="AG64" i="2"/>
  <c r="AH64" i="2"/>
  <c r="AI64" i="2"/>
  <c r="AJ64" i="2"/>
  <c r="AK64" i="2"/>
  <c r="AB64" i="2"/>
  <c r="AC64" i="2"/>
  <c r="AD64" i="2"/>
  <c r="AE64" i="2"/>
  <c r="AF64" i="2"/>
  <c r="W64" i="2"/>
  <c r="X64" i="2"/>
  <c r="Y64" i="2"/>
  <c r="Z64" i="2"/>
  <c r="AA64" i="2"/>
  <c r="R64" i="2"/>
  <c r="S64" i="2"/>
  <c r="T64" i="2"/>
  <c r="U64" i="2"/>
  <c r="V64" i="2"/>
  <c r="AO10" i="2"/>
  <c r="AP10" i="2"/>
  <c r="AQ10" i="2"/>
  <c r="AL10" i="2"/>
  <c r="AM10" i="2"/>
  <c r="AN10" i="2"/>
  <c r="G728" i="2"/>
  <c r="AQ10" i="3" s="1"/>
  <c r="F728" i="2"/>
  <c r="AP10" i="3" s="1"/>
  <c r="E728" i="2"/>
  <c r="AO10" i="3" s="1"/>
  <c r="D728" i="2"/>
  <c r="AN10" i="3" s="1"/>
  <c r="C728" i="2"/>
  <c r="AM10" i="3" s="1"/>
  <c r="G724" i="2"/>
  <c r="T10" i="3" s="1"/>
  <c r="F724" i="2"/>
  <c r="S10" i="3" s="1"/>
  <c r="E724" i="2"/>
  <c r="R10" i="3" s="1"/>
  <c r="D724" i="2"/>
  <c r="Q10" i="3" s="1"/>
  <c r="C724" i="2"/>
  <c r="P10" i="3" s="1"/>
  <c r="G722" i="2"/>
  <c r="F722" i="2"/>
  <c r="E722" i="2"/>
  <c r="D722" i="2"/>
  <c r="C722" i="2"/>
  <c r="G721" i="2"/>
  <c r="AV10" i="3" s="1"/>
  <c r="F721" i="2"/>
  <c r="AU10" i="3" s="1"/>
  <c r="E721" i="2"/>
  <c r="AT10" i="3" s="1"/>
  <c r="D721" i="2"/>
  <c r="AS10" i="3" s="1"/>
  <c r="C721" i="2"/>
  <c r="AR10" i="3" s="1"/>
  <c r="G720" i="2"/>
  <c r="O10" i="3" s="1"/>
  <c r="F720" i="2"/>
  <c r="N10" i="3" s="1"/>
  <c r="E720" i="2"/>
  <c r="M10" i="3" s="1"/>
  <c r="D720" i="2"/>
  <c r="L10" i="3" s="1"/>
  <c r="C720" i="2"/>
  <c r="K10" i="3" s="1"/>
  <c r="G718" i="2"/>
  <c r="AD10" i="3" s="1"/>
  <c r="F718" i="2"/>
  <c r="AC10" i="3" s="1"/>
  <c r="E718" i="2"/>
  <c r="AB10" i="3" s="1"/>
  <c r="D718" i="2"/>
  <c r="AA10" i="3" s="1"/>
  <c r="C718" i="2"/>
  <c r="Z10" i="3" s="1"/>
  <c r="AR63" i="2"/>
  <c r="AG63" i="2"/>
  <c r="AH63" i="2"/>
  <c r="AI63" i="2"/>
  <c r="AJ63" i="2"/>
  <c r="AK63" i="2"/>
  <c r="AB63" i="2"/>
  <c r="AC63" i="2"/>
  <c r="AD63" i="2"/>
  <c r="AE63" i="2"/>
  <c r="AF63" i="2"/>
  <c r="W63" i="2"/>
  <c r="X63" i="2"/>
  <c r="Y63" i="2"/>
  <c r="Z63" i="2"/>
  <c r="AA63" i="2"/>
  <c r="R63" i="2"/>
  <c r="S63" i="2"/>
  <c r="T63" i="2"/>
  <c r="U63" i="2"/>
  <c r="V63" i="2"/>
  <c r="AO9" i="2"/>
  <c r="AP9" i="2"/>
  <c r="AQ9" i="2"/>
  <c r="AL9" i="2"/>
  <c r="AM9" i="2"/>
  <c r="AN9" i="2"/>
  <c r="G698" i="2"/>
  <c r="AQ9" i="3" s="1"/>
  <c r="F698" i="2"/>
  <c r="AP9" i="3" s="1"/>
  <c r="E698" i="2"/>
  <c r="AO9" i="3" s="1"/>
  <c r="D698" i="2"/>
  <c r="AN9" i="3" s="1"/>
  <c r="C698" i="2"/>
  <c r="AM9" i="3" s="1"/>
  <c r="G694" i="2"/>
  <c r="T9" i="3" s="1"/>
  <c r="F694" i="2"/>
  <c r="S9" i="3" s="1"/>
  <c r="E694" i="2"/>
  <c r="R9" i="3" s="1"/>
  <c r="D694" i="2"/>
  <c r="Q9" i="3" s="1"/>
  <c r="C694" i="2"/>
  <c r="P9" i="3" s="1"/>
  <c r="G692" i="2"/>
  <c r="F692" i="2"/>
  <c r="E692" i="2"/>
  <c r="D692" i="2"/>
  <c r="C692" i="2"/>
  <c r="G691" i="2"/>
  <c r="AV9" i="3" s="1"/>
  <c r="F691" i="2"/>
  <c r="AU9" i="3" s="1"/>
  <c r="E691" i="2"/>
  <c r="AT9" i="3" s="1"/>
  <c r="D691" i="2"/>
  <c r="AS9" i="3" s="1"/>
  <c r="C691" i="2"/>
  <c r="AR9" i="3" s="1"/>
  <c r="G690" i="2"/>
  <c r="O9" i="3" s="1"/>
  <c r="F690" i="2"/>
  <c r="N9" i="3" s="1"/>
  <c r="E690" i="2"/>
  <c r="M9" i="3" s="1"/>
  <c r="D690" i="2"/>
  <c r="L9" i="3" s="1"/>
  <c r="C690" i="2"/>
  <c r="K9" i="3" s="1"/>
  <c r="G688" i="2"/>
  <c r="AD9" i="3" s="1"/>
  <c r="F688" i="2"/>
  <c r="AC9" i="3" s="1"/>
  <c r="E688" i="2"/>
  <c r="AB9" i="3" s="1"/>
  <c r="D688" i="2"/>
  <c r="AA9" i="3" s="1"/>
  <c r="C688" i="2"/>
  <c r="Z9" i="3" s="1"/>
  <c r="AR62" i="2"/>
  <c r="AG62" i="2"/>
  <c r="AH62" i="2"/>
  <c r="AI62" i="2"/>
  <c r="AJ62" i="2"/>
  <c r="AK62" i="2"/>
  <c r="AB62" i="2"/>
  <c r="AC62" i="2"/>
  <c r="AD62" i="2"/>
  <c r="AE62" i="2"/>
  <c r="AF62" i="2"/>
  <c r="W62" i="2"/>
  <c r="X62" i="2"/>
  <c r="Y62" i="2"/>
  <c r="Z62" i="2"/>
  <c r="AA62" i="2"/>
  <c r="R62" i="2"/>
  <c r="S62" i="2"/>
  <c r="T62" i="2"/>
  <c r="U62" i="2"/>
  <c r="V62" i="2"/>
  <c r="AO8" i="2"/>
  <c r="AP8" i="2"/>
  <c r="AQ8" i="2"/>
  <c r="AL8" i="2"/>
  <c r="AM8" i="2"/>
  <c r="AN8" i="2"/>
  <c r="AR61" i="2"/>
  <c r="AK60" i="2"/>
  <c r="AK61" i="2"/>
  <c r="AG61" i="2"/>
  <c r="AH61" i="2"/>
  <c r="AI61" i="2"/>
  <c r="AJ61" i="2"/>
  <c r="AG60" i="2"/>
  <c r="AC61" i="2"/>
  <c r="AD61" i="2"/>
  <c r="AE61" i="2"/>
  <c r="AF61" i="2"/>
  <c r="AD60" i="2"/>
  <c r="AD59" i="2"/>
  <c r="AD58" i="2"/>
  <c r="AD57" i="2"/>
  <c r="AC60" i="2"/>
  <c r="AC59" i="2"/>
  <c r="AC58" i="2"/>
  <c r="AB61" i="2"/>
  <c r="AB59" i="2"/>
  <c r="AB60" i="2"/>
  <c r="AB58" i="2"/>
  <c r="X61" i="2"/>
  <c r="Y61" i="2"/>
  <c r="Z61" i="2"/>
  <c r="AA61" i="2"/>
  <c r="W61" i="2"/>
  <c r="R61" i="2"/>
  <c r="S61" i="2"/>
  <c r="T61" i="2"/>
  <c r="U61" i="2"/>
  <c r="V61" i="2"/>
  <c r="AQ7" i="2"/>
  <c r="AP7" i="2"/>
  <c r="AO7" i="2"/>
  <c r="AN7" i="2"/>
  <c r="AM7" i="2"/>
  <c r="AL7" i="2"/>
  <c r="AX61" i="2"/>
  <c r="AW61" i="2"/>
  <c r="AV61" i="2"/>
  <c r="AU61" i="2"/>
  <c r="AT61" i="2"/>
  <c r="G634" i="2"/>
  <c r="AQ7" i="3" s="1"/>
  <c r="F634" i="2"/>
  <c r="AP7" i="3" s="1"/>
  <c r="E634" i="2"/>
  <c r="AO7" i="3" s="1"/>
  <c r="D634" i="2"/>
  <c r="AN7" i="3" s="1"/>
  <c r="C634" i="2"/>
  <c r="AM7" i="3" s="1"/>
  <c r="G630" i="2"/>
  <c r="T7" i="3" s="1"/>
  <c r="F630" i="2"/>
  <c r="S7" i="3" s="1"/>
  <c r="AX7" i="3" s="1"/>
  <c r="E630" i="2"/>
  <c r="R7" i="3" s="1"/>
  <c r="AY7" i="3" s="1"/>
  <c r="D630" i="2"/>
  <c r="Q7" i="3" s="1"/>
  <c r="C630" i="2"/>
  <c r="P7" i="3" s="1"/>
  <c r="G628" i="2"/>
  <c r="F628" i="2"/>
  <c r="E628" i="2"/>
  <c r="D628" i="2"/>
  <c r="C628" i="2"/>
  <c r="C627" i="2"/>
  <c r="AR7" i="3" s="1"/>
  <c r="G626" i="2"/>
  <c r="O7" i="3" s="1"/>
  <c r="F626" i="2"/>
  <c r="N7" i="3" s="1"/>
  <c r="E626" i="2"/>
  <c r="M7" i="3" s="1"/>
  <c r="D626" i="2"/>
  <c r="L7" i="3" s="1"/>
  <c r="C626" i="2"/>
  <c r="K7" i="3" s="1"/>
  <c r="G624" i="2"/>
  <c r="AD7" i="3" s="1"/>
  <c r="F624" i="2"/>
  <c r="AC7" i="3" s="1"/>
  <c r="E624" i="2"/>
  <c r="AB7" i="3" s="1"/>
  <c r="D624" i="2"/>
  <c r="AA7" i="3" s="1"/>
  <c r="C624" i="2"/>
  <c r="Z7" i="3" s="1"/>
  <c r="AR60" i="2"/>
  <c r="AQ6" i="2"/>
  <c r="AP6" i="2"/>
  <c r="AO6" i="2"/>
  <c r="AN6" i="2"/>
  <c r="AM6" i="2"/>
  <c r="AL6" i="2"/>
  <c r="AJ60" i="2"/>
  <c r="AI60" i="2"/>
  <c r="AH60" i="2"/>
  <c r="AF60" i="2"/>
  <c r="AE60" i="2"/>
  <c r="AA60" i="2"/>
  <c r="Z60" i="2"/>
  <c r="Y60" i="2"/>
  <c r="X60" i="2"/>
  <c r="W60" i="2"/>
  <c r="V60" i="2"/>
  <c r="U60" i="2"/>
  <c r="T60" i="2"/>
  <c r="S60" i="2"/>
  <c r="R60" i="2"/>
  <c r="R58" i="2"/>
  <c r="AQ3" i="2"/>
  <c r="AE59" i="2"/>
  <c r="AF59" i="2"/>
  <c r="AA5" i="2"/>
  <c r="AL5" i="2" s="1"/>
  <c r="Z5" i="2"/>
  <c r="AP5" i="2" s="1"/>
  <c r="Y5" i="2"/>
  <c r="AQ5" i="2" s="1"/>
  <c r="X5" i="2"/>
  <c r="W5" i="2"/>
  <c r="G603" i="2"/>
  <c r="AQ5" i="3" s="1"/>
  <c r="F603" i="2"/>
  <c r="AP5" i="3" s="1"/>
  <c r="E603" i="2"/>
  <c r="AO5" i="3" s="1"/>
  <c r="D603" i="2"/>
  <c r="AN5" i="3" s="1"/>
  <c r="C603" i="2"/>
  <c r="AM5" i="3" s="1"/>
  <c r="C599" i="2"/>
  <c r="P5" i="3" s="1"/>
  <c r="G599" i="2"/>
  <c r="T5" i="3" s="1"/>
  <c r="F599" i="2"/>
  <c r="S5" i="3" s="1"/>
  <c r="E599" i="2"/>
  <c r="R5" i="3" s="1"/>
  <c r="D599" i="2"/>
  <c r="Q5" i="3" s="1"/>
  <c r="G597" i="2"/>
  <c r="F597" i="2"/>
  <c r="E597" i="2"/>
  <c r="D597" i="2"/>
  <c r="C597" i="2"/>
  <c r="G596" i="2"/>
  <c r="AV5" i="3" s="1"/>
  <c r="F596" i="2"/>
  <c r="AU5" i="3" s="1"/>
  <c r="E596" i="2"/>
  <c r="AT5" i="3" s="1"/>
  <c r="D596" i="2"/>
  <c r="AS5" i="3" s="1"/>
  <c r="C596" i="2"/>
  <c r="AR5" i="3" s="1"/>
  <c r="G595" i="2"/>
  <c r="O5" i="3" s="1"/>
  <c r="F595" i="2"/>
  <c r="N5" i="3" s="1"/>
  <c r="N190" i="3" s="1"/>
  <c r="E595" i="2"/>
  <c r="M5" i="3" s="1"/>
  <c r="D595" i="2"/>
  <c r="L5" i="3" s="1"/>
  <c r="C595" i="2"/>
  <c r="K5" i="3" s="1"/>
  <c r="G593" i="2"/>
  <c r="AD5" i="3" s="1"/>
  <c r="F593" i="2"/>
  <c r="AC5" i="3" s="1"/>
  <c r="E593" i="2"/>
  <c r="AB5" i="3" s="1"/>
  <c r="D593" i="2"/>
  <c r="AA5" i="3" s="1"/>
  <c r="C593" i="2"/>
  <c r="Z5" i="3" s="1"/>
  <c r="V5" i="2"/>
  <c r="AK59" i="2" s="1"/>
  <c r="U5" i="2"/>
  <c r="AJ59" i="2" s="1"/>
  <c r="T5" i="2"/>
  <c r="AI59" i="2" s="1"/>
  <c r="S5" i="2"/>
  <c r="S59" i="2" s="1"/>
  <c r="R5" i="2"/>
  <c r="R59" i="2" s="1"/>
  <c r="AR58" i="2"/>
  <c r="AK58" i="2"/>
  <c r="AJ58" i="2"/>
  <c r="AI58" i="2"/>
  <c r="AH58" i="2"/>
  <c r="AG58" i="2"/>
  <c r="AF58" i="2"/>
  <c r="AE58" i="2"/>
  <c r="AA58" i="2"/>
  <c r="Z58" i="2"/>
  <c r="Y58" i="2"/>
  <c r="X58" i="2"/>
  <c r="W58" i="2"/>
  <c r="V58" i="2"/>
  <c r="U58" i="2"/>
  <c r="T58" i="2"/>
  <c r="S58" i="2"/>
  <c r="AQ4" i="2"/>
  <c r="AP4" i="2"/>
  <c r="AO4" i="2"/>
  <c r="AN4" i="2"/>
  <c r="AM4" i="2"/>
  <c r="AL4" i="2"/>
  <c r="AK57" i="2"/>
  <c r="AJ57" i="2"/>
  <c r="AI57" i="2"/>
  <c r="AH57" i="2"/>
  <c r="AF57" i="2"/>
  <c r="AE57" i="2"/>
  <c r="AC57" i="2"/>
  <c r="AA57" i="2"/>
  <c r="Z57" i="2"/>
  <c r="Y57" i="2"/>
  <c r="X57" i="2"/>
  <c r="V57" i="2"/>
  <c r="U57" i="2"/>
  <c r="T57" i="2"/>
  <c r="S57" i="2"/>
  <c r="AP3" i="2"/>
  <c r="AN3" i="2"/>
  <c r="AM57" i="2" s="1"/>
  <c r="AM3" i="2"/>
  <c r="O277" i="3" l="1"/>
  <c r="T277" i="3"/>
  <c r="S277" i="3"/>
  <c r="N277" i="3"/>
  <c r="AK277" i="3"/>
  <c r="R277" i="3"/>
  <c r="M277" i="3"/>
  <c r="L277" i="3"/>
  <c r="Q277" i="3"/>
  <c r="K277" i="3"/>
  <c r="P277" i="3"/>
  <c r="Y277" i="3"/>
  <c r="AD277" i="3"/>
  <c r="AC277" i="3"/>
  <c r="X277" i="3"/>
  <c r="W277" i="3"/>
  <c r="AB277" i="3"/>
  <c r="V277" i="3"/>
  <c r="AA277" i="3"/>
  <c r="Z277" i="3"/>
  <c r="U277" i="3"/>
  <c r="AW26" i="3"/>
  <c r="AW34" i="3"/>
  <c r="AX26" i="3"/>
  <c r="AX15" i="3"/>
  <c r="AX12" i="3"/>
  <c r="AW72" i="3"/>
  <c r="AX63" i="3"/>
  <c r="AX69" i="3"/>
  <c r="AY72" i="3"/>
  <c r="AW89" i="3"/>
  <c r="AG105" i="3"/>
  <c r="AG93" i="3"/>
  <c r="AY63" i="3"/>
  <c r="AY69" i="3"/>
  <c r="AX89" i="3"/>
  <c r="AW71" i="3"/>
  <c r="AY89" i="3"/>
  <c r="AW92" i="3"/>
  <c r="AY19" i="3"/>
  <c r="AW61" i="3"/>
  <c r="AW68" i="3"/>
  <c r="AX71" i="3"/>
  <c r="AX92" i="3"/>
  <c r="AX61" i="3"/>
  <c r="AX68" i="3"/>
  <c r="AY71" i="3"/>
  <c r="AW88" i="3"/>
  <c r="AY92" i="3"/>
  <c r="AW114" i="3"/>
  <c r="AY45" i="3"/>
  <c r="AY61" i="3"/>
  <c r="AY68" i="3"/>
  <c r="AX88" i="3"/>
  <c r="AX114" i="3"/>
  <c r="AW69" i="3"/>
  <c r="AY15" i="3"/>
  <c r="AY88" i="3"/>
  <c r="AW73" i="3"/>
  <c r="AW81" i="3"/>
  <c r="AY114" i="3"/>
  <c r="AX72" i="3"/>
  <c r="AX73" i="3"/>
  <c r="AX81" i="3"/>
  <c r="AW63" i="3"/>
  <c r="AY73" i="3"/>
  <c r="AY81" i="3"/>
  <c r="AE65" i="3"/>
  <c r="AW8" i="3"/>
  <c r="AY14" i="3"/>
  <c r="AW25" i="3"/>
  <c r="AY20" i="3"/>
  <c r="AY29" i="3"/>
  <c r="AY70" i="3"/>
  <c r="AI67" i="3"/>
  <c r="AX60" i="3"/>
  <c r="AY3" i="3"/>
  <c r="AW33" i="3"/>
  <c r="AW37" i="3"/>
  <c r="AY6" i="3"/>
  <c r="AW19" i="3"/>
  <c r="AW21" i="3"/>
  <c r="AW45" i="3"/>
  <c r="AW15" i="3"/>
  <c r="AY26" i="3"/>
  <c r="AW30" i="3"/>
  <c r="AW44" i="3"/>
  <c r="AX8" i="3"/>
  <c r="AW14" i="3"/>
  <c r="AW32" i="3"/>
  <c r="AW36" i="3"/>
  <c r="AW38" i="3"/>
  <c r="AW43" i="3"/>
  <c r="AX56" i="3"/>
  <c r="AW17" i="3"/>
  <c r="AW20" i="3"/>
  <c r="AY25" i="3"/>
  <c r="AY33" i="3"/>
  <c r="AY37" i="3"/>
  <c r="AJ65" i="3"/>
  <c r="AY82" i="3"/>
  <c r="AX79" i="3"/>
  <c r="AW24" i="3"/>
  <c r="AW27" i="3"/>
  <c r="AX75" i="3"/>
  <c r="AX57" i="3"/>
  <c r="AI65" i="3"/>
  <c r="AH67" i="3"/>
  <c r="AX101" i="3"/>
  <c r="AW22" i="3"/>
  <c r="AX25" i="3"/>
  <c r="AX33" i="3"/>
  <c r="AY39" i="3"/>
  <c r="AW60" i="3"/>
  <c r="AW75" i="3"/>
  <c r="AW12" i="3"/>
  <c r="AX14" i="3"/>
  <c r="AX17" i="3"/>
  <c r="AX20" i="3"/>
  <c r="AW7" i="3"/>
  <c r="AY10" i="3"/>
  <c r="AW3" i="3"/>
  <c r="AW56" i="3"/>
  <c r="AY62" i="3"/>
  <c r="AY67" i="3"/>
  <c r="AW107" i="3"/>
  <c r="AX10" i="3"/>
  <c r="AY11" i="3"/>
  <c r="AX39" i="3"/>
  <c r="AS57" i="2"/>
  <c r="AX11" i="3"/>
  <c r="AW39" i="3"/>
  <c r="AX40" i="3"/>
  <c r="AY9" i="3"/>
  <c r="AW11" i="3"/>
  <c r="AY18" i="3"/>
  <c r="AW40" i="3"/>
  <c r="AY41" i="3"/>
  <c r="AW5" i="3"/>
  <c r="AX21" i="3"/>
  <c r="AW100" i="3"/>
  <c r="AW42" i="3"/>
  <c r="AX74" i="3"/>
  <c r="AW23" i="3"/>
  <c r="AW28" i="3"/>
  <c r="AW31" i="3"/>
  <c r="AW35" i="3"/>
  <c r="AW18" i="3"/>
  <c r="AW29" i="3"/>
  <c r="AW41" i="3"/>
  <c r="AY5" i="3"/>
  <c r="AW59" i="3"/>
  <c r="AY101" i="3"/>
  <c r="AY107" i="3"/>
  <c r="AW55" i="3"/>
  <c r="AY60" i="3"/>
  <c r="AY66" i="3"/>
  <c r="AY75" i="3"/>
  <c r="AW78" i="3"/>
  <c r="AE93" i="3"/>
  <c r="AF106" i="3"/>
  <c r="AF100" i="3"/>
  <c r="AF90" i="3"/>
  <c r="AW65" i="3"/>
  <c r="AW83" i="3"/>
  <c r="AX36" i="3"/>
  <c r="AW91" i="3"/>
  <c r="AX112" i="3"/>
  <c r="AY22" i="3"/>
  <c r="AX55" i="3"/>
  <c r="AX78" i="3"/>
  <c r="AX22" i="3"/>
  <c r="AY32" i="3"/>
  <c r="AY36" i="3"/>
  <c r="AY43" i="3"/>
  <c r="AH54" i="3"/>
  <c r="AX95" i="3"/>
  <c r="AX91" i="3"/>
  <c r="AW90" i="3"/>
  <c r="AX5" i="3"/>
  <c r="AW9" i="3"/>
  <c r="AW13" i="3"/>
  <c r="AX42" i="3"/>
  <c r="AX54" i="3"/>
  <c r="AX94" i="3"/>
  <c r="AX277" i="3" s="1"/>
  <c r="AY90" i="3"/>
  <c r="AY111" i="3"/>
  <c r="AX9" i="3"/>
  <c r="AX13" i="3"/>
  <c r="AX24" i="3"/>
  <c r="AX31" i="3"/>
  <c r="AW58" i="3"/>
  <c r="AY78" i="3"/>
  <c r="AY8" i="3"/>
  <c r="AY12" i="3"/>
  <c r="AY24" i="3"/>
  <c r="AY28" i="3"/>
  <c r="AY35" i="3"/>
  <c r="AW111" i="3"/>
  <c r="AW4" i="3"/>
  <c r="AY83" i="3"/>
  <c r="AX4" i="3"/>
  <c r="AW94" i="3"/>
  <c r="AW277" i="3" s="1"/>
  <c r="AW64" i="3"/>
  <c r="AW108" i="3"/>
  <c r="AX23" i="3"/>
  <c r="AY34" i="3"/>
  <c r="AW76" i="3"/>
  <c r="AW80" i="3"/>
  <c r="AG106" i="3"/>
  <c r="AG102" i="3"/>
  <c r="AG100" i="3"/>
  <c r="AG90" i="3"/>
  <c r="AY102" i="3"/>
  <c r="AX18" i="3"/>
  <c r="AY23" i="3"/>
  <c r="AY38" i="3"/>
  <c r="AX62" i="3"/>
  <c r="AX76" i="3"/>
  <c r="AX80" i="3"/>
  <c r="AY17" i="3"/>
  <c r="AY21" i="3"/>
  <c r="AX29" i="3"/>
  <c r="AX41" i="3"/>
  <c r="AE90" i="3"/>
  <c r="AY58" i="3"/>
  <c r="AE101" i="3"/>
  <c r="AW93" i="3"/>
  <c r="AY56" i="3"/>
  <c r="AH3" i="3"/>
  <c r="AY40" i="3"/>
  <c r="AF105" i="3"/>
  <c r="AX93" i="3"/>
  <c r="AW6" i="3"/>
  <c r="AY95" i="3"/>
  <c r="AX34" i="3"/>
  <c r="AX6" i="3"/>
  <c r="AW10" i="3"/>
  <c r="AX108" i="3"/>
  <c r="AY108" i="3"/>
  <c r="AX107" i="3"/>
  <c r="AW105" i="3"/>
  <c r="AY113" i="3"/>
  <c r="AW112" i="3"/>
  <c r="AY112" i="3"/>
  <c r="AX111" i="3"/>
  <c r="AW102" i="3"/>
  <c r="AW95" i="3"/>
  <c r="AY94" i="3"/>
  <c r="AY277" i="3" s="1"/>
  <c r="AX102" i="3"/>
  <c r="AW106" i="3"/>
  <c r="AW113" i="3"/>
  <c r="AX113" i="3"/>
  <c r="AY91" i="3"/>
  <c r="AX82" i="3"/>
  <c r="AX83" i="3"/>
  <c r="AW82" i="3"/>
  <c r="AW77" i="3"/>
  <c r="AY76" i="3"/>
  <c r="AY74" i="3"/>
  <c r="AY80" i="3"/>
  <c r="AX77" i="3"/>
  <c r="AY77" i="3"/>
  <c r="AW79" i="3"/>
  <c r="AY79" i="3"/>
  <c r="AW74" i="3"/>
  <c r="AW70" i="3"/>
  <c r="AX70" i="3"/>
  <c r="AX66" i="3"/>
  <c r="AW66" i="3"/>
  <c r="AX64" i="3"/>
  <c r="AY64" i="3"/>
  <c r="AW62" i="3"/>
  <c r="AX59" i="3"/>
  <c r="AX58" i="3"/>
  <c r="AW57" i="3"/>
  <c r="AY57" i="3"/>
  <c r="AY55" i="3"/>
  <c r="AY59" i="3"/>
  <c r="AY54" i="3"/>
  <c r="AY44" i="3"/>
  <c r="AX43" i="3"/>
  <c r="AX44" i="3"/>
  <c r="AY42" i="3"/>
  <c r="AX37" i="3"/>
  <c r="AY31" i="3"/>
  <c r="AX30" i="3"/>
  <c r="AY30" i="3"/>
  <c r="AX32" i="3"/>
  <c r="AX35" i="3"/>
  <c r="AX38" i="3"/>
  <c r="AX28" i="3"/>
  <c r="AY27" i="3"/>
  <c r="AX27" i="3"/>
  <c r="AW67" i="3"/>
  <c r="AW54" i="3"/>
  <c r="AX90" i="3"/>
  <c r="AI54" i="3"/>
  <c r="AY106" i="3"/>
  <c r="AX106" i="3"/>
  <c r="AW101" i="3"/>
  <c r="AY105" i="3"/>
  <c r="AY65" i="3"/>
  <c r="AX105" i="3"/>
  <c r="AX65" i="3"/>
  <c r="AY100" i="3"/>
  <c r="AY93" i="3"/>
  <c r="AX100" i="3"/>
  <c r="AX67" i="3"/>
  <c r="AG92" i="3"/>
  <c r="AJ77" i="3"/>
  <c r="V212" i="3"/>
  <c r="W213" i="3"/>
  <c r="W215" i="3"/>
  <c r="AJ82" i="3"/>
  <c r="Y216" i="3"/>
  <c r="AE54" i="3"/>
  <c r="AF76" i="3"/>
  <c r="P188" i="3"/>
  <c r="AG55" i="3"/>
  <c r="Z188" i="3"/>
  <c r="T230" i="3"/>
  <c r="AH57" i="3"/>
  <c r="Q195" i="3"/>
  <c r="R196" i="3"/>
  <c r="S197" i="3"/>
  <c r="S202" i="3"/>
  <c r="AJ57" i="3"/>
  <c r="X205" i="3"/>
  <c r="P202" i="3"/>
  <c r="AJ80" i="3"/>
  <c r="T198" i="3"/>
  <c r="P204" i="3"/>
  <c r="T207" i="3"/>
  <c r="Q199" i="3"/>
  <c r="R200" i="3"/>
  <c r="Q204" i="3"/>
  <c r="S222" i="3"/>
  <c r="T223" i="3"/>
  <c r="AE74" i="3"/>
  <c r="AF34" i="3"/>
  <c r="Q217" i="3"/>
  <c r="Q218" i="3"/>
  <c r="R219" i="3"/>
  <c r="T220" i="3"/>
  <c r="P221" i="3"/>
  <c r="AI55" i="3"/>
  <c r="S207" i="3"/>
  <c r="T208" i="3"/>
  <c r="U197" i="3"/>
  <c r="W209" i="3"/>
  <c r="V213" i="3"/>
  <c r="V215" i="3"/>
  <c r="X216" i="3"/>
  <c r="Y217" i="3"/>
  <c r="Y218" i="3"/>
  <c r="U219" i="3"/>
  <c r="R220" i="3"/>
  <c r="S221" i="3"/>
  <c r="P227" i="3"/>
  <c r="V229" i="3"/>
  <c r="S201" i="3"/>
  <c r="S216" i="3"/>
  <c r="T209" i="3"/>
  <c r="Q207" i="3"/>
  <c r="R208" i="3"/>
  <c r="Y207" i="3"/>
  <c r="V217" i="3"/>
  <c r="V218" i="3"/>
  <c r="W219" i="3"/>
  <c r="Y220" i="3"/>
  <c r="U221" i="3"/>
  <c r="Q189" i="3"/>
  <c r="S191" i="3"/>
  <c r="Q200" i="3"/>
  <c r="P224" i="3"/>
  <c r="AG88" i="3"/>
  <c r="AH55" i="3"/>
  <c r="AH94" i="3"/>
  <c r="R194" i="3"/>
  <c r="V227" i="3"/>
  <c r="AF65" i="3"/>
  <c r="AI80" i="3"/>
  <c r="AI94" i="3"/>
  <c r="Q194" i="3"/>
  <c r="Q226" i="3"/>
  <c r="P209" i="3"/>
  <c r="U217" i="3"/>
  <c r="U218" i="3"/>
  <c r="Q219" i="3"/>
  <c r="S220" i="3"/>
  <c r="T221" i="3"/>
  <c r="V228" i="3"/>
  <c r="W229" i="3"/>
  <c r="AJ55" i="3"/>
  <c r="AG65" i="3"/>
  <c r="R207" i="3"/>
  <c r="S208" i="3"/>
  <c r="P210" i="3"/>
  <c r="T222" i="3"/>
  <c r="S209" i="3"/>
  <c r="T210" i="3"/>
  <c r="W216" i="3"/>
  <c r="X217" i="3"/>
  <c r="X218" i="3"/>
  <c r="Y219" i="3"/>
  <c r="Q220" i="3"/>
  <c r="R221" i="3"/>
  <c r="T227" i="3"/>
  <c r="Q208" i="3"/>
  <c r="R222" i="3"/>
  <c r="S223" i="3"/>
  <c r="AI20" i="3"/>
  <c r="S190" i="3"/>
  <c r="AF54" i="3"/>
  <c r="R188" i="3"/>
  <c r="Q196" i="3"/>
  <c r="AG57" i="3"/>
  <c r="R190" i="3"/>
  <c r="P192" i="3"/>
  <c r="AF78" i="3"/>
  <c r="AJ33" i="3"/>
  <c r="P223" i="3"/>
  <c r="AH74" i="3"/>
  <c r="AF75" i="3"/>
  <c r="Q211" i="3"/>
  <c r="R214" i="3"/>
  <c r="T224" i="3"/>
  <c r="P225" i="3"/>
  <c r="Q214" i="3"/>
  <c r="P226" i="3"/>
  <c r="U208" i="3"/>
  <c r="R224" i="3"/>
  <c r="S225" i="3"/>
  <c r="T226" i="3"/>
  <c r="P230" i="3"/>
  <c r="S228" i="3"/>
  <c r="P208" i="3"/>
  <c r="P197" i="3"/>
  <c r="X211" i="3"/>
  <c r="Y214" i="3"/>
  <c r="Q224" i="3"/>
  <c r="R225" i="3"/>
  <c r="S226" i="3"/>
  <c r="P231" i="3"/>
  <c r="T188" i="3"/>
  <c r="S196" i="3"/>
  <c r="W211" i="3"/>
  <c r="X214" i="3"/>
  <c r="U224" i="3"/>
  <c r="V211" i="3"/>
  <c r="W214" i="3"/>
  <c r="P219" i="3"/>
  <c r="R195" i="3"/>
  <c r="T197" i="3"/>
  <c r="P198" i="3"/>
  <c r="T202" i="3"/>
  <c r="P203" i="3"/>
  <c r="Q225" i="3"/>
  <c r="R226" i="3"/>
  <c r="S230" i="3"/>
  <c r="T231" i="3"/>
  <c r="U207" i="3"/>
  <c r="S210" i="3"/>
  <c r="P212" i="3"/>
  <c r="AF27" i="3"/>
  <c r="V216" i="3"/>
  <c r="W217" i="3"/>
  <c r="W218" i="3"/>
  <c r="X219" i="3"/>
  <c r="U220" i="3"/>
  <c r="Q221" i="3"/>
  <c r="S227" i="3"/>
  <c r="P228" i="3"/>
  <c r="AF81" i="3"/>
  <c r="AI105" i="3"/>
  <c r="AI100" i="3"/>
  <c r="AI93" i="3"/>
  <c r="AI90" i="3"/>
  <c r="S188" i="3"/>
  <c r="P199" i="3"/>
  <c r="T203" i="3"/>
  <c r="Y224" i="3"/>
  <c r="U225" i="3"/>
  <c r="R230" i="3"/>
  <c r="S231" i="3"/>
  <c r="Q209" i="3"/>
  <c r="R210" i="3"/>
  <c r="T212" i="3"/>
  <c r="P215" i="3"/>
  <c r="Q222" i="3"/>
  <c r="R223" i="3"/>
  <c r="R227" i="3"/>
  <c r="T228" i="3"/>
  <c r="P229" i="3"/>
  <c r="P189" i="3"/>
  <c r="R197" i="3"/>
  <c r="S198" i="3"/>
  <c r="T199" i="3"/>
  <c r="P200" i="3"/>
  <c r="R202" i="3"/>
  <c r="S203" i="3"/>
  <c r="T204" i="3"/>
  <c r="P205" i="3"/>
  <c r="V214" i="3"/>
  <c r="Q230" i="3"/>
  <c r="R231" i="3"/>
  <c r="P190" i="3"/>
  <c r="Q197" i="3"/>
  <c r="R198" i="3"/>
  <c r="S199" i="3"/>
  <c r="T200" i="3"/>
  <c r="Q202" i="3"/>
  <c r="R203" i="3"/>
  <c r="S204" i="3"/>
  <c r="T205" i="3"/>
  <c r="P206" i="3"/>
  <c r="Q231" i="3"/>
  <c r="AI62" i="3"/>
  <c r="Y222" i="3"/>
  <c r="S189" i="3"/>
  <c r="T190" i="3"/>
  <c r="P191" i="3"/>
  <c r="Q198" i="3"/>
  <c r="R199" i="3"/>
  <c r="S200" i="3"/>
  <c r="U202" i="3"/>
  <c r="Q203" i="3"/>
  <c r="T206" i="3"/>
  <c r="T216" i="3"/>
  <c r="Y223" i="3"/>
  <c r="R229" i="3"/>
  <c r="R189" i="3"/>
  <c r="T191" i="3"/>
  <c r="Y197" i="3"/>
  <c r="U198" i="3"/>
  <c r="Y202" i="3"/>
  <c r="U203" i="3"/>
  <c r="R205" i="3"/>
  <c r="S206" i="3"/>
  <c r="Y231" i="3"/>
  <c r="Q205" i="3"/>
  <c r="R206" i="3"/>
  <c r="X231" i="3"/>
  <c r="AB221" i="3"/>
  <c r="X227" i="3"/>
  <c r="Y228" i="3"/>
  <c r="U229" i="3"/>
  <c r="R191" i="3"/>
  <c r="Q216" i="3"/>
  <c r="R217" i="3"/>
  <c r="R218" i="3"/>
  <c r="S219" i="3"/>
  <c r="P220" i="3"/>
  <c r="Q191" i="3"/>
  <c r="P194" i="3"/>
  <c r="X204" i="3"/>
  <c r="AF62" i="3"/>
  <c r="N192" i="3"/>
  <c r="AC192" i="3"/>
  <c r="N215" i="3"/>
  <c r="AC215" i="3"/>
  <c r="K195" i="3"/>
  <c r="Z195" i="3"/>
  <c r="M193" i="3"/>
  <c r="AB193" i="3"/>
  <c r="AK193" i="3"/>
  <c r="N194" i="3"/>
  <c r="AC194" i="3"/>
  <c r="O195" i="3"/>
  <c r="AD195" i="3"/>
  <c r="K196" i="3"/>
  <c r="Z196" i="3"/>
  <c r="AJ16" i="3"/>
  <c r="BB16" i="3" s="1"/>
  <c r="R201" i="3"/>
  <c r="M211" i="3"/>
  <c r="AK211" i="3"/>
  <c r="N214" i="3"/>
  <c r="AC214" i="3"/>
  <c r="AG24" i="3"/>
  <c r="R209" i="3"/>
  <c r="K213" i="3"/>
  <c r="Z213" i="3"/>
  <c r="L215" i="3"/>
  <c r="AA215" i="3"/>
  <c r="N216" i="3"/>
  <c r="AC216" i="3"/>
  <c r="O217" i="3"/>
  <c r="AD217" i="3"/>
  <c r="O218" i="3"/>
  <c r="AD218" i="3"/>
  <c r="K218" i="3"/>
  <c r="Z218" i="3"/>
  <c r="L229" i="3"/>
  <c r="AA229" i="3"/>
  <c r="AI83" i="3"/>
  <c r="AE114" i="3"/>
  <c r="S205" i="3"/>
  <c r="Z231" i="3"/>
  <c r="O194" i="3"/>
  <c r="AD194" i="3"/>
  <c r="AJ19" i="3"/>
  <c r="R204" i="3"/>
  <c r="O214" i="3"/>
  <c r="AD214" i="3"/>
  <c r="AE37" i="3"/>
  <c r="L192" i="3"/>
  <c r="AA192" i="3"/>
  <c r="N188" i="3"/>
  <c r="AC188" i="3"/>
  <c r="L193" i="3"/>
  <c r="AA193" i="3"/>
  <c r="M194" i="3"/>
  <c r="AK194" i="3"/>
  <c r="AB194" i="3"/>
  <c r="N195" i="3"/>
  <c r="AC195" i="3"/>
  <c r="O196" i="3"/>
  <c r="AD196" i="3"/>
  <c r="K197" i="3"/>
  <c r="Z197" i="3"/>
  <c r="X197" i="3"/>
  <c r="U199" i="3"/>
  <c r="V201" i="3"/>
  <c r="K202" i="3"/>
  <c r="Z202" i="3"/>
  <c r="X202" i="3"/>
  <c r="Y203" i="3"/>
  <c r="U204" i="3"/>
  <c r="L211" i="3"/>
  <c r="AA211" i="3"/>
  <c r="M214" i="3"/>
  <c r="AB214" i="3"/>
  <c r="AK214" i="3"/>
  <c r="K224" i="3"/>
  <c r="Z224" i="3"/>
  <c r="X224" i="3"/>
  <c r="Y225" i="3"/>
  <c r="U226" i="3"/>
  <c r="P213" i="3"/>
  <c r="M216" i="3"/>
  <c r="AK216" i="3"/>
  <c r="AB216" i="3"/>
  <c r="N217" i="3"/>
  <c r="AC217" i="3"/>
  <c r="N218" i="3"/>
  <c r="AC218" i="3"/>
  <c r="O219" i="3"/>
  <c r="AD219" i="3"/>
  <c r="K219" i="3"/>
  <c r="Z219" i="3"/>
  <c r="AG83" i="3"/>
  <c r="AE106" i="3"/>
  <c r="AE91" i="3"/>
  <c r="AC230" i="3"/>
  <c r="O193" i="3"/>
  <c r="AD193" i="3"/>
  <c r="M215" i="3"/>
  <c r="AK215" i="3"/>
  <c r="AB215" i="3"/>
  <c r="M188" i="3"/>
  <c r="AB188" i="3"/>
  <c r="K189" i="3"/>
  <c r="Z189" i="3"/>
  <c r="Q190" i="3"/>
  <c r="T192" i="3"/>
  <c r="P193" i="3"/>
  <c r="L194" i="3"/>
  <c r="AA194" i="3"/>
  <c r="M195" i="3"/>
  <c r="AK195" i="3"/>
  <c r="AB195" i="3"/>
  <c r="N196" i="3"/>
  <c r="AC196" i="3"/>
  <c r="O197" i="3"/>
  <c r="AD197" i="3"/>
  <c r="W197" i="3"/>
  <c r="K198" i="3"/>
  <c r="Z198" i="3"/>
  <c r="Y199" i="3"/>
  <c r="U200" i="3"/>
  <c r="Y201" i="3"/>
  <c r="W202" i="3"/>
  <c r="K203" i="3"/>
  <c r="Z203" i="3"/>
  <c r="X203" i="3"/>
  <c r="Y204" i="3"/>
  <c r="U205" i="3"/>
  <c r="Q206" i="3"/>
  <c r="P211" i="3"/>
  <c r="L214" i="3"/>
  <c r="AA214" i="3"/>
  <c r="O224" i="3"/>
  <c r="AD224" i="3"/>
  <c r="W224" i="3"/>
  <c r="K225" i="3"/>
  <c r="Z225" i="3"/>
  <c r="X225" i="3"/>
  <c r="Y226" i="3"/>
  <c r="U230" i="3"/>
  <c r="AJ61" i="3"/>
  <c r="AH68" i="3"/>
  <c r="AF89" i="3"/>
  <c r="O207" i="3"/>
  <c r="AD207" i="3"/>
  <c r="X207" i="3"/>
  <c r="Y208" i="3"/>
  <c r="U209" i="3"/>
  <c r="Q210" i="3"/>
  <c r="S212" i="3"/>
  <c r="T213" i="3"/>
  <c r="T215" i="3"/>
  <c r="L216" i="3"/>
  <c r="AA216" i="3"/>
  <c r="M217" i="3"/>
  <c r="AB217" i="3"/>
  <c r="AK217" i="3"/>
  <c r="M218" i="3"/>
  <c r="AK218" i="3"/>
  <c r="AB218" i="3"/>
  <c r="N219" i="3"/>
  <c r="AC219" i="3"/>
  <c r="V219" i="3"/>
  <c r="K220" i="3"/>
  <c r="Z220" i="3"/>
  <c r="X220" i="3"/>
  <c r="Y221" i="3"/>
  <c r="U222" i="3"/>
  <c r="Q223" i="3"/>
  <c r="Q227" i="3"/>
  <c r="T229" i="3"/>
  <c r="L191" i="3"/>
  <c r="AA191" i="3"/>
  <c r="K214" i="3"/>
  <c r="Z214" i="3"/>
  <c r="L212" i="3"/>
  <c r="AA212" i="3"/>
  <c r="K216" i="3"/>
  <c r="Z216" i="3"/>
  <c r="L188" i="3"/>
  <c r="AA188" i="3"/>
  <c r="O189" i="3"/>
  <c r="AD189" i="3"/>
  <c r="AG35" i="3"/>
  <c r="S192" i="3"/>
  <c r="T193" i="3"/>
  <c r="L195" i="3"/>
  <c r="AA195" i="3"/>
  <c r="M196" i="3"/>
  <c r="AB196" i="3"/>
  <c r="AK196" i="3"/>
  <c r="N197" i="3"/>
  <c r="AC197" i="3"/>
  <c r="V197" i="3"/>
  <c r="O198" i="3"/>
  <c r="AD198" i="3"/>
  <c r="W198" i="3"/>
  <c r="K199" i="3"/>
  <c r="Z199" i="3"/>
  <c r="X199" i="3"/>
  <c r="Y200" i="3"/>
  <c r="X201" i="3"/>
  <c r="N202" i="3"/>
  <c r="AC202" i="3"/>
  <c r="V202" i="3"/>
  <c r="O203" i="3"/>
  <c r="AD203" i="3"/>
  <c r="W203" i="3"/>
  <c r="K204" i="3"/>
  <c r="Z204" i="3"/>
  <c r="Y205" i="3"/>
  <c r="U206" i="3"/>
  <c r="AH26" i="3"/>
  <c r="P214" i="3"/>
  <c r="N224" i="3"/>
  <c r="AC224" i="3"/>
  <c r="V224" i="3"/>
  <c r="O225" i="3"/>
  <c r="AD225" i="3"/>
  <c r="W225" i="3"/>
  <c r="K226" i="3"/>
  <c r="Z226" i="3"/>
  <c r="X226" i="3"/>
  <c r="Y230" i="3"/>
  <c r="U231" i="3"/>
  <c r="AE61" i="3"/>
  <c r="N207" i="3"/>
  <c r="AC207" i="3"/>
  <c r="W207" i="3"/>
  <c r="O208" i="3"/>
  <c r="AD208" i="3"/>
  <c r="X208" i="3"/>
  <c r="Y209" i="3"/>
  <c r="U210" i="3"/>
  <c r="R212" i="3"/>
  <c r="S213" i="3"/>
  <c r="AI30" i="3"/>
  <c r="S215" i="3"/>
  <c r="P216" i="3"/>
  <c r="L217" i="3"/>
  <c r="AA217" i="3"/>
  <c r="L218" i="3"/>
  <c r="AA218" i="3"/>
  <c r="M219" i="3"/>
  <c r="AK219" i="3"/>
  <c r="AB219" i="3"/>
  <c r="O220" i="3"/>
  <c r="AD220" i="3"/>
  <c r="W220" i="3"/>
  <c r="X221" i="3"/>
  <c r="U223" i="3"/>
  <c r="K227" i="3"/>
  <c r="Z227" i="3"/>
  <c r="R228" i="3"/>
  <c r="S229" i="3"/>
  <c r="AG54" i="3"/>
  <c r="Z221" i="3"/>
  <c r="AG68" i="3"/>
  <c r="L228" i="3"/>
  <c r="AA228" i="3"/>
  <c r="K212" i="3"/>
  <c r="Z212" i="3"/>
  <c r="N189" i="3"/>
  <c r="AC189" i="3"/>
  <c r="K188" i="3"/>
  <c r="R192" i="3"/>
  <c r="S193" i="3"/>
  <c r="AE9" i="3"/>
  <c r="T194" i="3"/>
  <c r="P195" i="3"/>
  <c r="L196" i="3"/>
  <c r="AA196" i="3"/>
  <c r="M197" i="3"/>
  <c r="AK197" i="3"/>
  <c r="AB197" i="3"/>
  <c r="N198" i="3"/>
  <c r="AC198" i="3"/>
  <c r="V198" i="3"/>
  <c r="O199" i="3"/>
  <c r="AD199" i="3"/>
  <c r="W199" i="3"/>
  <c r="K200" i="3"/>
  <c r="Z200" i="3"/>
  <c r="X200" i="3"/>
  <c r="W201" i="3"/>
  <c r="M202" i="3"/>
  <c r="AK202" i="3"/>
  <c r="AB202" i="3"/>
  <c r="N203" i="3"/>
  <c r="AC203" i="3"/>
  <c r="V203" i="3"/>
  <c r="O204" i="3"/>
  <c r="AD204" i="3"/>
  <c r="W204" i="3"/>
  <c r="K205" i="3"/>
  <c r="Z205" i="3"/>
  <c r="Y206" i="3"/>
  <c r="S211" i="3"/>
  <c r="T214" i="3"/>
  <c r="AG29" i="3"/>
  <c r="M224" i="3"/>
  <c r="AK224" i="3"/>
  <c r="AB224" i="3"/>
  <c r="N225" i="3"/>
  <c r="AC225" i="3"/>
  <c r="V225" i="3"/>
  <c r="O226" i="3"/>
  <c r="AD226" i="3"/>
  <c r="W226" i="3"/>
  <c r="K230" i="3"/>
  <c r="Z230" i="3"/>
  <c r="X230" i="3"/>
  <c r="M207" i="3"/>
  <c r="AK207" i="3"/>
  <c r="AB207" i="3"/>
  <c r="V207" i="3"/>
  <c r="N208" i="3"/>
  <c r="AC208" i="3"/>
  <c r="W208" i="3"/>
  <c r="K209" i="3"/>
  <c r="Z209" i="3"/>
  <c r="X209" i="3"/>
  <c r="Y210" i="3"/>
  <c r="Q212" i="3"/>
  <c r="R213" i="3"/>
  <c r="R215" i="3"/>
  <c r="P217" i="3"/>
  <c r="P218" i="3"/>
  <c r="L219" i="3"/>
  <c r="AA219" i="3"/>
  <c r="N220" i="3"/>
  <c r="AC220" i="3"/>
  <c r="V220" i="3"/>
  <c r="O221" i="3"/>
  <c r="AD221" i="3"/>
  <c r="W221" i="3"/>
  <c r="O222" i="3"/>
  <c r="AD222" i="3"/>
  <c r="X222" i="3"/>
  <c r="U227" i="3"/>
  <c r="Q228" i="3"/>
  <c r="AD211" i="3"/>
  <c r="N229" i="3"/>
  <c r="AC229" i="3"/>
  <c r="M189" i="3"/>
  <c r="AB189" i="3"/>
  <c r="AK189" i="3"/>
  <c r="K190" i="3"/>
  <c r="Z190" i="3"/>
  <c r="Q192" i="3"/>
  <c r="R193" i="3"/>
  <c r="S194" i="3"/>
  <c r="T195" i="3"/>
  <c r="P196" i="3"/>
  <c r="L197" i="3"/>
  <c r="AA197" i="3"/>
  <c r="M198" i="3"/>
  <c r="AK198" i="3"/>
  <c r="AB198" i="3"/>
  <c r="N199" i="3"/>
  <c r="AC199" i="3"/>
  <c r="V199" i="3"/>
  <c r="O200" i="3"/>
  <c r="AD200" i="3"/>
  <c r="W200" i="3"/>
  <c r="L201" i="3"/>
  <c r="AA201" i="3"/>
  <c r="L202" i="3"/>
  <c r="AA202" i="3"/>
  <c r="M203" i="3"/>
  <c r="AB203" i="3"/>
  <c r="AK203" i="3"/>
  <c r="N204" i="3"/>
  <c r="AC204" i="3"/>
  <c r="V204" i="3"/>
  <c r="O205" i="3"/>
  <c r="AD205" i="3"/>
  <c r="W205" i="3"/>
  <c r="K206" i="3"/>
  <c r="Z206" i="3"/>
  <c r="X206" i="3"/>
  <c r="R211" i="3"/>
  <c r="S214" i="3"/>
  <c r="L224" i="3"/>
  <c r="AA224" i="3"/>
  <c r="M225" i="3"/>
  <c r="AK225" i="3"/>
  <c r="AB225" i="3"/>
  <c r="N226" i="3"/>
  <c r="AC226" i="3"/>
  <c r="V226" i="3"/>
  <c r="W230" i="3"/>
  <c r="AH88" i="3"/>
  <c r="L207" i="3"/>
  <c r="AA207" i="3"/>
  <c r="M208" i="3"/>
  <c r="AK208" i="3"/>
  <c r="AB208" i="3"/>
  <c r="V208" i="3"/>
  <c r="O209" i="3"/>
  <c r="AD209" i="3"/>
  <c r="X210" i="3"/>
  <c r="U212" i="3"/>
  <c r="Q213" i="3"/>
  <c r="Q215" i="3"/>
  <c r="T217" i="3"/>
  <c r="T218" i="3"/>
  <c r="M220" i="3"/>
  <c r="AB220" i="3"/>
  <c r="AK220" i="3"/>
  <c r="N221" i="3"/>
  <c r="AC221" i="3"/>
  <c r="V221" i="3"/>
  <c r="N222" i="3"/>
  <c r="AC222" i="3"/>
  <c r="W222" i="3"/>
  <c r="O223" i="3"/>
  <c r="AD223" i="3"/>
  <c r="X223" i="3"/>
  <c r="Y227" i="3"/>
  <c r="U228" i="3"/>
  <c r="Q229" i="3"/>
  <c r="AB211" i="3"/>
  <c r="L213" i="3"/>
  <c r="AA213" i="3"/>
  <c r="O216" i="3"/>
  <c r="AD216" i="3"/>
  <c r="L189" i="3"/>
  <c r="AA189" i="3"/>
  <c r="O190" i="3"/>
  <c r="AD190" i="3"/>
  <c r="K191" i="3"/>
  <c r="Z191" i="3"/>
  <c r="Q193" i="3"/>
  <c r="S195" i="3"/>
  <c r="T196" i="3"/>
  <c r="L198" i="3"/>
  <c r="AA198" i="3"/>
  <c r="M199" i="3"/>
  <c r="AB199" i="3"/>
  <c r="AK199" i="3"/>
  <c r="N200" i="3"/>
  <c r="AC200" i="3"/>
  <c r="V200" i="3"/>
  <c r="O201" i="3"/>
  <c r="AD201" i="3"/>
  <c r="M204" i="3"/>
  <c r="AK204" i="3"/>
  <c r="AB204" i="3"/>
  <c r="N205" i="3"/>
  <c r="AC205" i="3"/>
  <c r="V205" i="3"/>
  <c r="O206" i="3"/>
  <c r="AD206" i="3"/>
  <c r="W206" i="3"/>
  <c r="AG22" i="3"/>
  <c r="L225" i="3"/>
  <c r="AA225" i="3"/>
  <c r="M226" i="3"/>
  <c r="AB226" i="3"/>
  <c r="AK226" i="3"/>
  <c r="M230" i="3"/>
  <c r="AK230" i="3"/>
  <c r="AB230" i="3"/>
  <c r="V230" i="3"/>
  <c r="O231" i="3"/>
  <c r="AD231" i="3"/>
  <c r="W231" i="3"/>
  <c r="K207" i="3"/>
  <c r="Z207" i="3"/>
  <c r="L208" i="3"/>
  <c r="AA208" i="3"/>
  <c r="N209" i="3"/>
  <c r="AC209" i="3"/>
  <c r="V209" i="3"/>
  <c r="O210" i="3"/>
  <c r="AD210" i="3"/>
  <c r="W210" i="3"/>
  <c r="K210" i="3"/>
  <c r="Z210" i="3"/>
  <c r="Y212" i="3"/>
  <c r="U213" i="3"/>
  <c r="U215" i="3"/>
  <c r="R216" i="3"/>
  <c r="S217" i="3"/>
  <c r="S218" i="3"/>
  <c r="T219" i="3"/>
  <c r="L220" i="3"/>
  <c r="AA220" i="3"/>
  <c r="M221" i="3"/>
  <c r="AK221" i="3"/>
  <c r="M222" i="3"/>
  <c r="AB222" i="3"/>
  <c r="AK222" i="3"/>
  <c r="V222" i="3"/>
  <c r="N223" i="3"/>
  <c r="AC223" i="3"/>
  <c r="W223" i="3"/>
  <c r="O227" i="3"/>
  <c r="AD227" i="3"/>
  <c r="T211" i="3"/>
  <c r="AA203" i="3"/>
  <c r="M192" i="3"/>
  <c r="AK192" i="3"/>
  <c r="O191" i="3"/>
  <c r="AD191" i="3"/>
  <c r="L199" i="3"/>
  <c r="AA199" i="3"/>
  <c r="M200" i="3"/>
  <c r="AB200" i="3"/>
  <c r="AK200" i="3"/>
  <c r="N201" i="3"/>
  <c r="AC201" i="3"/>
  <c r="L204" i="3"/>
  <c r="AA204" i="3"/>
  <c r="M205" i="3"/>
  <c r="AK205" i="3"/>
  <c r="AB205" i="3"/>
  <c r="N206" i="3"/>
  <c r="AC206" i="3"/>
  <c r="V206" i="3"/>
  <c r="AF23" i="3"/>
  <c r="U211" i="3"/>
  <c r="L226" i="3"/>
  <c r="AA226" i="3"/>
  <c r="L230" i="3"/>
  <c r="AA230" i="3"/>
  <c r="N231" i="3"/>
  <c r="AC231" i="3"/>
  <c r="V231" i="3"/>
  <c r="AE72" i="3"/>
  <c r="P207" i="3"/>
  <c r="K208" i="3"/>
  <c r="Z208" i="3"/>
  <c r="M209" i="3"/>
  <c r="AB209" i="3"/>
  <c r="AK209" i="3"/>
  <c r="N210" i="3"/>
  <c r="AC210" i="3"/>
  <c r="V210" i="3"/>
  <c r="O212" i="3"/>
  <c r="AD212" i="3"/>
  <c r="X212" i="3"/>
  <c r="Y213" i="3"/>
  <c r="Y215" i="3"/>
  <c r="L221" i="3"/>
  <c r="AA221" i="3"/>
  <c r="L222" i="3"/>
  <c r="AA222" i="3"/>
  <c r="M223" i="3"/>
  <c r="AK223" i="3"/>
  <c r="AB223" i="3"/>
  <c r="V223" i="3"/>
  <c r="N227" i="3"/>
  <c r="AC227" i="3"/>
  <c r="W227" i="3"/>
  <c r="O228" i="3"/>
  <c r="AD228" i="3"/>
  <c r="X228" i="3"/>
  <c r="Y229" i="3"/>
  <c r="AH64" i="3"/>
  <c r="AD202" i="3"/>
  <c r="AB192" i="3"/>
  <c r="K194" i="3"/>
  <c r="Z194" i="3"/>
  <c r="AH16" i="3"/>
  <c r="AZ16" i="3" s="1"/>
  <c r="T201" i="3"/>
  <c r="AJ63" i="3"/>
  <c r="M213" i="3"/>
  <c r="AK213" i="3"/>
  <c r="AB213" i="3"/>
  <c r="N211" i="3"/>
  <c r="AC211" i="3"/>
  <c r="O188" i="3"/>
  <c r="AD188" i="3"/>
  <c r="Q188" i="3"/>
  <c r="T189" i="3"/>
  <c r="M190" i="3"/>
  <c r="AK190" i="3"/>
  <c r="AB190" i="3"/>
  <c r="N191" i="3"/>
  <c r="AC191" i="3"/>
  <c r="K192" i="3"/>
  <c r="Z192" i="3"/>
  <c r="L200" i="3"/>
  <c r="AA200" i="3"/>
  <c r="M201" i="3"/>
  <c r="AK201" i="3"/>
  <c r="AB201" i="3"/>
  <c r="L205" i="3"/>
  <c r="AA205" i="3"/>
  <c r="M206" i="3"/>
  <c r="AB206" i="3"/>
  <c r="AK206" i="3"/>
  <c r="AE24" i="3"/>
  <c r="Y211" i="3"/>
  <c r="U214" i="3"/>
  <c r="AF39" i="3"/>
  <c r="S224" i="3"/>
  <c r="AH40" i="3"/>
  <c r="T225" i="3"/>
  <c r="O230" i="3"/>
  <c r="AD230" i="3"/>
  <c r="M231" i="3"/>
  <c r="AK231" i="3"/>
  <c r="AB231" i="3"/>
  <c r="L209" i="3"/>
  <c r="AA209" i="3"/>
  <c r="M210" i="3"/>
  <c r="AB210" i="3"/>
  <c r="AK210" i="3"/>
  <c r="N212" i="3"/>
  <c r="AC212" i="3"/>
  <c r="W212" i="3"/>
  <c r="O213" i="3"/>
  <c r="AD213" i="3"/>
  <c r="X213" i="3"/>
  <c r="X215" i="3"/>
  <c r="U216" i="3"/>
  <c r="K222" i="3"/>
  <c r="Z222" i="3"/>
  <c r="L223" i="3"/>
  <c r="AA223" i="3"/>
  <c r="M227" i="3"/>
  <c r="AK227" i="3"/>
  <c r="AB227" i="3"/>
  <c r="N228" i="3"/>
  <c r="AC228" i="3"/>
  <c r="W228" i="3"/>
  <c r="K229" i="3"/>
  <c r="Z229" i="3"/>
  <c r="X229" i="3"/>
  <c r="AI64" i="3"/>
  <c r="AC190" i="3"/>
  <c r="N193" i="3"/>
  <c r="AC193" i="3"/>
  <c r="K217" i="3"/>
  <c r="Z217" i="3"/>
  <c r="L190" i="3"/>
  <c r="AA190" i="3"/>
  <c r="M191" i="3"/>
  <c r="AK191" i="3"/>
  <c r="AB191" i="3"/>
  <c r="O192" i="3"/>
  <c r="AD192" i="3"/>
  <c r="K193" i="3"/>
  <c r="Z193" i="3"/>
  <c r="Q201" i="3"/>
  <c r="L206" i="3"/>
  <c r="AA206" i="3"/>
  <c r="K211" i="3"/>
  <c r="Z211" i="3"/>
  <c r="L231" i="3"/>
  <c r="AA231" i="3"/>
  <c r="L210" i="3"/>
  <c r="AA210" i="3"/>
  <c r="M212" i="3"/>
  <c r="AK212" i="3"/>
  <c r="AB212" i="3"/>
  <c r="N213" i="3"/>
  <c r="AC213" i="3"/>
  <c r="O215" i="3"/>
  <c r="AD215" i="3"/>
  <c r="K215" i="3"/>
  <c r="Z215" i="3"/>
  <c r="P222" i="3"/>
  <c r="K223" i="3"/>
  <c r="Z223" i="3"/>
  <c r="L227" i="3"/>
  <c r="AA227" i="3"/>
  <c r="M228" i="3"/>
  <c r="AK228" i="3"/>
  <c r="AB228" i="3"/>
  <c r="O229" i="3"/>
  <c r="AD229" i="3"/>
  <c r="AJ67" i="3"/>
  <c r="AJ64" i="3"/>
  <c r="AG78" i="3"/>
  <c r="K228" i="3"/>
  <c r="Z228" i="3"/>
  <c r="M229" i="3"/>
  <c r="AB229" i="3"/>
  <c r="AK229" i="3"/>
  <c r="AG62" i="3"/>
  <c r="AE77" i="3"/>
  <c r="AG60" i="3"/>
  <c r="AH76" i="3"/>
  <c r="AE78" i="3"/>
  <c r="AG101" i="3"/>
  <c r="AG91" i="3"/>
  <c r="AE107" i="3"/>
  <c r="AF92" i="3"/>
  <c r="AJ45" i="3"/>
  <c r="BB45" i="3" s="1"/>
  <c r="AF61" i="3"/>
  <c r="AH89" i="3"/>
  <c r="AG89" i="3"/>
  <c r="AJ22" i="3"/>
  <c r="AI43" i="3"/>
  <c r="AI59" i="3"/>
  <c r="AJ70" i="3"/>
  <c r="AF80" i="3"/>
  <c r="AI91" i="3"/>
  <c r="AH111" i="3"/>
  <c r="AI113" i="3"/>
  <c r="AI40" i="3"/>
  <c r="AH41" i="3"/>
  <c r="AF68" i="3"/>
  <c r="AG72" i="3"/>
  <c r="AF71" i="3"/>
  <c r="AE40" i="3"/>
  <c r="AI39" i="3"/>
  <c r="AH38" i="3"/>
  <c r="AE83" i="3"/>
  <c r="AF59" i="3"/>
  <c r="AE43" i="3"/>
  <c r="AE60" i="3"/>
  <c r="AF55" i="3"/>
  <c r="AE56" i="3"/>
  <c r="AJ59" i="3"/>
  <c r="AJ78" i="3"/>
  <c r="AG80" i="3"/>
  <c r="AI111" i="3"/>
  <c r="AE69" i="3"/>
  <c r="AE71" i="3"/>
  <c r="AE75" i="3"/>
  <c r="AF43" i="3"/>
  <c r="AI81" i="3"/>
  <c r="AJ91" i="3"/>
  <c r="AH56" i="3"/>
  <c r="AF58" i="3"/>
  <c r="AF88" i="3"/>
  <c r="AI72" i="3"/>
  <c r="AH95" i="3"/>
  <c r="AH92" i="3"/>
  <c r="AJ107" i="3"/>
  <c r="AI112" i="3"/>
  <c r="AJ101" i="3"/>
  <c r="AG75" i="3"/>
  <c r="AG82" i="3"/>
  <c r="AH81" i="3"/>
  <c r="AJ95" i="3"/>
  <c r="AH100" i="3"/>
  <c r="AH93" i="3"/>
  <c r="AH90" i="3"/>
  <c r="AE108" i="3"/>
  <c r="AJ108" i="3"/>
  <c r="AF113" i="3"/>
  <c r="AE73" i="3"/>
  <c r="AI36" i="3"/>
  <c r="AE58" i="3"/>
  <c r="AJ58" i="3"/>
  <c r="AJ60" i="3"/>
  <c r="AG67" i="3"/>
  <c r="AG64" i="3"/>
  <c r="AG77" i="3"/>
  <c r="AG79" i="3"/>
  <c r="AH78" i="3"/>
  <c r="AE80" i="3"/>
  <c r="AI82" i="3"/>
  <c r="AJ81" i="3"/>
  <c r="AJ105" i="3"/>
  <c r="AJ100" i="3"/>
  <c r="AJ90" i="3"/>
  <c r="AG108" i="3"/>
  <c r="AH113" i="3"/>
  <c r="AG81" i="3"/>
  <c r="AH106" i="3"/>
  <c r="AI79" i="3"/>
  <c r="AF82" i="3"/>
  <c r="AJ83" i="3"/>
  <c r="AE113" i="3"/>
  <c r="AF13" i="3"/>
  <c r="AG95" i="3"/>
  <c r="AE81" i="3"/>
  <c r="AI60" i="3"/>
  <c r="AF67" i="3"/>
  <c r="AF64" i="3"/>
  <c r="AE88" i="3"/>
  <c r="AJ88" i="3"/>
  <c r="AG46" i="3"/>
  <c r="AE63" i="3"/>
  <c r="AJ69" i="3"/>
  <c r="AJ92" i="3"/>
  <c r="AH83" i="3"/>
  <c r="AE57" i="3"/>
  <c r="AE89" i="3"/>
  <c r="AJ102" i="3"/>
  <c r="AJ62" i="3"/>
  <c r="AJ72" i="3"/>
  <c r="AI61" i="3"/>
  <c r="AF83" i="3"/>
  <c r="AE67" i="3"/>
  <c r="AH107" i="3"/>
  <c r="AI46" i="3"/>
  <c r="BA46" i="3" s="1"/>
  <c r="AF17" i="3"/>
  <c r="AE18" i="3"/>
  <c r="AJ106" i="3"/>
  <c r="AH108" i="3"/>
  <c r="AE111" i="3"/>
  <c r="AI68" i="3"/>
  <c r="AH79" i="3"/>
  <c r="AE112" i="3"/>
  <c r="AG114" i="3"/>
  <c r="AF69" i="3"/>
  <c r="AH71" i="3"/>
  <c r="AI88" i="3"/>
  <c r="AE79" i="3"/>
  <c r="AH61" i="3"/>
  <c r="AE55" i="3"/>
  <c r="AF60" i="3"/>
  <c r="AG70" i="3"/>
  <c r="AG73" i="3"/>
  <c r="AE102" i="3"/>
  <c r="AH14" i="3"/>
  <c r="AI71" i="3"/>
  <c r="AG61" i="3"/>
  <c r="AH72" i="3"/>
  <c r="AF101" i="3"/>
  <c r="AF94" i="3"/>
  <c r="AF91" i="3"/>
  <c r="AJ68" i="3"/>
  <c r="AJ89" i="3"/>
  <c r="AH77" i="3"/>
  <c r="AG76" i="3"/>
  <c r="AE76" i="3"/>
  <c r="AF112" i="3"/>
  <c r="AE92" i="3"/>
  <c r="AF46" i="3"/>
  <c r="AI89" i="3"/>
  <c r="AG56" i="3"/>
  <c r="AJ73" i="3"/>
  <c r="AJ79" i="3"/>
  <c r="AH80" i="3"/>
  <c r="AF107" i="3"/>
  <c r="AE95" i="3"/>
  <c r="AJ54" i="3"/>
  <c r="AG107" i="3"/>
  <c r="AI63" i="3"/>
  <c r="AG23" i="3"/>
  <c r="AE62" i="3"/>
  <c r="AI3" i="3"/>
  <c r="AH63" i="3"/>
  <c r="AG63" i="3"/>
  <c r="AG69" i="3"/>
  <c r="AI76" i="3"/>
  <c r="AF114" i="3"/>
  <c r="AH112" i="3"/>
  <c r="AJ111" i="3"/>
  <c r="AI95" i="3"/>
  <c r="AI102" i="3"/>
  <c r="AH82" i="3"/>
  <c r="AE82" i="3"/>
  <c r="AI78" i="3"/>
  <c r="AF79" i="3"/>
  <c r="AF77" i="3"/>
  <c r="AI77" i="3"/>
  <c r="AJ76" i="3"/>
  <c r="AI75" i="3"/>
  <c r="AJ75" i="3"/>
  <c r="AI74" i="3"/>
  <c r="BA74" i="3" s="1"/>
  <c r="AG74" i="3"/>
  <c r="AJ74" i="3"/>
  <c r="AH73" i="3"/>
  <c r="AH70" i="3"/>
  <c r="AE70" i="3"/>
  <c r="AE66" i="3"/>
  <c r="AH66" i="3"/>
  <c r="AH65" i="3"/>
  <c r="AH58" i="3"/>
  <c r="AG58" i="3"/>
  <c r="AG59" i="3"/>
  <c r="AI58" i="3"/>
  <c r="AF57" i="3"/>
  <c r="AI57" i="3"/>
  <c r="AF56" i="3"/>
  <c r="AI56" i="3"/>
  <c r="AJ56" i="3"/>
  <c r="AE44" i="3"/>
  <c r="AH32" i="3"/>
  <c r="AI114" i="3"/>
  <c r="AJ114" i="3"/>
  <c r="AG113" i="3"/>
  <c r="AG112" i="3"/>
  <c r="AJ113" i="3"/>
  <c r="AJ112" i="3"/>
  <c r="AH114" i="3"/>
  <c r="AG111" i="3"/>
  <c r="AF111" i="3"/>
  <c r="AF108" i="3"/>
  <c r="AI108" i="3"/>
  <c r="AI107" i="3"/>
  <c r="AI106" i="3"/>
  <c r="AE105" i="3"/>
  <c r="AH105" i="3"/>
  <c r="AH102" i="3"/>
  <c r="AF102" i="3"/>
  <c r="AE100" i="3"/>
  <c r="AI101" i="3"/>
  <c r="AH101" i="3"/>
  <c r="AE94" i="3"/>
  <c r="AG94" i="3"/>
  <c r="AF277" i="3" s="1"/>
  <c r="AF95" i="3"/>
  <c r="AJ94" i="3"/>
  <c r="AI277" i="3" s="1"/>
  <c r="AJ93" i="3"/>
  <c r="AI92" i="3"/>
  <c r="BA92" i="3" s="1"/>
  <c r="AF93" i="3"/>
  <c r="AH91" i="3"/>
  <c r="AH75" i="3"/>
  <c r="AG71" i="3"/>
  <c r="AF73" i="3"/>
  <c r="AF74" i="3"/>
  <c r="AF72" i="3"/>
  <c r="AJ71" i="3"/>
  <c r="AI73" i="3"/>
  <c r="AH69" i="3"/>
  <c r="AE68" i="3"/>
  <c r="AF70" i="3"/>
  <c r="AI70" i="3"/>
  <c r="AI69" i="3"/>
  <c r="AF66" i="3"/>
  <c r="AG66" i="3"/>
  <c r="AE64" i="3"/>
  <c r="AJ66" i="3"/>
  <c r="AI66" i="3"/>
  <c r="AF63" i="3"/>
  <c r="AH62" i="3"/>
  <c r="AH60" i="3"/>
  <c r="AE59" i="3"/>
  <c r="AH59" i="3"/>
  <c r="AG31" i="3"/>
  <c r="AE33" i="3"/>
  <c r="AG43" i="3"/>
  <c r="AI44" i="3"/>
  <c r="AE45" i="3"/>
  <c r="AH25" i="3"/>
  <c r="AJ35" i="3"/>
  <c r="AH37" i="3"/>
  <c r="AH24" i="3"/>
  <c r="AG38" i="3"/>
  <c r="AI18" i="3"/>
  <c r="AE21" i="3"/>
  <c r="AI29" i="3"/>
  <c r="AE30" i="3"/>
  <c r="AJ40" i="3"/>
  <c r="AJ27" i="3"/>
  <c r="AH31" i="3"/>
  <c r="AE34" i="3"/>
  <c r="AH46" i="3"/>
  <c r="AZ46" i="3" s="1"/>
  <c r="AH22" i="3"/>
  <c r="AF24" i="3"/>
  <c r="AE26" i="3"/>
  <c r="AI32" i="3"/>
  <c r="AF35" i="3"/>
  <c r="AH11" i="3"/>
  <c r="AE16" i="3"/>
  <c r="AE42" i="3"/>
  <c r="AH45" i="3"/>
  <c r="AH33" i="3"/>
  <c r="AE36" i="3"/>
  <c r="AJ21" i="3"/>
  <c r="AI22" i="3"/>
  <c r="AI33" i="3"/>
  <c r="AJ44" i="3"/>
  <c r="AH4" i="3"/>
  <c r="AE10" i="3"/>
  <c r="AI23" i="3"/>
  <c r="AE46" i="3"/>
  <c r="AI7" i="3"/>
  <c r="AE27" i="3"/>
  <c r="AG27" i="3"/>
  <c r="AE29" i="3"/>
  <c r="AI35" i="3"/>
  <c r="AG37" i="3"/>
  <c r="AE39" i="3"/>
  <c r="AG39" i="3"/>
  <c r="AF40" i="3"/>
  <c r="AE41" i="3"/>
  <c r="AF29" i="3"/>
  <c r="AH34" i="3"/>
  <c r="AF5" i="3"/>
  <c r="AH12" i="3"/>
  <c r="AI14" i="3"/>
  <c r="AH15" i="3"/>
  <c r="AE20" i="3"/>
  <c r="AF21" i="3"/>
  <c r="AH28" i="3"/>
  <c r="AE31" i="3"/>
  <c r="AF32" i="3"/>
  <c r="AJ38" i="3"/>
  <c r="AI42" i="3"/>
  <c r="AH43" i="3"/>
  <c r="AG21" i="3"/>
  <c r="AJ46" i="3"/>
  <c r="AG45" i="3"/>
  <c r="AF45" i="3"/>
  <c r="AI45" i="3"/>
  <c r="BA45" i="3" s="1"/>
  <c r="AJ24" i="3"/>
  <c r="AG4" i="3"/>
  <c r="AI25" i="3"/>
  <c r="AF30" i="3"/>
  <c r="AI37" i="3"/>
  <c r="AJ39" i="3"/>
  <c r="AG41" i="3"/>
  <c r="AF20" i="3"/>
  <c r="AH27" i="3"/>
  <c r="AG30" i="3"/>
  <c r="AJ37" i="3"/>
  <c r="AE25" i="3"/>
  <c r="AH39" i="3"/>
  <c r="AE22" i="3"/>
  <c r="AH30" i="3"/>
  <c r="AH42" i="3"/>
  <c r="AF44" i="3"/>
  <c r="AJ32" i="3"/>
  <c r="AH21" i="3"/>
  <c r="AH35" i="3"/>
  <c r="AF36" i="3"/>
  <c r="AI21" i="3"/>
  <c r="AJ23" i="3"/>
  <c r="AE38" i="3"/>
  <c r="AG25" i="3"/>
  <c r="AF26" i="3"/>
  <c r="AI6" i="3"/>
  <c r="AF11" i="3"/>
  <c r="AE28" i="3"/>
  <c r="AH44" i="3"/>
  <c r="AG44" i="3"/>
  <c r="AJ43" i="3"/>
  <c r="AG42" i="3"/>
  <c r="AJ42" i="3"/>
  <c r="AF42" i="3"/>
  <c r="AI41" i="3"/>
  <c r="AJ41" i="3"/>
  <c r="AF41" i="3"/>
  <c r="AG40" i="3"/>
  <c r="AI38" i="3"/>
  <c r="AF38" i="3"/>
  <c r="AF37" i="3"/>
  <c r="AJ36" i="3"/>
  <c r="AH36" i="3"/>
  <c r="AG36" i="3"/>
  <c r="AE35" i="3"/>
  <c r="AI34" i="3"/>
  <c r="AJ34" i="3"/>
  <c r="AG34" i="3"/>
  <c r="AG33" i="3"/>
  <c r="AF33" i="3"/>
  <c r="AE32" i="3"/>
  <c r="AG32" i="3"/>
  <c r="AJ31" i="3"/>
  <c r="AF31" i="3"/>
  <c r="AI31" i="3"/>
  <c r="AJ30" i="3"/>
  <c r="AH29" i="3"/>
  <c r="AJ29" i="3"/>
  <c r="AI28" i="3"/>
  <c r="AJ28" i="3"/>
  <c r="AG28" i="3"/>
  <c r="AF28" i="3"/>
  <c r="AI27" i="3"/>
  <c r="AI26" i="3"/>
  <c r="AJ26" i="3"/>
  <c r="AG26" i="3"/>
  <c r="AJ25" i="3"/>
  <c r="AF25" i="3"/>
  <c r="AI24" i="3"/>
  <c r="AE23" i="3"/>
  <c r="AH23" i="3"/>
  <c r="AF22" i="3"/>
  <c r="AJ20" i="3"/>
  <c r="AH20" i="3"/>
  <c r="AG20" i="3"/>
  <c r="AE3" i="3"/>
  <c r="AE14" i="3"/>
  <c r="AF18" i="3"/>
  <c r="AE19" i="3"/>
  <c r="AH10" i="3"/>
  <c r="AF14" i="3"/>
  <c r="AE15" i="3"/>
  <c r="AG3" i="3"/>
  <c r="AE6" i="3"/>
  <c r="AH7" i="3"/>
  <c r="AF8" i="3"/>
  <c r="AI5" i="3"/>
  <c r="AI8" i="3"/>
  <c r="AH9" i="3"/>
  <c r="AE4" i="3"/>
  <c r="AE13" i="3"/>
  <c r="AI17" i="3"/>
  <c r="AH18" i="3"/>
  <c r="AF4" i="3"/>
  <c r="AH13" i="3"/>
  <c r="AJ4" i="3"/>
  <c r="AH8" i="3"/>
  <c r="AG8" i="3"/>
  <c r="AJ3" i="3"/>
  <c r="AJ8" i="3"/>
  <c r="AE12" i="3"/>
  <c r="AE8" i="3"/>
  <c r="AF3" i="3"/>
  <c r="AE7" i="3"/>
  <c r="AE5" i="3"/>
  <c r="AF6" i="3"/>
  <c r="AJ17" i="3"/>
  <c r="AG5" i="3"/>
  <c r="AI4" i="3"/>
  <c r="AG9" i="3"/>
  <c r="AE11" i="3"/>
  <c r="AH19" i="3"/>
  <c r="AZ19" i="3" s="1"/>
  <c r="AI19" i="3"/>
  <c r="BA19" i="3" s="1"/>
  <c r="AG19" i="3"/>
  <c r="AF19" i="3"/>
  <c r="AJ18" i="3"/>
  <c r="AG18" i="3"/>
  <c r="AH17" i="3"/>
  <c r="AZ17" i="3" s="1"/>
  <c r="AG17" i="3"/>
  <c r="AE17" i="3"/>
  <c r="AF16" i="3"/>
  <c r="AI16" i="3"/>
  <c r="BA16" i="3" s="1"/>
  <c r="AG16" i="3"/>
  <c r="AI15" i="3"/>
  <c r="AJ15" i="3"/>
  <c r="AF15" i="3"/>
  <c r="AG15" i="3"/>
  <c r="AJ14" i="3"/>
  <c r="AG14" i="3"/>
  <c r="AI13" i="3"/>
  <c r="AJ13" i="3"/>
  <c r="BB13" i="3" s="1"/>
  <c r="AG13" i="3"/>
  <c r="AI12" i="3"/>
  <c r="BA12" i="3" s="1"/>
  <c r="AG12" i="3"/>
  <c r="AF12" i="3"/>
  <c r="AJ12" i="3"/>
  <c r="AI11" i="3"/>
  <c r="AG11" i="3"/>
  <c r="AJ11" i="3"/>
  <c r="AJ10" i="3"/>
  <c r="AF10" i="3"/>
  <c r="AG10" i="3"/>
  <c r="AI10" i="3"/>
  <c r="AJ9" i="3"/>
  <c r="AI9" i="3"/>
  <c r="AF9" i="3"/>
  <c r="AJ7" i="3"/>
  <c r="AF7" i="3"/>
  <c r="AG7" i="3"/>
  <c r="AH6" i="3"/>
  <c r="AG6" i="3"/>
  <c r="AJ6" i="3"/>
  <c r="AH5" i="3"/>
  <c r="AJ5" i="3"/>
  <c r="AE78" i="2"/>
  <c r="AF78" i="2"/>
  <c r="AP68" i="2"/>
  <c r="AP71" i="2"/>
  <c r="AP73" i="2"/>
  <c r="AM97" i="2"/>
  <c r="AM103" i="2"/>
  <c r="AK78" i="2"/>
  <c r="AD78" i="2"/>
  <c r="AP70" i="2"/>
  <c r="AP74" i="2"/>
  <c r="AM77" i="2"/>
  <c r="AP98" i="2"/>
  <c r="AM69" i="2"/>
  <c r="AP102" i="2"/>
  <c r="AP75" i="2"/>
  <c r="AM102" i="2"/>
  <c r="AP69" i="2"/>
  <c r="AM75" i="2"/>
  <c r="AA78" i="2"/>
  <c r="AM72" i="2"/>
  <c r="AJ78" i="2"/>
  <c r="AM76" i="2"/>
  <c r="AP86" i="2"/>
  <c r="Z78" i="2"/>
  <c r="AM71" i="2"/>
  <c r="AM73" i="2"/>
  <c r="AP77" i="2"/>
  <c r="AP97" i="2"/>
  <c r="AM83" i="2"/>
  <c r="W78" i="2"/>
  <c r="AP96" i="2"/>
  <c r="AP76" i="2"/>
  <c r="AM96" i="2"/>
  <c r="AM68" i="2"/>
  <c r="AM70" i="2"/>
  <c r="AM74" i="2"/>
  <c r="AM98" i="2"/>
  <c r="AP103" i="2"/>
  <c r="X78" i="2"/>
  <c r="AP72" i="2"/>
  <c r="Y78" i="2"/>
  <c r="AB78" i="2"/>
  <c r="AP83" i="2"/>
  <c r="AM86" i="2"/>
  <c r="AC78" i="2"/>
  <c r="AI78" i="2"/>
  <c r="AH78" i="2"/>
  <c r="V78" i="2"/>
  <c r="AG78" i="2"/>
  <c r="U78" i="2"/>
  <c r="AL24" i="2"/>
  <c r="AO24" i="2"/>
  <c r="AS100" i="2"/>
  <c r="AM24" i="2"/>
  <c r="AN24" i="2"/>
  <c r="AP24" i="2"/>
  <c r="AQ24" i="2"/>
  <c r="AS99" i="2"/>
  <c r="AR78" i="2"/>
  <c r="AS103" i="2"/>
  <c r="AS97" i="2"/>
  <c r="AS101" i="2"/>
  <c r="AS102" i="2"/>
  <c r="AS98" i="2"/>
  <c r="AS96" i="2"/>
  <c r="AS90" i="2"/>
  <c r="AS94" i="2"/>
  <c r="AS92" i="2"/>
  <c r="AS89" i="2"/>
  <c r="AS93" i="2"/>
  <c r="AS91" i="2"/>
  <c r="AS95" i="2"/>
  <c r="AS80" i="2"/>
  <c r="AS74" i="2"/>
  <c r="AS86" i="2"/>
  <c r="AS76" i="2"/>
  <c r="AS83" i="2"/>
  <c r="AS77" i="2"/>
  <c r="AS87" i="2"/>
  <c r="AS84" i="2"/>
  <c r="AS75" i="2"/>
  <c r="AS85" i="2"/>
  <c r="AS88" i="2"/>
  <c r="AS82" i="2"/>
  <c r="AS79" i="2"/>
  <c r="AS81" i="2"/>
  <c r="AS72" i="2"/>
  <c r="AS71" i="2"/>
  <c r="AS73" i="2"/>
  <c r="AS69" i="2"/>
  <c r="AS70" i="2"/>
  <c r="AM65" i="2"/>
  <c r="AP65" i="2"/>
  <c r="AP66" i="2"/>
  <c r="AM62" i="2"/>
  <c r="AP63" i="2"/>
  <c r="AS68" i="2"/>
  <c r="F790" i="2"/>
  <c r="X13" i="3" s="1"/>
  <c r="X198" i="3" s="1"/>
  <c r="AS66" i="2"/>
  <c r="AP67" i="2"/>
  <c r="AS64" i="2"/>
  <c r="AM67" i="2"/>
  <c r="AS67" i="2"/>
  <c r="AM63" i="2"/>
  <c r="AP64" i="2"/>
  <c r="AM66" i="2"/>
  <c r="AM61" i="2"/>
  <c r="G790" i="2"/>
  <c r="Y13" i="3" s="1"/>
  <c r="Y198" i="3" s="1"/>
  <c r="AS65" i="2"/>
  <c r="AP60" i="2"/>
  <c r="AS60" i="2"/>
  <c r="AS61" i="2"/>
  <c r="AP62" i="2"/>
  <c r="AP61" i="2"/>
  <c r="AS63" i="2"/>
  <c r="AS58" i="2"/>
  <c r="AS62" i="2"/>
  <c r="AM64" i="2"/>
  <c r="AA59" i="2"/>
  <c r="Z59" i="2"/>
  <c r="AM60" i="2"/>
  <c r="AP57" i="2"/>
  <c r="X59" i="2"/>
  <c r="AP58" i="2"/>
  <c r="T59" i="2"/>
  <c r="V59" i="2"/>
  <c r="AS59" i="2"/>
  <c r="U59" i="2"/>
  <c r="W59" i="2"/>
  <c r="AN5" i="2"/>
  <c r="AM59" i="2" s="1"/>
  <c r="AH59" i="2"/>
  <c r="AM58" i="2"/>
  <c r="AO5" i="2"/>
  <c r="AP59" i="2" s="1"/>
  <c r="AG59" i="2"/>
  <c r="AM5" i="2"/>
  <c r="AR59" i="2"/>
  <c r="Y59" i="2"/>
  <c r="F80" i="6"/>
  <c r="E80" i="6"/>
  <c r="D80" i="6"/>
  <c r="H66" i="6"/>
  <c r="G66" i="6"/>
  <c r="F66" i="6"/>
  <c r="E66" i="6"/>
  <c r="D66" i="6"/>
  <c r="H52" i="6"/>
  <c r="G52" i="6"/>
  <c r="F52" i="6"/>
  <c r="E52" i="6"/>
  <c r="D52" i="6"/>
  <c r="H38" i="6"/>
  <c r="G38" i="6"/>
  <c r="F38" i="6"/>
  <c r="E38" i="6"/>
  <c r="D38" i="6"/>
  <c r="H24" i="6"/>
  <c r="G24" i="6"/>
  <c r="F24" i="6"/>
  <c r="E24" i="6"/>
  <c r="D24" i="6"/>
  <c r="H8" i="6"/>
  <c r="G8" i="6"/>
  <c r="F8" i="6"/>
  <c r="E8" i="6"/>
  <c r="D8" i="6"/>
  <c r="G757" i="2"/>
  <c r="F757" i="2"/>
  <c r="E757" i="2"/>
  <c r="D757" i="2"/>
  <c r="C757" i="2"/>
  <c r="G740" i="2"/>
  <c r="Y11" i="3" s="1"/>
  <c r="Y196" i="3" s="1"/>
  <c r="F740" i="2"/>
  <c r="X11" i="3" s="1"/>
  <c r="X196" i="3" s="1"/>
  <c r="E740" i="2"/>
  <c r="W11" i="3" s="1"/>
  <c r="W196" i="3" s="1"/>
  <c r="D740" i="2"/>
  <c r="V11" i="3" s="1"/>
  <c r="V196" i="3" s="1"/>
  <c r="C740" i="2"/>
  <c r="U11" i="3" s="1"/>
  <c r="U196" i="3" s="1"/>
  <c r="G723" i="2"/>
  <c r="Y10" i="3" s="1"/>
  <c r="Y195" i="3" s="1"/>
  <c r="F723" i="2"/>
  <c r="X10" i="3" s="1"/>
  <c r="X195" i="3" s="1"/>
  <c r="E723" i="2"/>
  <c r="W10" i="3" s="1"/>
  <c r="W195" i="3" s="1"/>
  <c r="D723" i="2"/>
  <c r="V10" i="3" s="1"/>
  <c r="V195" i="3" s="1"/>
  <c r="C723" i="2"/>
  <c r="U10" i="3" s="1"/>
  <c r="U195" i="3" s="1"/>
  <c r="G709" i="2"/>
  <c r="F709" i="2"/>
  <c r="E709" i="2"/>
  <c r="D709" i="2"/>
  <c r="C709" i="2"/>
  <c r="G693" i="2"/>
  <c r="Y9" i="3" s="1"/>
  <c r="Y194" i="3" s="1"/>
  <c r="F693" i="2"/>
  <c r="X9" i="3" s="1"/>
  <c r="X194" i="3" s="1"/>
  <c r="E693" i="2"/>
  <c r="W9" i="3" s="1"/>
  <c r="W194" i="3" s="1"/>
  <c r="D693" i="2"/>
  <c r="V9" i="3" s="1"/>
  <c r="V194" i="3" s="1"/>
  <c r="C693" i="2"/>
  <c r="U9" i="3" s="1"/>
  <c r="U194" i="3" s="1"/>
  <c r="G678" i="2"/>
  <c r="F678" i="2"/>
  <c r="E678" i="2"/>
  <c r="D678" i="2"/>
  <c r="C678" i="2"/>
  <c r="G662" i="2"/>
  <c r="F662" i="2"/>
  <c r="E662" i="2"/>
  <c r="D662" i="2"/>
  <c r="C662" i="2"/>
  <c r="G645" i="2"/>
  <c r="Y8" i="3" s="1"/>
  <c r="Y193" i="3" s="1"/>
  <c r="F645" i="2"/>
  <c r="X8" i="3" s="1"/>
  <c r="X193" i="3" s="1"/>
  <c r="E645" i="2"/>
  <c r="W8" i="3" s="1"/>
  <c r="W193" i="3" s="1"/>
  <c r="D645" i="2"/>
  <c r="V8" i="3" s="1"/>
  <c r="V193" i="3" s="1"/>
  <c r="C645" i="2"/>
  <c r="U8" i="3" s="1"/>
  <c r="U193" i="3" s="1"/>
  <c r="G629" i="2"/>
  <c r="Y7" i="3" s="1"/>
  <c r="Y192" i="3" s="1"/>
  <c r="F629" i="2"/>
  <c r="X7" i="3" s="1"/>
  <c r="X192" i="3" s="1"/>
  <c r="E629" i="2"/>
  <c r="W7" i="3" s="1"/>
  <c r="W192" i="3" s="1"/>
  <c r="D629" i="2"/>
  <c r="V7" i="3" s="1"/>
  <c r="V192" i="3" s="1"/>
  <c r="C629" i="2"/>
  <c r="U7" i="3" s="1"/>
  <c r="U192" i="3" s="1"/>
  <c r="G614" i="2"/>
  <c r="Y6" i="3" s="1"/>
  <c r="Y191" i="3" s="1"/>
  <c r="F614" i="2"/>
  <c r="X6" i="3" s="1"/>
  <c r="X191" i="3" s="1"/>
  <c r="E614" i="2"/>
  <c r="W6" i="3" s="1"/>
  <c r="W191" i="3" s="1"/>
  <c r="D614" i="2"/>
  <c r="V6" i="3" s="1"/>
  <c r="V191" i="3" s="1"/>
  <c r="C614" i="2"/>
  <c r="U6" i="3" s="1"/>
  <c r="U191" i="3" s="1"/>
  <c r="G598" i="2"/>
  <c r="Y5" i="3" s="1"/>
  <c r="Y190" i="3" s="1"/>
  <c r="F598" i="2"/>
  <c r="X5" i="3" s="1"/>
  <c r="X190" i="3" s="1"/>
  <c r="E598" i="2"/>
  <c r="W5" i="3" s="1"/>
  <c r="W190" i="3" s="1"/>
  <c r="D598" i="2"/>
  <c r="V5" i="3" s="1"/>
  <c r="V190" i="3" s="1"/>
  <c r="C598" i="2"/>
  <c r="U5" i="3" s="1"/>
  <c r="U190" i="3" s="1"/>
  <c r="D585" i="2"/>
  <c r="V4" i="3" s="1"/>
  <c r="V189" i="3" s="1"/>
  <c r="E585" i="2"/>
  <c r="W4" i="3" s="1"/>
  <c r="W189" i="3" s="1"/>
  <c r="F585" i="2"/>
  <c r="X4" i="3" s="1"/>
  <c r="X189" i="3" s="1"/>
  <c r="G585" i="2"/>
  <c r="Y4" i="3" s="1"/>
  <c r="Y189" i="3" s="1"/>
  <c r="I585" i="2"/>
  <c r="L585" i="2"/>
  <c r="M585" i="2"/>
  <c r="N585" i="2"/>
  <c r="C585" i="2"/>
  <c r="U4" i="3" s="1"/>
  <c r="U189" i="3" s="1"/>
  <c r="G573" i="2"/>
  <c r="Y3" i="3" s="1"/>
  <c r="Y188" i="3" s="1"/>
  <c r="F573" i="2"/>
  <c r="X3" i="3" s="1"/>
  <c r="X188" i="3" s="1"/>
  <c r="E573" i="2"/>
  <c r="W3" i="3" s="1"/>
  <c r="W188" i="3" s="1"/>
  <c r="D573" i="2"/>
  <c r="V3" i="3" s="1"/>
  <c r="V188" i="3" s="1"/>
  <c r="C573" i="2"/>
  <c r="U3" i="3" s="1"/>
  <c r="AL277" i="3" l="1"/>
  <c r="AZ72" i="3"/>
  <c r="BA69" i="3"/>
  <c r="BA81" i="3"/>
  <c r="AZ26" i="3"/>
  <c r="AZ34" i="3"/>
  <c r="AZ61" i="3"/>
  <c r="BA68" i="3"/>
  <c r="AZ88" i="3"/>
  <c r="BA88" i="3"/>
  <c r="AZ92" i="3"/>
  <c r="BB14" i="3"/>
  <c r="AZ69" i="3"/>
  <c r="BA15" i="3"/>
  <c r="BA26" i="3"/>
  <c r="AZ45" i="3"/>
  <c r="BA72" i="3"/>
  <c r="AZ43" i="3"/>
  <c r="BA60" i="3"/>
  <c r="AZ93" i="3"/>
  <c r="BA89" i="3"/>
  <c r="AZ71" i="3"/>
  <c r="AZ81" i="3"/>
  <c r="BB15" i="3"/>
  <c r="BA75" i="3"/>
  <c r="AZ63" i="3"/>
  <c r="BB22" i="3"/>
  <c r="AZ68" i="3"/>
  <c r="AZ20" i="3"/>
  <c r="BB29" i="3"/>
  <c r="AZ25" i="3"/>
  <c r="AZ73" i="3"/>
  <c r="AZ89" i="3"/>
  <c r="BB20" i="3"/>
  <c r="AZ114" i="3"/>
  <c r="BB19" i="3"/>
  <c r="BA71" i="3"/>
  <c r="BA63" i="3"/>
  <c r="BB89" i="3"/>
  <c r="BA114" i="3"/>
  <c r="BB81" i="3"/>
  <c r="BB70" i="3"/>
  <c r="BB73" i="3"/>
  <c r="BB92" i="3"/>
  <c r="BB63" i="3"/>
  <c r="BB114" i="3"/>
  <c r="BB68" i="3"/>
  <c r="BB71" i="3"/>
  <c r="BA73" i="3"/>
  <c r="BB88" i="3"/>
  <c r="BB69" i="3"/>
  <c r="BA61" i="3"/>
  <c r="AF214" i="3"/>
  <c r="BB72" i="3"/>
  <c r="BB61" i="3"/>
  <c r="AZ14" i="3"/>
  <c r="AZ36" i="3"/>
  <c r="BB32" i="3"/>
  <c r="AZ75" i="3"/>
  <c r="AZ24" i="3"/>
  <c r="BB28" i="3"/>
  <c r="AZ37" i="3"/>
  <c r="AZ33" i="3"/>
  <c r="BA79" i="3"/>
  <c r="BB113" i="3"/>
  <c r="BB41" i="3"/>
  <c r="BB24" i="3"/>
  <c r="BA22" i="3"/>
  <c r="AZ32" i="3"/>
  <c r="AZ15" i="3"/>
  <c r="BB26" i="3"/>
  <c r="BA56" i="3"/>
  <c r="AZ21" i="3"/>
  <c r="BA57" i="3"/>
  <c r="AZ30" i="3"/>
  <c r="BA67" i="3"/>
  <c r="AZ22" i="3"/>
  <c r="AZ44" i="3"/>
  <c r="BA33" i="3"/>
  <c r="AZ56" i="3"/>
  <c r="BB82" i="3"/>
  <c r="BB65" i="3"/>
  <c r="BA101" i="3"/>
  <c r="BB25" i="3"/>
  <c r="AZ64" i="3"/>
  <c r="BB33" i="3"/>
  <c r="BA58" i="3"/>
  <c r="AZ106" i="3"/>
  <c r="AZ67" i="3"/>
  <c r="BA25" i="3"/>
  <c r="BA41" i="3"/>
  <c r="AZ108" i="3"/>
  <c r="BB37" i="3"/>
  <c r="BB42" i="3"/>
  <c r="BA65" i="3"/>
  <c r="AZ35" i="3"/>
  <c r="BB107" i="3"/>
  <c r="AZ107" i="3"/>
  <c r="AZ60" i="3"/>
  <c r="AZ41" i="3"/>
  <c r="AZ70" i="3"/>
  <c r="BA20" i="3"/>
  <c r="BA17" i="3"/>
  <c r="BA44" i="3"/>
  <c r="AZ42" i="3"/>
  <c r="AZ102" i="3"/>
  <c r="BB76" i="3"/>
  <c r="AF205" i="3"/>
  <c r="BB39" i="3"/>
  <c r="BA42" i="3"/>
  <c r="BA14" i="3"/>
  <c r="BA111" i="3"/>
  <c r="AZ40" i="3"/>
  <c r="BA24" i="3"/>
  <c r="BA21" i="3"/>
  <c r="BB112" i="3"/>
  <c r="BA23" i="3"/>
  <c r="BB62" i="3"/>
  <c r="BB18" i="3"/>
  <c r="AZ39" i="3"/>
  <c r="AZ12" i="3"/>
  <c r="BA77" i="3"/>
  <c r="BA10" i="3"/>
  <c r="BB11" i="3"/>
  <c r="BA27" i="3"/>
  <c r="BA31" i="3"/>
  <c r="BB43" i="3"/>
  <c r="BA7" i="3"/>
  <c r="BB21" i="3"/>
  <c r="BB35" i="3"/>
  <c r="AZ91" i="3"/>
  <c r="AZ66" i="3"/>
  <c r="AZ100" i="3"/>
  <c r="BB91" i="3"/>
  <c r="AZ59" i="3"/>
  <c r="BA40" i="3"/>
  <c r="BA13" i="3"/>
  <c r="BA39" i="3"/>
  <c r="AZ111" i="3"/>
  <c r="AZ3" i="3"/>
  <c r="AZ5" i="3"/>
  <c r="BA9" i="3"/>
  <c r="BA11" i="3"/>
  <c r="AZ8" i="3"/>
  <c r="AZ9" i="3"/>
  <c r="AZ7" i="3"/>
  <c r="AZ11" i="3"/>
  <c r="BB7" i="3"/>
  <c r="BB3" i="3"/>
  <c r="BB6" i="3"/>
  <c r="BB9" i="3"/>
  <c r="BB10" i="3"/>
  <c r="BB4" i="3"/>
  <c r="BA8" i="3"/>
  <c r="AZ10" i="3"/>
  <c r="AZ23" i="3"/>
  <c r="BA66" i="3"/>
  <c r="AZ13" i="3"/>
  <c r="BA37" i="3"/>
  <c r="BB27" i="3"/>
  <c r="BB5" i="3"/>
  <c r="BB36" i="3"/>
  <c r="AZ78" i="3"/>
  <c r="BA36" i="3"/>
  <c r="BB101" i="3"/>
  <c r="BA64" i="3"/>
  <c r="BA82" i="3"/>
  <c r="BB40" i="3"/>
  <c r="BA112" i="3"/>
  <c r="BA108" i="3"/>
  <c r="BB59" i="3"/>
  <c r="BB90" i="3"/>
  <c r="BB55" i="3"/>
  <c r="AZ54" i="3"/>
  <c r="AZ29" i="3"/>
  <c r="BA35" i="3"/>
  <c r="BA4" i="3"/>
  <c r="AZ18" i="3"/>
  <c r="BA78" i="3"/>
  <c r="BB60" i="3"/>
  <c r="AZ90" i="3"/>
  <c r="AZ55" i="3"/>
  <c r="BB8" i="3"/>
  <c r="BA62" i="3"/>
  <c r="BA90" i="3"/>
  <c r="AZ6" i="3"/>
  <c r="BB66" i="3"/>
  <c r="AZ31" i="3"/>
  <c r="AZ76" i="3"/>
  <c r="BA91" i="3"/>
  <c r="AZ74" i="3"/>
  <c r="BA94" i="3"/>
  <c r="BA277" i="3" s="1"/>
  <c r="BB75" i="3"/>
  <c r="BB83" i="3"/>
  <c r="BB106" i="3"/>
  <c r="BA102" i="3"/>
  <c r="BA59" i="3"/>
  <c r="BB95" i="3"/>
  <c r="BB30" i="3"/>
  <c r="BA18" i="3"/>
  <c r="AZ105" i="3"/>
  <c r="BA54" i="3"/>
  <c r="AZ58" i="3"/>
  <c r="BB102" i="3"/>
  <c r="AZ62" i="3"/>
  <c r="BA76" i="3"/>
  <c r="BB100" i="3"/>
  <c r="BA55" i="3"/>
  <c r="BB34" i="3"/>
  <c r="AZ4" i="3"/>
  <c r="BA95" i="3"/>
  <c r="AZ83" i="3"/>
  <c r="BB58" i="3"/>
  <c r="BB12" i="3"/>
  <c r="BB111" i="3"/>
  <c r="AZ94" i="3"/>
  <c r="AZ277" i="3" s="1"/>
  <c r="BB57" i="3"/>
  <c r="AZ112" i="3"/>
  <c r="BA5" i="3"/>
  <c r="BB74" i="3"/>
  <c r="BA6" i="3"/>
  <c r="BA32" i="3"/>
  <c r="BB56" i="3"/>
  <c r="AZ27" i="3"/>
  <c r="BB17" i="3"/>
  <c r="BB77" i="3"/>
  <c r="BB94" i="3"/>
  <c r="BB277" i="3" s="1"/>
  <c r="BB44" i="3"/>
  <c r="AZ28" i="3"/>
  <c r="BB78" i="3"/>
  <c r="BA106" i="3"/>
  <c r="BA34" i="3"/>
  <c r="AI231" i="3"/>
  <c r="BA107" i="3"/>
  <c r="BB79" i="3"/>
  <c r="BA93" i="3"/>
  <c r="BA80" i="3"/>
  <c r="BB80" i="3"/>
  <c r="AZ57" i="3"/>
  <c r="BB23" i="3"/>
  <c r="BA43" i="3"/>
  <c r="BB31" i="3"/>
  <c r="BB38" i="3"/>
  <c r="BA29" i="3"/>
  <c r="AZ95" i="3"/>
  <c r="AZ38" i="3"/>
  <c r="AZ79" i="3"/>
  <c r="BB108" i="3"/>
  <c r="BB54" i="3"/>
  <c r="BB64" i="3"/>
  <c r="BA105" i="3"/>
  <c r="BA70" i="3"/>
  <c r="AI195" i="3"/>
  <c r="AI198" i="3"/>
  <c r="AZ80" i="3"/>
  <c r="BA28" i="3"/>
  <c r="AZ113" i="3"/>
  <c r="BA100" i="3"/>
  <c r="BA113" i="3"/>
  <c r="BA30" i="3"/>
  <c r="BA83" i="3"/>
  <c r="BA38" i="3"/>
  <c r="AL210" i="3"/>
  <c r="AZ65" i="3"/>
  <c r="AL213" i="3"/>
  <c r="AL215" i="3"/>
  <c r="BB105" i="3"/>
  <c r="AL228" i="3"/>
  <c r="AZ101" i="3"/>
  <c r="AL193" i="3"/>
  <c r="AZ82" i="3"/>
  <c r="BB67" i="3"/>
  <c r="AZ77" i="3"/>
  <c r="BB93" i="3"/>
  <c r="BB46" i="3"/>
  <c r="AI216" i="3"/>
  <c r="AI218" i="3"/>
  <c r="AL192" i="3"/>
  <c r="AI211" i="3"/>
  <c r="AL211" i="3"/>
  <c r="AL216" i="3"/>
  <c r="AL205" i="3"/>
  <c r="AL220" i="3"/>
  <c r="AF222" i="3"/>
  <c r="AL217" i="3"/>
  <c r="AL221" i="3"/>
  <c r="AL204" i="3"/>
  <c r="AL196" i="3"/>
  <c r="AL214" i="3"/>
  <c r="AL218" i="3"/>
  <c r="AL189" i="3"/>
  <c r="AL195" i="3"/>
  <c r="AL224" i="3"/>
  <c r="AL223" i="3"/>
  <c r="AL209" i="3"/>
  <c r="AF194" i="3"/>
  <c r="AF213" i="3"/>
  <c r="AL208" i="3"/>
  <c r="AF203" i="3"/>
  <c r="AF228" i="3"/>
  <c r="AL194" i="3"/>
  <c r="AL231" i="3"/>
  <c r="AL190" i="3"/>
  <c r="AL206" i="3"/>
  <c r="AL219" i="3"/>
  <c r="AF218" i="3"/>
  <c r="AL229" i="3"/>
  <c r="AL207" i="3"/>
  <c r="AL198" i="3"/>
  <c r="AF219" i="3"/>
  <c r="AI200" i="3"/>
  <c r="AI222" i="3"/>
  <c r="AL226" i="3"/>
  <c r="AL197" i="3"/>
  <c r="AI192" i="3"/>
  <c r="AF221" i="3"/>
  <c r="AL202" i="3"/>
  <c r="AF191" i="3"/>
  <c r="AF200" i="3"/>
  <c r="AI219" i="3"/>
  <c r="AF227" i="3"/>
  <c r="AF230" i="3"/>
  <c r="AF208" i="3"/>
  <c r="AL201" i="3"/>
  <c r="AF229" i="3"/>
  <c r="AL191" i="3"/>
  <c r="AI194" i="3"/>
  <c r="AI202" i="3"/>
  <c r="AF217" i="3"/>
  <c r="AL222" i="3"/>
  <c r="AI199" i="3"/>
  <c r="AI223" i="3"/>
  <c r="AI213" i="3"/>
  <c r="AL212" i="3"/>
  <c r="AI214" i="3"/>
  <c r="AF224" i="3"/>
  <c r="AL227" i="3"/>
  <c r="AL200" i="3"/>
  <c r="AI228" i="3"/>
  <c r="AI206" i="3"/>
  <c r="AF201" i="3"/>
  <c r="AF190" i="3"/>
  <c r="AI189" i="3"/>
  <c r="AI217" i="3"/>
  <c r="AF212" i="3"/>
  <c r="AF188" i="3"/>
  <c r="AI215" i="3"/>
  <c r="AF206" i="3"/>
  <c r="AI190" i="3"/>
  <c r="AI191" i="3"/>
  <c r="AI203" i="3"/>
  <c r="AF189" i="3"/>
  <c r="AL230" i="3"/>
  <c r="AI226" i="3"/>
  <c r="AF210" i="3"/>
  <c r="AF216" i="3"/>
  <c r="AI207" i="3"/>
  <c r="AF198" i="3"/>
  <c r="AI224" i="3"/>
  <c r="AF202" i="3"/>
  <c r="AF199" i="3"/>
  <c r="AF225" i="3"/>
  <c r="AI225" i="3"/>
  <c r="AF207" i="3"/>
  <c r="AF196" i="3"/>
  <c r="AF204" i="3"/>
  <c r="AI209" i="3"/>
  <c r="AF192" i="3"/>
  <c r="AI229" i="3"/>
  <c r="AI208" i="3"/>
  <c r="AI197" i="3"/>
  <c r="AI193" i="3"/>
  <c r="AI227" i="3"/>
  <c r="AF215" i="3"/>
  <c r="AF223" i="3"/>
  <c r="AI201" i="3"/>
  <c r="AF209" i="3"/>
  <c r="AF193" i="3"/>
  <c r="AI210" i="3"/>
  <c r="AF197" i="3"/>
  <c r="AI205" i="3"/>
  <c r="AF211" i="3"/>
  <c r="AI221" i="3"/>
  <c r="AF226" i="3"/>
  <c r="AI220" i="3"/>
  <c r="AI230" i="3"/>
  <c r="AL199" i="3"/>
  <c r="AI196" i="3"/>
  <c r="AI204" i="3"/>
  <c r="AF195" i="3"/>
  <c r="AI212" i="3"/>
  <c r="AF231" i="3"/>
  <c r="AL225" i="3"/>
  <c r="AL203" i="3"/>
  <c r="AF220" i="3"/>
  <c r="AM78" i="2"/>
  <c r="AP78" i="2"/>
  <c r="AS78" i="2"/>
</calcChain>
</file>

<file path=xl/sharedStrings.xml><?xml version="1.0" encoding="utf-8"?>
<sst xmlns="http://schemas.openxmlformats.org/spreadsheetml/2006/main" count="9068" uniqueCount="1198">
  <si>
    <t>INTEROIL EXPLORATION AND PRODUCTION ASA</t>
  </si>
  <si>
    <t>Total assets</t>
  </si>
  <si>
    <t>Non-current liabilities</t>
  </si>
  <si>
    <t>Current liabilities</t>
  </si>
  <si>
    <t>n.s.</t>
  </si>
  <si>
    <t>Revenues</t>
  </si>
  <si>
    <t>Net Income</t>
  </si>
  <si>
    <t>Total Asset</t>
  </si>
  <si>
    <t>Total Debt</t>
  </si>
  <si>
    <t>ROA</t>
  </si>
  <si>
    <t>ROE</t>
  </si>
  <si>
    <t>Operating revenue (Turnover)</t>
  </si>
  <si>
    <t>Net Income/Starting Line</t>
  </si>
  <si>
    <t>ROE using Net income (%)</t>
  </si>
  <si>
    <t>ROA using Net income (%)</t>
  </si>
  <si>
    <t>Operating revenue per employee (th)</t>
  </si>
  <si>
    <t>t-1</t>
  </si>
  <si>
    <t>t+1</t>
  </si>
  <si>
    <t>t+2</t>
  </si>
  <si>
    <t>t+3</t>
  </si>
  <si>
    <t>T 2014</t>
  </si>
  <si>
    <t>t-1 2013</t>
  </si>
  <si>
    <t>n.a.</t>
  </si>
  <si>
    <t>shareholder fund</t>
  </si>
  <si>
    <t>REC SOLAR ASA 11.2014</t>
  </si>
  <si>
    <t>T (2014)</t>
  </si>
  <si>
    <t>t+1 2015</t>
  </si>
  <si>
    <t>NORWEGIAN PROPERTY ASA 11.2014</t>
  </si>
  <si>
    <t xml:space="preserve"> </t>
  </si>
  <si>
    <t>VIZRT 11.2014</t>
  </si>
  <si>
    <t>GOLDEN OCEAN GROUP 10.2014</t>
  </si>
  <si>
    <t>CERMAQ ASA 09.2014</t>
  </si>
  <si>
    <t>Eltek 12.2014</t>
  </si>
  <si>
    <t>t+2 2016</t>
  </si>
  <si>
    <t>MANGLER 2015?</t>
  </si>
  <si>
    <t>NORATEL 06.2014</t>
  </si>
  <si>
    <t>MANGLER 2014 T</t>
  </si>
  <si>
    <t>EMS SEVEN SEAS  05.2014</t>
  </si>
  <si>
    <t>Espira Gruppen AS 04.2014</t>
  </si>
  <si>
    <t>mangler 2014 T</t>
  </si>
  <si>
    <t>Infratek ASA 06.2013</t>
  </si>
  <si>
    <t>T 2013</t>
  </si>
  <si>
    <t>t-1 2012</t>
  </si>
  <si>
    <t>t+1 2014</t>
  </si>
  <si>
    <t>SinOceanic Shipping ASA 02.2012</t>
  </si>
  <si>
    <t>t+1 2013</t>
  </si>
  <si>
    <t>T 2012</t>
  </si>
  <si>
    <t>t-1 2011</t>
  </si>
  <si>
    <t>IGNIS asa 03.2011</t>
  </si>
  <si>
    <t>byttet navn til smartopics</t>
  </si>
  <si>
    <t>Denne er ikke riktig går fra 2020--&gt; 2010</t>
  </si>
  <si>
    <t>Repant ASA 10.2010</t>
  </si>
  <si>
    <t>Siem Offshore Inc 09.2015</t>
  </si>
  <si>
    <t>T 2015</t>
  </si>
  <si>
    <t>t-1 2014</t>
  </si>
  <si>
    <t>t+1 2016</t>
  </si>
  <si>
    <t>Aurora LPG Holding ASA 09.2016</t>
  </si>
  <si>
    <t>T 2016</t>
  </si>
  <si>
    <t>t-1 2015</t>
  </si>
  <si>
    <t>t+1 2017</t>
  </si>
  <si>
    <t>weifa 08.2017</t>
  </si>
  <si>
    <t>T 2017</t>
  </si>
  <si>
    <t>t-1 2016</t>
  </si>
  <si>
    <t>t+1 2018</t>
  </si>
  <si>
    <t>SeaDrill Ltd 09.2017</t>
  </si>
  <si>
    <t>EVRY ASA 06.2019</t>
  </si>
  <si>
    <t>fusjonerte med TIETO</t>
  </si>
  <si>
    <t>finner ikke tall, se på TIETO?</t>
  </si>
  <si>
    <t>Data Respons ASA 12.2019</t>
  </si>
  <si>
    <t>t 2019</t>
  </si>
  <si>
    <t>t-1 2018</t>
  </si>
  <si>
    <t>t+1 2020</t>
  </si>
  <si>
    <t>Company Name</t>
  </si>
  <si>
    <t>Interoil Exploration and Production ASA</t>
  </si>
  <si>
    <t>Revenues (t)</t>
  </si>
  <si>
    <t>Revenues (t-1)</t>
  </si>
  <si>
    <t>Revenues (t+1)</t>
  </si>
  <si>
    <t>Revenues (t+2)</t>
  </si>
  <si>
    <t>Revenues (t+3)</t>
  </si>
  <si>
    <t>Net Income (t-1)</t>
  </si>
  <si>
    <t>Net Income (t)</t>
  </si>
  <si>
    <t>Net Income (t+1)</t>
  </si>
  <si>
    <t>Net Income (t+2)</t>
  </si>
  <si>
    <t>Net Income (t+3)</t>
  </si>
  <si>
    <t>Debt</t>
  </si>
  <si>
    <t>Debt (t-1)</t>
  </si>
  <si>
    <t>Debt (t)</t>
  </si>
  <si>
    <t>Debt (t+1)</t>
  </si>
  <si>
    <t>Debt (t+2)</t>
  </si>
  <si>
    <t>Debt (t+3)</t>
  </si>
  <si>
    <t>Assets</t>
  </si>
  <si>
    <t>Assets (t-1)</t>
  </si>
  <si>
    <t>Assets (t)</t>
  </si>
  <si>
    <t>Assets (t+1)</t>
  </si>
  <si>
    <t>Assets (t+2)</t>
  </si>
  <si>
    <t>Assets (t+3)</t>
  </si>
  <si>
    <t>ROA (t-1)</t>
  </si>
  <si>
    <t>ROA (t)</t>
  </si>
  <si>
    <t>ROA (t+1)</t>
  </si>
  <si>
    <t>ROE (t-1)</t>
  </si>
  <si>
    <t>ROE (t)</t>
  </si>
  <si>
    <t>ROE (t+1)</t>
  </si>
  <si>
    <t>Shareholder Equity (t-1)</t>
  </si>
  <si>
    <t>Shareholder Equity (t)</t>
  </si>
  <si>
    <t>Shareholder Equity (t+1)</t>
  </si>
  <si>
    <t>Equity</t>
  </si>
  <si>
    <t>Shareholder Equity (t+2)</t>
  </si>
  <si>
    <t>Shareholder Equity (t+3)</t>
  </si>
  <si>
    <t>Size</t>
  </si>
  <si>
    <t>Leverage</t>
  </si>
  <si>
    <t>Profit Margin</t>
  </si>
  <si>
    <t>Asset Turnover</t>
  </si>
  <si>
    <t>Delta Leverage</t>
  </si>
  <si>
    <t>Change (Delta) ROA</t>
  </si>
  <si>
    <t>Change (Delta) ROE</t>
  </si>
  <si>
    <t>Change (Delta) Size</t>
  </si>
  <si>
    <t>Change Leverage</t>
  </si>
  <si>
    <t>Size (t+3)</t>
  </si>
  <si>
    <t>Size (t+2)</t>
  </si>
  <si>
    <t>Size (t+1)</t>
  </si>
  <si>
    <t>Size (t)</t>
  </si>
  <si>
    <t>Size (t-1)</t>
  </si>
  <si>
    <t>Profit Margin (t+3)</t>
  </si>
  <si>
    <t>Profit Margin (t+2)</t>
  </si>
  <si>
    <t>Profit Margin (t+1)</t>
  </si>
  <si>
    <t>Profit Margin (t)</t>
  </si>
  <si>
    <t>Profit Margin (t-1)</t>
  </si>
  <si>
    <t>Leverage (t+3)</t>
  </si>
  <si>
    <t>Leverage (t+2)</t>
  </si>
  <si>
    <t>Leverage (t+1)</t>
  </si>
  <si>
    <t>Leverage (t)</t>
  </si>
  <si>
    <t>Leverage (t-1)</t>
  </si>
  <si>
    <t>Asset Turnover (t+3)</t>
  </si>
  <si>
    <t>Asset Turnover (t+2)</t>
  </si>
  <si>
    <t>Asset Turnover (t+1)</t>
  </si>
  <si>
    <t>Asset Turnover (t)</t>
  </si>
  <si>
    <t>Asset Turnover (t-1)</t>
  </si>
  <si>
    <t>Eltek</t>
  </si>
  <si>
    <t>Total Assets</t>
  </si>
  <si>
    <t>REC Solar</t>
  </si>
  <si>
    <t>NORWEGIAN PROPERTY ASA</t>
  </si>
  <si>
    <t>VIZRT</t>
  </si>
  <si>
    <t>GOLDEN OCEAN GROUP</t>
  </si>
  <si>
    <t>EMS Seven Seas</t>
  </si>
  <si>
    <t>Infratek ASA</t>
  </si>
  <si>
    <t>SinOceanic Shipping ASA</t>
  </si>
  <si>
    <t>Siem Offshore Inc</t>
  </si>
  <si>
    <t>Aurora LPG Holding ASA</t>
  </si>
  <si>
    <t>Weifa</t>
  </si>
  <si>
    <t>Karo Pharma Case</t>
  </si>
  <si>
    <t>SeaDrill Ltd</t>
  </si>
  <si>
    <t>eiendeler</t>
  </si>
  <si>
    <t>driftinn</t>
  </si>
  <si>
    <t>Gjeld/sum gjeld</t>
  </si>
  <si>
    <t>Årsres</t>
  </si>
  <si>
    <t>Sum Egenkapital</t>
  </si>
  <si>
    <t>-</t>
  </si>
  <si>
    <t>EVRY ASA</t>
  </si>
  <si>
    <t>Data Respons ASA</t>
  </si>
  <si>
    <t>t+22020</t>
  </si>
  <si>
    <t>t+12019</t>
  </si>
  <si>
    <t>t2018</t>
  </si>
  <si>
    <t>t-12017</t>
  </si>
  <si>
    <t>t+32021</t>
  </si>
  <si>
    <t>T2018</t>
  </si>
  <si>
    <t>equity</t>
  </si>
  <si>
    <t>total lia &amp; EQ</t>
  </si>
  <si>
    <t>t+22014</t>
  </si>
  <si>
    <t>t+12013</t>
  </si>
  <si>
    <t>T2012</t>
  </si>
  <si>
    <t>t-12011</t>
  </si>
  <si>
    <t>t+22015</t>
  </si>
  <si>
    <t>t+12014</t>
  </si>
  <si>
    <t>T2013</t>
  </si>
  <si>
    <t>t-12012</t>
  </si>
  <si>
    <t>t+22018</t>
  </si>
  <si>
    <t>t+12017</t>
  </si>
  <si>
    <t>T2016</t>
  </si>
  <si>
    <t>t-12015</t>
  </si>
  <si>
    <t>t+22009</t>
  </si>
  <si>
    <t>t+12008</t>
  </si>
  <si>
    <t>T2007</t>
  </si>
  <si>
    <t>t-12006</t>
  </si>
  <si>
    <t>t+22006</t>
  </si>
  <si>
    <t>t+12005</t>
  </si>
  <si>
    <t>T2004</t>
  </si>
  <si>
    <t>t-12003</t>
  </si>
  <si>
    <t>t-12008</t>
  </si>
  <si>
    <t>Ekornes ASA 05.2018</t>
  </si>
  <si>
    <t>Gjensidige bank (Nordea direct) 07.2018</t>
  </si>
  <si>
    <t>net interest revenue</t>
  </si>
  <si>
    <t>Kverneland as 12.2011</t>
  </si>
  <si>
    <t>sier at T er 2012</t>
  </si>
  <si>
    <t>sevan drilling 06.2013</t>
  </si>
  <si>
    <t>NRC group 06.2012</t>
  </si>
  <si>
    <t>Navamedic asa 06.2016</t>
  </si>
  <si>
    <t>Pronova piopharma 11.2012</t>
  </si>
  <si>
    <t>Dette er i NOK i 1000</t>
  </si>
  <si>
    <t>APL ASA 02.2007</t>
  </si>
  <si>
    <t>NOK i 1000</t>
  </si>
  <si>
    <t>BN Bank ASA 11.2004</t>
  </si>
  <si>
    <t>Roxar as 03.2009</t>
  </si>
  <si>
    <t>Ekornes ASA</t>
  </si>
  <si>
    <t>Gjensidige bank (Nordea direct)</t>
  </si>
  <si>
    <t>Kverneland AS</t>
  </si>
  <si>
    <t>Sevan Drilling</t>
  </si>
  <si>
    <t>NRC Group</t>
  </si>
  <si>
    <t>Navamedic ASA</t>
  </si>
  <si>
    <t>Ikke majoritet 13%</t>
  </si>
  <si>
    <t>Ikke Majoritet</t>
  </si>
  <si>
    <t>Pronova Biopharma</t>
  </si>
  <si>
    <t>APL ASA</t>
  </si>
  <si>
    <t>BN Bank ASA</t>
  </si>
  <si>
    <t>t+22011</t>
  </si>
  <si>
    <t>t+12010</t>
  </si>
  <si>
    <t>T2009</t>
  </si>
  <si>
    <t>t+22010</t>
  </si>
  <si>
    <t>t+12009</t>
  </si>
  <si>
    <t>T2008</t>
  </si>
  <si>
    <t>t-12007</t>
  </si>
  <si>
    <t>t+22008</t>
  </si>
  <si>
    <t>t+12007</t>
  </si>
  <si>
    <t>T2006</t>
  </si>
  <si>
    <t>t-12005</t>
  </si>
  <si>
    <t>t+22007</t>
  </si>
  <si>
    <t>t+12006</t>
  </si>
  <si>
    <t>T2005</t>
  </si>
  <si>
    <t>t-12004</t>
  </si>
  <si>
    <t>t+22012</t>
  </si>
  <si>
    <t>t+12011</t>
  </si>
  <si>
    <t>T2010</t>
  </si>
  <si>
    <t>t-12009</t>
  </si>
  <si>
    <t>deepocean as 05.2008</t>
  </si>
  <si>
    <t>NOK i 1000 48%</t>
  </si>
  <si>
    <t>wavefield inseis 12.2008</t>
  </si>
  <si>
    <t>USD NB i 1000 30%</t>
  </si>
  <si>
    <t>P4 hele norge 09.2006</t>
  </si>
  <si>
    <t>NOK i 1000 31%</t>
  </si>
  <si>
    <t>IBAS holding 11.2005</t>
  </si>
  <si>
    <t>NOK i 1000 100%</t>
  </si>
  <si>
    <t>Ensurge Micropower ASA 11.2013</t>
  </si>
  <si>
    <t>10% in USD i 1000</t>
  </si>
  <si>
    <t>DLT ASA 09.2010</t>
  </si>
  <si>
    <t>NOK i 1000 21%</t>
  </si>
  <si>
    <t>Roxar AS</t>
  </si>
  <si>
    <t>DeepOcean AS</t>
  </si>
  <si>
    <t>Totalassets</t>
  </si>
  <si>
    <t>Operatingrevenue(Turnover)</t>
  </si>
  <si>
    <t>Non-currentliabilities</t>
  </si>
  <si>
    <t>Currentliabilities</t>
  </si>
  <si>
    <t>TotalDebt</t>
  </si>
  <si>
    <t>NetIncome/StartingLine</t>
  </si>
  <si>
    <t>ROEusingNetincome(%)</t>
  </si>
  <si>
    <t>ROAusingNetincome(%)</t>
  </si>
  <si>
    <t>Operatingrevenueperemployee(th)</t>
  </si>
  <si>
    <t>shareholderfund</t>
  </si>
  <si>
    <t>Wavefield Inseis</t>
  </si>
  <si>
    <t>P4 hele Norge</t>
  </si>
  <si>
    <t>IBAS holding</t>
  </si>
  <si>
    <t>Ensurge Micropower ASA</t>
  </si>
  <si>
    <t>DLT ASA</t>
  </si>
  <si>
    <t>t+3 2017</t>
  </si>
  <si>
    <t>1 033</t>
  </si>
  <si>
    <t>1 129</t>
  </si>
  <si>
    <t>1 218</t>
  </si>
  <si>
    <t>1 005</t>
  </si>
  <si>
    <t>1 088</t>
  </si>
  <si>
    <t>1 116</t>
  </si>
  <si>
    <t>1 008</t>
  </si>
  <si>
    <t>1 096</t>
  </si>
  <si>
    <t>311 699</t>
  </si>
  <si>
    <t>364 701</t>
  </si>
  <si>
    <t>358 904</t>
  </si>
  <si>
    <t>342 727</t>
  </si>
  <si>
    <t>397 347</t>
  </si>
  <si>
    <t>1 815</t>
  </si>
  <si>
    <t>2 418</t>
  </si>
  <si>
    <t>42 739</t>
  </si>
  <si>
    <t>-52 969</t>
  </si>
  <si>
    <t>7 579</t>
  </si>
  <si>
    <t>16 780</t>
  </si>
  <si>
    <t>-12 575</t>
  </si>
  <si>
    <t>-37 852</t>
  </si>
  <si>
    <t>364 667</t>
  </si>
  <si>
    <t>357 088</t>
  </si>
  <si>
    <t>340 308</t>
  </si>
  <si>
    <t>354 608</t>
  </si>
  <si>
    <t>Simrad Optronics ASA 05.2010</t>
  </si>
  <si>
    <t>søkte på  rehin metall</t>
  </si>
  <si>
    <t>hexagon composites 02.2016</t>
  </si>
  <si>
    <t>nok i 1000 20%</t>
  </si>
  <si>
    <t>intelecom group as</t>
  </si>
  <si>
    <t>10.2008 nok i 1000</t>
  </si>
  <si>
    <t>BW gas ASA 07.2008</t>
  </si>
  <si>
    <t>NOK i hele 1000</t>
  </si>
  <si>
    <t>confirmit asa 05.2008</t>
  </si>
  <si>
    <t>nok i 1000</t>
  </si>
  <si>
    <t>profdoc asa 06.2008</t>
  </si>
  <si>
    <t>heter compugroup nå</t>
  </si>
  <si>
    <t>NextgenTel as 05.2006</t>
  </si>
  <si>
    <t>Nok i 1000 82%</t>
  </si>
  <si>
    <t>Findexa 09.2005</t>
  </si>
  <si>
    <t>Nok i 1000</t>
  </si>
  <si>
    <t>endret navn til eniro Norge</t>
  </si>
  <si>
    <t>Null utvikling?</t>
  </si>
  <si>
    <t>Choice Hotels Scandinavia ASA</t>
  </si>
  <si>
    <t>06.2005 Nok i 1000 80%</t>
  </si>
  <si>
    <t>Kenor ASA  04.2004</t>
  </si>
  <si>
    <t>merkelig</t>
  </si>
  <si>
    <t>Simrad Optronics ASA</t>
  </si>
  <si>
    <t>Hexagon Composites</t>
  </si>
  <si>
    <t>Intelecom Group AS</t>
  </si>
  <si>
    <t/>
  </si>
  <si>
    <t>BW gas ASA</t>
  </si>
  <si>
    <t>Confirmit ASA</t>
  </si>
  <si>
    <t>Profdoc ASA (compugroup)</t>
  </si>
  <si>
    <t>NextGenTel ASA</t>
  </si>
  <si>
    <t>Denner er tvilsom, finner null og niks</t>
  </si>
  <si>
    <t>SEB privatbanken asa</t>
  </si>
  <si>
    <t>04.2005 USD i hele tall</t>
  </si>
  <si>
    <t>IMAREX 11.2007</t>
  </si>
  <si>
    <t>USD i hele tall</t>
  </si>
  <si>
    <t>0 i 2006?</t>
  </si>
  <si>
    <t>Marine farms 04.2007</t>
  </si>
  <si>
    <t>USD i hele tall 17,9%</t>
  </si>
  <si>
    <t>veldig lite info</t>
  </si>
  <si>
    <t>SEB Privatbanken ASA</t>
  </si>
  <si>
    <t>IMAREX</t>
  </si>
  <si>
    <t>Marine farms</t>
  </si>
  <si>
    <t>t+22005</t>
  </si>
  <si>
    <t>t+12004</t>
  </si>
  <si>
    <t>T2003</t>
  </si>
  <si>
    <t>t-12002</t>
  </si>
  <si>
    <t>Mowi ASA 06.2005</t>
  </si>
  <si>
    <t>nok i 1000 49%</t>
  </si>
  <si>
    <t>NorGani Hotels ASA</t>
  </si>
  <si>
    <t>09.2007 NOK i 1000</t>
  </si>
  <si>
    <t>Zenitel 03.2003</t>
  </si>
  <si>
    <t>NOK i 1000 32%</t>
  </si>
  <si>
    <t>MultiClient Geophysical ASA</t>
  </si>
  <si>
    <t>12.2016 USD i hele tall 100%</t>
  </si>
  <si>
    <t>Crayon Group Holding ASA</t>
  </si>
  <si>
    <t>08.2018 USD i 1000 31%</t>
  </si>
  <si>
    <t>Mowi ASA</t>
  </si>
  <si>
    <t>Zenitel</t>
  </si>
  <si>
    <t>USD i 1000 31%</t>
  </si>
  <si>
    <t>NOK / USD Average</t>
  </si>
  <si>
    <t>Years</t>
  </si>
  <si>
    <t>T</t>
  </si>
  <si>
    <t>Visma AS</t>
  </si>
  <si>
    <t>PRA Group</t>
  </si>
  <si>
    <t>Peers</t>
  </si>
  <si>
    <t>AF Gruppen</t>
  </si>
  <si>
    <t>Veidekke</t>
  </si>
  <si>
    <t>Aker wind, BW Ideol, IWS</t>
  </si>
  <si>
    <t>DOF ASA,</t>
  </si>
  <si>
    <t>PGS</t>
  </si>
  <si>
    <t xml:space="preserve">Solstad offshore, TGS, Siem off, Scana ASA, </t>
  </si>
  <si>
    <t>Vistin Pharma Aa</t>
  </si>
  <si>
    <t>Navamedic</t>
  </si>
  <si>
    <t>Photocure ASA, BergenBio ASA, Ultimovacs ASA, Eqology ASA</t>
  </si>
  <si>
    <t>3 + Rest</t>
  </si>
  <si>
    <t>DNB ASA</t>
  </si>
  <si>
    <t>Sparebanken Vest, 1 SR B, 1 OEST, 1 SMN, 1 Nord, Sbanken ASA, 1 Helg, 1 More, 1 Ring</t>
  </si>
  <si>
    <t>Zalaris ASA, Mintra Holding</t>
  </si>
  <si>
    <t>Aqualisbraemar</t>
  </si>
  <si>
    <t xml:space="preserve">Eidsiva, Zalaris, Cambi, Minrta Holding, </t>
  </si>
  <si>
    <t>Polaris Media, VVG holding AS</t>
  </si>
  <si>
    <t xml:space="preserve">PGS, TGS. Electromagnetic Geo, Polarcus Alima </t>
  </si>
  <si>
    <t xml:space="preserve">Schibsted ASA, Gyldendal ASA, Polaris Media, Ice Group, </t>
  </si>
  <si>
    <t>Crayon Group, Bouvet ASA, Data Response ASA, Webstep ASA, Visma</t>
  </si>
  <si>
    <t>Atea ASA, Nordic Semi, Kitron, Norbit ASA, Q-Free, Next Biometrics, IDEX Biometrics, Polight</t>
  </si>
  <si>
    <t>Aker Horizon, Aega ASA, Hunter Group. Saga Pure, Sikri Holding</t>
  </si>
  <si>
    <t>Kongsberg Gruppen, Nordic Unmanned, Tomra, Hexagon composits</t>
  </si>
  <si>
    <t xml:space="preserve">Orkla, Scana, </t>
  </si>
  <si>
    <t>Link Mobility, Pexip, Carasent, Mercell Holding, Kahoot, Patientsky</t>
  </si>
  <si>
    <t>Wallenius wilhel, Golden ocean, odfjell SE, Frontline, Bonheur, Solvang ASA, Avance Gas Holding, American Shipping comp.</t>
  </si>
  <si>
    <t>Atea, Link Mob, Otello corp, Smartcraft asa, Lavo-tv, Volue asa, Strongpoint</t>
  </si>
  <si>
    <t>same</t>
  </si>
  <si>
    <t xml:space="preserve">Telenor, Lyse, Bulk industrier, ICE, </t>
  </si>
  <si>
    <t xml:space="preserve">Thon eiendom, Selvaag Bolig, </t>
  </si>
  <si>
    <t>Denne er laget selv</t>
  </si>
  <si>
    <t>DNB, ABG S.C, Sparebank 1 SMN, 1 Nord, Pareto securities</t>
  </si>
  <si>
    <t>Orkla, Aker Biomarine, Mowi, Austevoll, Grieg, Norway Roal, Akva Group, Salmar, Lerøy, NTS ASA</t>
  </si>
  <si>
    <t>Aurstevoll, Salmar, Grieg, Lerøy, Frøy, NTS, NRS, Nordic Halibut</t>
  </si>
  <si>
    <t>Norbit ASA, Atea, Kitron, Q-Free, Polight, Next og INDEX biometrics.</t>
  </si>
  <si>
    <t>Finner ingenting på denne per nå</t>
  </si>
  <si>
    <t xml:space="preserve">Data Response, Itera, Bouvet, Webstep, </t>
  </si>
  <si>
    <t>Strongpoint, Atea, Link mob, Smartcraft, Otello, Lavo, Volue, Induct</t>
  </si>
  <si>
    <t xml:space="preserve">B2 Holding, Axactor, Treasure ASA, </t>
  </si>
  <si>
    <t>De som kan Funke</t>
  </si>
  <si>
    <t>AF Gruppen og Veidekke</t>
  </si>
  <si>
    <t>Vistin Pharma, Photocure, Bergenbio, Eqology og Ultimovacs</t>
  </si>
  <si>
    <t xml:space="preserve">Vistin Pharma, Photocure, </t>
  </si>
  <si>
    <t>Navamedic, Photocure</t>
  </si>
  <si>
    <t>DOF, PGS, Solstad Offshore, TGS</t>
  </si>
  <si>
    <t>DNB, Sogn Sparebank, AURSKOG SPAREBANK, MELHUS SPAREBANK, SANDNES SPAREBANK</t>
  </si>
  <si>
    <t>Masse mer, For flere gå på Oslo Børs og filtrer for Bank</t>
  </si>
  <si>
    <t>TGS, PGS</t>
  </si>
  <si>
    <t>TGS, PGS, EMGS</t>
  </si>
  <si>
    <t>PGS, TGS, EMGS, Havila Shipping</t>
  </si>
  <si>
    <t>Schibsted, Gyldendal</t>
  </si>
  <si>
    <t>Data Response (IPO 2002), Atea kan også funke</t>
  </si>
  <si>
    <t>Atea, Nordic Semi, Kitron, Norbit</t>
  </si>
  <si>
    <t>Hunter Group, Saga Pure</t>
  </si>
  <si>
    <t>Kongsberg Gruppen, Tomra, Hexagon Composites</t>
  </si>
  <si>
    <t>Scana, Orkla</t>
  </si>
  <si>
    <t>Carasent, ((Atea, Data Response))</t>
  </si>
  <si>
    <t>Wilh. Wilhelmsen Holding, Odfjell holding?, Solvang??</t>
  </si>
  <si>
    <t>Atea, Otello</t>
  </si>
  <si>
    <t>Telenor, Evt noe Smartoptics?</t>
  </si>
  <si>
    <t>Thon Eiendom, Evt noe Smartoptics?</t>
  </si>
  <si>
    <t xml:space="preserve">ABG, Sparebank 1 SMN, </t>
  </si>
  <si>
    <t>Mowi, Orkla, AUSTEVOLL SEAFOOD, AKVA GROUP, Lerøy</t>
  </si>
  <si>
    <t>Lerøy,  NTS</t>
  </si>
  <si>
    <t>Thon</t>
  </si>
  <si>
    <t>Atea, Q-free, Kitron</t>
  </si>
  <si>
    <t>Itera, Bouvet, Webstep</t>
  </si>
  <si>
    <t>Sterongpåoint, Atea, Otello</t>
  </si>
  <si>
    <t>Axactor</t>
  </si>
  <si>
    <t xml:space="preserve">2012 T </t>
  </si>
  <si>
    <t>Sum driftsinntekter</t>
  </si>
  <si>
    <t>Sum gjeld</t>
  </si>
  <si>
    <t>Årsresultat</t>
  </si>
  <si>
    <t>Sum egenkapital</t>
  </si>
  <si>
    <t>AF Gruppen  NOK</t>
  </si>
  <si>
    <t>Veidekke  NOK</t>
  </si>
  <si>
    <t>Vistin Pharma  NOK</t>
  </si>
  <si>
    <t xml:space="preserve">2016 T </t>
  </si>
  <si>
    <t>Photocure NOK</t>
  </si>
  <si>
    <t>Navamedic NOK</t>
  </si>
  <si>
    <t>Photocure  NOK</t>
  </si>
  <si>
    <t>DOF  NOK</t>
  </si>
  <si>
    <t xml:space="preserve">2007 T </t>
  </si>
  <si>
    <t>PGS USD</t>
  </si>
  <si>
    <t>USD</t>
  </si>
  <si>
    <t>Solstad Offshore NOK</t>
  </si>
  <si>
    <t>TGS USD</t>
  </si>
  <si>
    <t xml:space="preserve">2004 T </t>
  </si>
  <si>
    <t>AURSKOG SPAREBANK NOK</t>
  </si>
  <si>
    <t>MELHUS SPAREBANK NOK</t>
  </si>
  <si>
    <t>Sogn Sparebank, AURSKOG SPAREBANK, MELHUS SPAREBANK, SANDNES SPAREBANK, Sparebank 1 Østlandet</t>
  </si>
  <si>
    <t>SpareBank 1 Østlandet NOK</t>
  </si>
  <si>
    <t>Sparebank 1 Nord-Norge NOK</t>
  </si>
  <si>
    <t xml:space="preserve">2009 T </t>
  </si>
  <si>
    <t xml:space="preserve">2008 T </t>
  </si>
  <si>
    <t>EMGS NOK</t>
  </si>
  <si>
    <t>Havila Shipping NOK</t>
  </si>
  <si>
    <t>Schibsted NOK</t>
  </si>
  <si>
    <t xml:space="preserve">2006 T </t>
  </si>
  <si>
    <t>Gyldendal NOK</t>
  </si>
  <si>
    <t>1 778 112</t>
  </si>
  <si>
    <t>1 855 831</t>
  </si>
  <si>
    <t>1 649 716</t>
  </si>
  <si>
    <t>1 514 729</t>
  </si>
  <si>
    <t>965 521</t>
  </si>
  <si>
    <t>1 056 145</t>
  </si>
  <si>
    <t>1 107 585</t>
  </si>
  <si>
    <t>963 209</t>
  </si>
  <si>
    <t>722 567</t>
  </si>
  <si>
    <t>37 720</t>
  </si>
  <si>
    <t>9 404</t>
  </si>
  <si>
    <t>9 037</t>
  </si>
  <si>
    <t>20 585</t>
  </si>
  <si>
    <t>44 622</t>
  </si>
  <si>
    <t>617 059</t>
  </si>
  <si>
    <t>588 462</t>
  </si>
  <si>
    <t>589 329</t>
  </si>
  <si>
    <t>587 293</t>
  </si>
  <si>
    <t>584 397</t>
  </si>
  <si>
    <t>Otello Corp. NOK</t>
  </si>
  <si>
    <t xml:space="preserve">2005 T </t>
  </si>
  <si>
    <t>Data Response NOK</t>
  </si>
  <si>
    <t>Atea NOK</t>
  </si>
  <si>
    <t xml:space="preserve">2013 T </t>
  </si>
  <si>
    <t>2008 T</t>
  </si>
  <si>
    <t>902 945</t>
  </si>
  <si>
    <t>675 545</t>
  </si>
  <si>
    <t>611 130</t>
  </si>
  <si>
    <t>786 456</t>
  </si>
  <si>
    <t>930 161</t>
  </si>
  <si>
    <t>Nordic Semiconductor USD</t>
  </si>
  <si>
    <t>Kitron NOK</t>
  </si>
  <si>
    <t>Norbit NOK</t>
  </si>
  <si>
    <t>Date (T)</t>
  </si>
  <si>
    <t>Stake %</t>
  </si>
  <si>
    <t>Currency</t>
  </si>
  <si>
    <t>NOK</t>
  </si>
  <si>
    <t>Nå i 1000 USD</t>
  </si>
  <si>
    <t>VISMA AS 04.2006</t>
  </si>
  <si>
    <t>PRA Group Europe AS 03.2012</t>
  </si>
  <si>
    <t>Comparable Group</t>
  </si>
  <si>
    <t>t</t>
  </si>
  <si>
    <t>Panoro energy USD i 1000</t>
  </si>
  <si>
    <t>DNO USD i 1000</t>
  </si>
  <si>
    <t>t+22017</t>
  </si>
  <si>
    <t>t+12016</t>
  </si>
  <si>
    <t>T2015</t>
  </si>
  <si>
    <t>t-12014</t>
  </si>
  <si>
    <t>driftsinntekt</t>
  </si>
  <si>
    <t>gjeld</t>
  </si>
  <si>
    <t>årsresultat</t>
  </si>
  <si>
    <t>SumEk</t>
  </si>
  <si>
    <t>t+22016</t>
  </si>
  <si>
    <t>t+12015</t>
  </si>
  <si>
    <t>T2014</t>
  </si>
  <si>
    <t>t-12013</t>
  </si>
  <si>
    <t>Q-free asa NOK i 1000</t>
  </si>
  <si>
    <t>TOMRA NOK i 1000</t>
  </si>
  <si>
    <t>SCATEC NOK i 1000</t>
  </si>
  <si>
    <t>NEL  NOK i 1000</t>
  </si>
  <si>
    <t>Entra eiendom NOK i 1000</t>
  </si>
  <si>
    <t>Selvaag bolig NOK i 1000</t>
  </si>
  <si>
    <t>Otello USD i 1000</t>
  </si>
  <si>
    <t>Strongpoint NOK i 1000</t>
  </si>
  <si>
    <t>Belships</t>
  </si>
  <si>
    <t>Reach subsea</t>
  </si>
  <si>
    <t>Havila Shipping</t>
  </si>
  <si>
    <t>Arendal fossekompani</t>
  </si>
  <si>
    <t>EAM solar</t>
  </si>
  <si>
    <t>Pareto bank</t>
  </si>
  <si>
    <t>Visma 2006</t>
  </si>
  <si>
    <t>Strongpoint</t>
  </si>
  <si>
    <t>ATEA</t>
  </si>
  <si>
    <t>Otello</t>
  </si>
  <si>
    <t>Pra group 2012</t>
  </si>
  <si>
    <t>Vistin Pharma</t>
  </si>
  <si>
    <t>Photocure</t>
  </si>
  <si>
    <t>DOF</t>
  </si>
  <si>
    <t>Solstad Offshore</t>
  </si>
  <si>
    <t>TGS</t>
  </si>
  <si>
    <t>AURSKOG SPAREBANK</t>
  </si>
  <si>
    <t>MELHUS SPAREBANK</t>
  </si>
  <si>
    <t>SpareBank 1 Østlandet</t>
  </si>
  <si>
    <t>Sparebank 1 Nord-Norge</t>
  </si>
  <si>
    <t>EMGS</t>
  </si>
  <si>
    <t>Schibsted</t>
  </si>
  <si>
    <t>Gyldendal</t>
  </si>
  <si>
    <t>Otello Corp</t>
  </si>
  <si>
    <t>Data Response</t>
  </si>
  <si>
    <t>Atea</t>
  </si>
  <si>
    <t>Nordic Semiconductor</t>
  </si>
  <si>
    <t>Kitron</t>
  </si>
  <si>
    <t>Norbit</t>
  </si>
  <si>
    <t>Matching</t>
  </si>
  <si>
    <t>Panoro Energy</t>
  </si>
  <si>
    <t>DNO</t>
  </si>
  <si>
    <t>Q-Free ASA</t>
  </si>
  <si>
    <t>TOMRA</t>
  </si>
  <si>
    <t>REC SOLAR ASA</t>
  </si>
  <si>
    <t>SCATEC</t>
  </si>
  <si>
    <t>NEL</t>
  </si>
  <si>
    <t>Entra Eiendom</t>
  </si>
  <si>
    <t>Selvaag Bolig</t>
  </si>
  <si>
    <t>EMS SEVEN SEAS</t>
  </si>
  <si>
    <t>Reach Subsea</t>
  </si>
  <si>
    <t>EAM Solar</t>
  </si>
  <si>
    <t>Pareto Bank</t>
  </si>
  <si>
    <t>Visma</t>
  </si>
  <si>
    <t>Variables</t>
  </si>
  <si>
    <t>Long term debt</t>
  </si>
  <si>
    <t>USD i 1000</t>
  </si>
  <si>
    <t>COMP</t>
  </si>
  <si>
    <t>Long Term Debt</t>
  </si>
  <si>
    <t>Unlevered ROE</t>
  </si>
  <si>
    <t>Return on Debt</t>
  </si>
  <si>
    <t>ROD (t-1)</t>
  </si>
  <si>
    <t>ROD (t)</t>
  </si>
  <si>
    <t>ROD (t+1)</t>
  </si>
  <si>
    <t>visma</t>
  </si>
  <si>
    <t>Pra group</t>
  </si>
  <si>
    <t>Nordic smiconduct</t>
  </si>
  <si>
    <t>panoro energy</t>
  </si>
  <si>
    <t>dno</t>
  </si>
  <si>
    <t>usd i 1000</t>
  </si>
  <si>
    <t>Country</t>
  </si>
  <si>
    <t>UK</t>
  </si>
  <si>
    <t>Netherlands</t>
  </si>
  <si>
    <t>Hong Kong</t>
  </si>
  <si>
    <t>Cyprus</t>
  </si>
  <si>
    <t>Sweden</t>
  </si>
  <si>
    <t>Bermuda</t>
  </si>
  <si>
    <t>Germany</t>
  </si>
  <si>
    <t>Singapore</t>
  </si>
  <si>
    <t>Luxembourg</t>
  </si>
  <si>
    <t>Finland</t>
  </si>
  <si>
    <t>CHINA</t>
  </si>
  <si>
    <t>China</t>
  </si>
  <si>
    <t>FINLAND</t>
  </si>
  <si>
    <t>JAPAN</t>
  </si>
  <si>
    <t>SWEDEN</t>
  </si>
  <si>
    <t>GERMANY</t>
  </si>
  <si>
    <t>ICELAND</t>
  </si>
  <si>
    <t>UNITED STATES</t>
  </si>
  <si>
    <t>FRANCE</t>
  </si>
  <si>
    <t>RUSSIA</t>
  </si>
  <si>
    <t>Guernsey (Brit Crown Dependency)</t>
  </si>
  <si>
    <t>Tuvalu</t>
  </si>
  <si>
    <t>GREECE</t>
  </si>
  <si>
    <t>B - Mining and quarrying</t>
  </si>
  <si>
    <t>G - Wholesale and retail trade; repair of motor vehicles and motorcycles</t>
  </si>
  <si>
    <t>C - Manufacturing</t>
  </si>
  <si>
    <t>Main Sector (NACE Rev. 2 Main Sec)</t>
  </si>
  <si>
    <t>L - Real estate activities</t>
  </si>
  <si>
    <t>J - Information and communication</t>
  </si>
  <si>
    <t>H - Transportation and storage</t>
  </si>
  <si>
    <t>F - Construction</t>
  </si>
  <si>
    <t>K - Financial and insurance activities</t>
  </si>
  <si>
    <t>M - Professional, scientific and technical activities</t>
  </si>
  <si>
    <t>N - Administrative and support service activities</t>
  </si>
  <si>
    <t>A - Agriculture, forestry and fishing</t>
  </si>
  <si>
    <t>NACE</t>
  </si>
  <si>
    <t>B</t>
  </si>
  <si>
    <t>G</t>
  </si>
  <si>
    <t>C</t>
  </si>
  <si>
    <t>L</t>
  </si>
  <si>
    <t>J</t>
  </si>
  <si>
    <t>H</t>
  </si>
  <si>
    <t>F</t>
  </si>
  <si>
    <t>K</t>
  </si>
  <si>
    <t>M</t>
  </si>
  <si>
    <t>N</t>
  </si>
  <si>
    <t>A</t>
  </si>
  <si>
    <t>FI</t>
  </si>
  <si>
    <t>Ch</t>
  </si>
  <si>
    <t>GR</t>
  </si>
  <si>
    <t>NE</t>
  </si>
  <si>
    <t>HO</t>
  </si>
  <si>
    <t>CY</t>
  </si>
  <si>
    <t>SW</t>
  </si>
  <si>
    <t>BE</t>
  </si>
  <si>
    <t>GE</t>
  </si>
  <si>
    <t>SI</t>
  </si>
  <si>
    <t>LU</t>
  </si>
  <si>
    <t>JA</t>
  </si>
  <si>
    <t>IC</t>
  </si>
  <si>
    <t>US</t>
  </si>
  <si>
    <t>FR</t>
  </si>
  <si>
    <t>RU</t>
  </si>
  <si>
    <t>TU</t>
  </si>
  <si>
    <t>CH</t>
  </si>
  <si>
    <t>Data from Comps (over NRC)</t>
  </si>
  <si>
    <t>Prosafe</t>
  </si>
  <si>
    <t>Solstad offshore</t>
  </si>
  <si>
    <t>Awilco LNG</t>
  </si>
  <si>
    <t>t+22019</t>
  </si>
  <si>
    <t>t+12018</t>
  </si>
  <si>
    <t>T2017</t>
  </si>
  <si>
    <t>t-12016</t>
  </si>
  <si>
    <t>Odfjell drilling</t>
  </si>
  <si>
    <t>Archer</t>
  </si>
  <si>
    <t>USD i 100</t>
  </si>
  <si>
    <t>Data respons</t>
  </si>
  <si>
    <t>XXL</t>
  </si>
  <si>
    <t>sparebank 1 smn</t>
  </si>
  <si>
    <t>Sparebank 1 nord</t>
  </si>
  <si>
    <t>Total lia +EQ</t>
  </si>
  <si>
    <t>Nekkar</t>
  </si>
  <si>
    <t>archer</t>
  </si>
  <si>
    <t>Result</t>
  </si>
  <si>
    <t>EK</t>
  </si>
  <si>
    <t>-121 022</t>
  </si>
  <si>
    <t>-202 755</t>
  </si>
  <si>
    <t>538 426</t>
  </si>
  <si>
    <t>309 002</t>
  </si>
  <si>
    <t>175 862</t>
  </si>
  <si>
    <t>126 692</t>
  </si>
  <si>
    <t>248 222</t>
  </si>
  <si>
    <t>567 527</t>
  </si>
  <si>
    <t>1 135 439</t>
  </si>
  <si>
    <t>1 023 559</t>
  </si>
  <si>
    <t>Sum Ek</t>
  </si>
  <si>
    <t>70% nok i 1000</t>
  </si>
  <si>
    <t>38 876 000</t>
  </si>
  <si>
    <t>35 358 000</t>
  </si>
  <si>
    <t>34 079 000</t>
  </si>
  <si>
    <t>30 303 000</t>
  </si>
  <si>
    <t>28 814 000</t>
  </si>
  <si>
    <t>27 797 000</t>
  </si>
  <si>
    <t>208 000</t>
  </si>
  <si>
    <t>378 000</t>
  </si>
  <si>
    <t>365 000</t>
  </si>
  <si>
    <t>313 000</t>
  </si>
  <si>
    <t>278 000</t>
  </si>
  <si>
    <t>37 287 000</t>
  </si>
  <si>
    <t>32 950 000</t>
  </si>
  <si>
    <t>31 853 000</t>
  </si>
  <si>
    <t>28 257 000</t>
  </si>
  <si>
    <t>26 831 000</t>
  </si>
  <si>
    <t>51 000</t>
  </si>
  <si>
    <t>238 000</t>
  </si>
  <si>
    <t>239 000</t>
  </si>
  <si>
    <t>209 000</t>
  </si>
  <si>
    <t>194 000</t>
  </si>
  <si>
    <t>1 589 000</t>
  </si>
  <si>
    <t>2 408 000</t>
  </si>
  <si>
    <t>2 226 000</t>
  </si>
  <si>
    <t>2 046 000</t>
  </si>
  <si>
    <t>1 983 000</t>
  </si>
  <si>
    <t>1 886 000</t>
  </si>
  <si>
    <t>NOK i 1000 97%</t>
  </si>
  <si>
    <t>driftsinntekt var dårlig</t>
  </si>
  <si>
    <t>Hunter group</t>
  </si>
  <si>
    <t>Kongsberg gruppen</t>
  </si>
  <si>
    <t>Hexagon composit</t>
  </si>
  <si>
    <t>429 818</t>
  </si>
  <si>
    <t>393 689</t>
  </si>
  <si>
    <t>279 011</t>
  </si>
  <si>
    <t>255 190</t>
  </si>
  <si>
    <t>332 024</t>
  </si>
  <si>
    <t>379 025</t>
  </si>
  <si>
    <t>422 469</t>
  </si>
  <si>
    <t>481 571</t>
  </si>
  <si>
    <t>584 897</t>
  </si>
  <si>
    <t>650 783</t>
  </si>
  <si>
    <t>244 167</t>
  </si>
  <si>
    <t>194 349</t>
  </si>
  <si>
    <t>99 975</t>
  </si>
  <si>
    <t>109 502</t>
  </si>
  <si>
    <t>217 899</t>
  </si>
  <si>
    <t>-13 688</t>
  </si>
  <si>
    <t>37 303</t>
  </si>
  <si>
    <t>33 348</t>
  </si>
  <si>
    <t>31 563</t>
  </si>
  <si>
    <t>36 992</t>
  </si>
  <si>
    <t>185 651</t>
  </si>
  <si>
    <t>199 340</t>
  </si>
  <si>
    <t>179 037</t>
  </si>
  <si>
    <t>145 689</t>
  </si>
  <si>
    <t>114 125</t>
  </si>
  <si>
    <t>ORKLA</t>
  </si>
  <si>
    <t>3 077 761</t>
  </si>
  <si>
    <t>1 568 050</t>
  </si>
  <si>
    <t>1 418 330</t>
  </si>
  <si>
    <t>1 287 270</t>
  </si>
  <si>
    <t>583 151</t>
  </si>
  <si>
    <t>SCANA</t>
  </si>
  <si>
    <t>72 611</t>
  </si>
  <si>
    <t>38 199</t>
  </si>
  <si>
    <t>38 239</t>
  </si>
  <si>
    <t>34 361</t>
  </si>
  <si>
    <t>43 568</t>
  </si>
  <si>
    <t>1 433 135</t>
  </si>
  <si>
    <t>585 262</t>
  </si>
  <si>
    <t>541 032</t>
  </si>
  <si>
    <t>494 439</t>
  </si>
  <si>
    <t>492 747</t>
  </si>
  <si>
    <t>163 662</t>
  </si>
  <si>
    <t>123 184</t>
  </si>
  <si>
    <t>124 001</t>
  </si>
  <si>
    <t>49 603</t>
  </si>
  <si>
    <t>-1 635</t>
  </si>
  <si>
    <t>1 644 626</t>
  </si>
  <si>
    <t>982 786</t>
  </si>
  <si>
    <t>877 297</t>
  </si>
  <si>
    <t>792 831</t>
  </si>
  <si>
    <t>90 403</t>
  </si>
  <si>
    <t>5 652 614</t>
  </si>
  <si>
    <t>6 334 466</t>
  </si>
  <si>
    <t>5 609 657</t>
  </si>
  <si>
    <t>5 672 483</t>
  </si>
  <si>
    <t>5 493 838</t>
  </si>
  <si>
    <t>Carasent</t>
  </si>
  <si>
    <t>2011 NB i USD</t>
  </si>
  <si>
    <t>t+22010 NB i USD</t>
  </si>
  <si>
    <t>1 639 320</t>
  </si>
  <si>
    <t>1 938 652</t>
  </si>
  <si>
    <t>1 507 561</t>
  </si>
  <si>
    <t>1 932 509</t>
  </si>
  <si>
    <t>1 186 167</t>
  </si>
  <si>
    <t>2 814 125</t>
  </si>
  <si>
    <t>3 737 687</t>
  </si>
  <si>
    <t>3 012 138</t>
  </si>
  <si>
    <t>3 211 377</t>
  </si>
  <si>
    <t>3 470 860</t>
  </si>
  <si>
    <t>534 968</t>
  </si>
  <si>
    <t>684 604</t>
  </si>
  <si>
    <t>478 412</t>
  </si>
  <si>
    <t>636 512</t>
  </si>
  <si>
    <t>350 418</t>
  </si>
  <si>
    <t>2 838 488</t>
  </si>
  <si>
    <t>2 596 778</t>
  </si>
  <si>
    <t>2 597 519</t>
  </si>
  <si>
    <t>2 461 107</t>
  </si>
  <si>
    <t>2 022 977</t>
  </si>
  <si>
    <t>Solvang</t>
  </si>
  <si>
    <t>2 946 000</t>
  </si>
  <si>
    <t>6 386 000</t>
  </si>
  <si>
    <t>9 207 000</t>
  </si>
  <si>
    <t>11 766 000</t>
  </si>
  <si>
    <t>15 341 000</t>
  </si>
  <si>
    <t>604 000</t>
  </si>
  <si>
    <t>721 000</t>
  </si>
  <si>
    <t>768 000</t>
  </si>
  <si>
    <t>675 200</t>
  </si>
  <si>
    <t>662 000</t>
  </si>
  <si>
    <t>434 000</t>
  </si>
  <si>
    <t>649 000</t>
  </si>
  <si>
    <t>2 904 000</t>
  </si>
  <si>
    <t>4 885 400</t>
  </si>
  <si>
    <t>7 388 000</t>
  </si>
  <si>
    <t>86 000</t>
  </si>
  <si>
    <t>-566 000</t>
  </si>
  <si>
    <t>-341 000</t>
  </si>
  <si>
    <t>-1 081 300</t>
  </si>
  <si>
    <t>-4 081 000</t>
  </si>
  <si>
    <t>2 512 000</t>
  </si>
  <si>
    <t>5 737 000</t>
  </si>
  <si>
    <t>6 303 000</t>
  </si>
  <si>
    <t>6 880 600</t>
  </si>
  <si>
    <t>7 954 000</t>
  </si>
  <si>
    <t>280 920</t>
  </si>
  <si>
    <t>228 365</t>
  </si>
  <si>
    <t>197 066</t>
  </si>
  <si>
    <t>187 457</t>
  </si>
  <si>
    <t>150 795</t>
  </si>
  <si>
    <t>NOK i 100</t>
  </si>
  <si>
    <t>149 673</t>
  </si>
  <si>
    <t>135 690</t>
  </si>
  <si>
    <t>116 969</t>
  </si>
  <si>
    <t>111 665</t>
  </si>
  <si>
    <t>23 867</t>
  </si>
  <si>
    <t>61 379</t>
  </si>
  <si>
    <t>42 878</t>
  </si>
  <si>
    <t>25 213</t>
  </si>
  <si>
    <t>28 153</t>
  </si>
  <si>
    <t>19 116</t>
  </si>
  <si>
    <t>34 053</t>
  </si>
  <si>
    <t>20 807</t>
  </si>
  <si>
    <t>12 998</t>
  </si>
  <si>
    <t>21 464</t>
  </si>
  <si>
    <t>219 540</t>
  </si>
  <si>
    <t>185 486</t>
  </si>
  <si>
    <t>171 852</t>
  </si>
  <si>
    <t>159 304</t>
  </si>
  <si>
    <t>131 679</t>
  </si>
  <si>
    <t>231 152</t>
  </si>
  <si>
    <t>372 760</t>
  </si>
  <si>
    <t>328 343</t>
  </si>
  <si>
    <t>258 023</t>
  </si>
  <si>
    <t>124 878</t>
  </si>
  <si>
    <t>8 897</t>
  </si>
  <si>
    <t>16 342</t>
  </si>
  <si>
    <t>11 876</t>
  </si>
  <si>
    <t>12 292</t>
  </si>
  <si>
    <t>10 297</t>
  </si>
  <si>
    <t>152 198</t>
  </si>
  <si>
    <t>292 262</t>
  </si>
  <si>
    <t>281 526</t>
  </si>
  <si>
    <t>181 215</t>
  </si>
  <si>
    <t>65 127</t>
  </si>
  <si>
    <t>38 811</t>
  </si>
  <si>
    <t>33 681</t>
  </si>
  <si>
    <t>34 009</t>
  </si>
  <si>
    <t>-15 402</t>
  </si>
  <si>
    <t>16 696</t>
  </si>
  <si>
    <t>78 954</t>
  </si>
  <si>
    <t>80 498</t>
  </si>
  <si>
    <t>46 817</t>
  </si>
  <si>
    <t>76 808</t>
  </si>
  <si>
    <t>59 751</t>
  </si>
  <si>
    <t>Telenor</t>
  </si>
  <si>
    <t>Smartoptics</t>
  </si>
  <si>
    <t>821 960</t>
  </si>
  <si>
    <t>759 219</t>
  </si>
  <si>
    <t>809 149</t>
  </si>
  <si>
    <t>856 758</t>
  </si>
  <si>
    <t>591 527</t>
  </si>
  <si>
    <t>916 094</t>
  </si>
  <si>
    <t>780 388</t>
  </si>
  <si>
    <t>772 166</t>
  </si>
  <si>
    <t>728 196</t>
  </si>
  <si>
    <t>586 158</t>
  </si>
  <si>
    <t>242 114</t>
  </si>
  <si>
    <t>189 652</t>
  </si>
  <si>
    <t>243 065</t>
  </si>
  <si>
    <t>543 346</t>
  </si>
  <si>
    <t>411 694</t>
  </si>
  <si>
    <t>10 281</t>
  </si>
  <si>
    <t>3 483</t>
  </si>
  <si>
    <t>19 294</t>
  </si>
  <si>
    <t>6 696</t>
  </si>
  <si>
    <t>15 356</t>
  </si>
  <si>
    <t>579 845</t>
  </si>
  <si>
    <t>569 565</t>
  </si>
  <si>
    <t>566 082</t>
  </si>
  <si>
    <t>313 412</t>
  </si>
  <si>
    <t>179 833</t>
  </si>
  <si>
    <t>Thon eiendom</t>
  </si>
  <si>
    <t>101 652</t>
  </si>
  <si>
    <t>98 892</t>
  </si>
  <si>
    <t>76 288</t>
  </si>
  <si>
    <t>75 032</t>
  </si>
  <si>
    <t>55 528</t>
  </si>
  <si>
    <t>139 989</t>
  </si>
  <si>
    <t>121 617</t>
  </si>
  <si>
    <t>101 945</t>
  </si>
  <si>
    <t>88 330</t>
  </si>
  <si>
    <t>76 952</t>
  </si>
  <si>
    <t>86 569</t>
  </si>
  <si>
    <t>85 228</t>
  </si>
  <si>
    <t>64 391</t>
  </si>
  <si>
    <t>61 334</t>
  </si>
  <si>
    <t>37 356</t>
  </si>
  <si>
    <t>27 288</t>
  </si>
  <si>
    <t>22 287</t>
  </si>
  <si>
    <t>16 057</t>
  </si>
  <si>
    <t>14 847</t>
  </si>
  <si>
    <t>4 684</t>
  </si>
  <si>
    <t>15 083</t>
  </si>
  <si>
    <t>13 665</t>
  </si>
  <si>
    <t>11 898</t>
  </si>
  <si>
    <t>13 698</t>
  </si>
  <si>
    <t>18 172</t>
  </si>
  <si>
    <t>Sogn sparebank</t>
  </si>
  <si>
    <t>Aurskog sparebank</t>
  </si>
  <si>
    <t>ABG</t>
  </si>
  <si>
    <t>Sparebank 1 smn</t>
  </si>
  <si>
    <t>Austevoll seafood</t>
  </si>
  <si>
    <t>AKVA group</t>
  </si>
  <si>
    <t>Orkla</t>
  </si>
  <si>
    <t>Lerøy</t>
  </si>
  <si>
    <t>22 736 000</t>
  </si>
  <si>
    <t>23 183 000</t>
  </si>
  <si>
    <t>27 353 800</t>
  </si>
  <si>
    <t>4 022 819</t>
  </si>
  <si>
    <t>3 007 883</t>
  </si>
  <si>
    <t>NTS</t>
  </si>
  <si>
    <t>13 487 000</t>
  </si>
  <si>
    <t>14 029 000</t>
  </si>
  <si>
    <t>5 655 400</t>
  </si>
  <si>
    <t>1 858 455</t>
  </si>
  <si>
    <t>2 336 356</t>
  </si>
  <si>
    <t>13 112 000</t>
  </si>
  <si>
    <t>10 699 000</t>
  </si>
  <si>
    <t>13 764 700</t>
  </si>
  <si>
    <t>2 304 493</t>
  </si>
  <si>
    <t>2 668 498</t>
  </si>
  <si>
    <t>-2 851 000</t>
  </si>
  <si>
    <t>5 000</t>
  </si>
  <si>
    <t>1 850 500</t>
  </si>
  <si>
    <t>374 957</t>
  </si>
  <si>
    <t>-219 234</t>
  </si>
  <si>
    <t>9 625 000</t>
  </si>
  <si>
    <t>12 484 000</t>
  </si>
  <si>
    <t>13 589 100</t>
  </si>
  <si>
    <t>1 718 326</t>
  </si>
  <si>
    <t>339 380</t>
  </si>
  <si>
    <t>4 856 300</t>
  </si>
  <si>
    <t>2 953 800</t>
  </si>
  <si>
    <t>3 842 000</t>
  </si>
  <si>
    <t>3 765 500</t>
  </si>
  <si>
    <t>3 871 400</t>
  </si>
  <si>
    <t>18 700</t>
  </si>
  <si>
    <t>23 900</t>
  </si>
  <si>
    <t>28 800</t>
  </si>
  <si>
    <t>23 600</t>
  </si>
  <si>
    <t>6 000</t>
  </si>
  <si>
    <t>1 806 300</t>
  </si>
  <si>
    <t>965 200</t>
  </si>
  <si>
    <t>836 000</t>
  </si>
  <si>
    <t>677 500</t>
  </si>
  <si>
    <t>684 800</t>
  </si>
  <si>
    <t>-3 700</t>
  </si>
  <si>
    <t>-1 112 600</t>
  </si>
  <si>
    <t>-3 485</t>
  </si>
  <si>
    <t>21 283</t>
  </si>
  <si>
    <t>1 161 000</t>
  </si>
  <si>
    <t>3 050 000</t>
  </si>
  <si>
    <t>1 988 600</t>
  </si>
  <si>
    <t>3 006 100</t>
  </si>
  <si>
    <t>3 088 000</t>
  </si>
  <si>
    <t>3 186 600</t>
  </si>
  <si>
    <t>Q-free</t>
  </si>
  <si>
    <t>156 871</t>
  </si>
  <si>
    <t>146 683</t>
  </si>
  <si>
    <t>142 201</t>
  </si>
  <si>
    <t>156 747</t>
  </si>
  <si>
    <t>187 056</t>
  </si>
  <si>
    <t>221 494</t>
  </si>
  <si>
    <t>198 019</t>
  </si>
  <si>
    <t>209 657</t>
  </si>
  <si>
    <t>201 792</t>
  </si>
  <si>
    <t>311 675</t>
  </si>
  <si>
    <t>111 115</t>
  </si>
  <si>
    <t>99 578</t>
  </si>
  <si>
    <t>75 972</t>
  </si>
  <si>
    <t>95 325</t>
  </si>
  <si>
    <t>89 823</t>
  </si>
  <si>
    <t>-1 349</t>
  </si>
  <si>
    <t>-19 125</t>
  </si>
  <si>
    <t>4 808</t>
  </si>
  <si>
    <t>-35 812</t>
  </si>
  <si>
    <t>-54 398</t>
  </si>
  <si>
    <t>45 756</t>
  </si>
  <si>
    <t>47 105</t>
  </si>
  <si>
    <t>66 230</t>
  </si>
  <si>
    <t>61 422</t>
  </si>
  <si>
    <t>97 233</t>
  </si>
  <si>
    <t xml:space="preserve">Bouvet </t>
  </si>
  <si>
    <t>ITERA</t>
  </si>
  <si>
    <t>NOK i hele 1000 32%</t>
  </si>
  <si>
    <t>Belships vs Golden ocean</t>
  </si>
  <si>
    <t>636 841</t>
  </si>
  <si>
    <t>605 763</t>
  </si>
  <si>
    <t>541 831</t>
  </si>
  <si>
    <t>403 602</t>
  </si>
  <si>
    <t>384 669</t>
  </si>
  <si>
    <t>94 883</t>
  </si>
  <si>
    <t>78 323</t>
  </si>
  <si>
    <t>10 443</t>
  </si>
  <si>
    <t>3 858</t>
  </si>
  <si>
    <t>4 155</t>
  </si>
  <si>
    <t>416 327</t>
  </si>
  <si>
    <t>429 212</t>
  </si>
  <si>
    <t>221 385</t>
  </si>
  <si>
    <t>47 063</t>
  </si>
  <si>
    <t>18 872</t>
  </si>
  <si>
    <t>44 009</t>
  </si>
  <si>
    <t>-143 822</t>
  </si>
  <si>
    <t>-36 112</t>
  </si>
  <si>
    <t>-10 447</t>
  </si>
  <si>
    <t>-9 040</t>
  </si>
  <si>
    <t>220 514</t>
  </si>
  <si>
    <t>176 551</t>
  </si>
  <si>
    <t>320 447</t>
  </si>
  <si>
    <t>356 539</t>
  </si>
  <si>
    <t>365 797</t>
  </si>
  <si>
    <t>Data Respons</t>
  </si>
  <si>
    <t>Kverneland as</t>
  </si>
  <si>
    <t>sevan drilling</t>
  </si>
  <si>
    <t>hexagon composites</t>
  </si>
  <si>
    <t>confirmit asa</t>
  </si>
  <si>
    <t>profdoc asa</t>
  </si>
  <si>
    <t xml:space="preserve">NextgenTel as </t>
  </si>
  <si>
    <t>rød i usd 1000</t>
  </si>
  <si>
    <t>NO</t>
  </si>
  <si>
    <t>UROE (t-1)</t>
  </si>
  <si>
    <t>UROE (t)</t>
  </si>
  <si>
    <t>UROE (t+1)</t>
  </si>
  <si>
    <t>LROE (t-1)</t>
  </si>
  <si>
    <t>LROE (t)</t>
  </si>
  <si>
    <t>LROE (t+1)</t>
  </si>
  <si>
    <t>Aker BP</t>
  </si>
  <si>
    <t>Hunter Group</t>
  </si>
  <si>
    <t>Norwegian Energy Company</t>
  </si>
  <si>
    <t>NORWEGIAN ENERGY COMPANY ASA</t>
  </si>
  <si>
    <t>Bouvet</t>
  </si>
  <si>
    <t>Itera</t>
  </si>
  <si>
    <t>Arribatec Group</t>
  </si>
  <si>
    <t>Europris</t>
  </si>
  <si>
    <t>Gikk på børs i 2014</t>
  </si>
  <si>
    <t>data respons vs. Zenitel 2003</t>
  </si>
  <si>
    <t>Long term d</t>
  </si>
  <si>
    <t>Telenor vs. Zenitel 2003</t>
  </si>
  <si>
    <t>Lerøy vs. Marine farms 2007</t>
  </si>
  <si>
    <t>NTS vs. Marine farms 2007</t>
  </si>
  <si>
    <t>Grieg vs. Marine farms 2007</t>
  </si>
  <si>
    <t>Melhus sparebank vs. IMAREX 2007</t>
  </si>
  <si>
    <t>Aurskog sparebank vs. IMAREX 2007</t>
  </si>
  <si>
    <t>Gyldendal vs. Profdoc 2008</t>
  </si>
  <si>
    <t>strongpoint vs. Profdoc 2008</t>
  </si>
  <si>
    <t>AMS company vs. BW gas 2008</t>
  </si>
  <si>
    <t>ENDUR vs. Hexagon composit 2016</t>
  </si>
  <si>
    <t>Kongsberg gruppen vs. Hexagon composit 2016</t>
  </si>
  <si>
    <t>Nekkar vs. Hexagon composit 2016</t>
  </si>
  <si>
    <t>Grieg</t>
  </si>
  <si>
    <t>Melhus Sparebank</t>
  </si>
  <si>
    <t>Aurskog Sparebank</t>
  </si>
  <si>
    <t>AMS Company</t>
  </si>
  <si>
    <t>Endur</t>
  </si>
  <si>
    <t>Kongsberg Gruppen</t>
  </si>
  <si>
    <t>heter birdstep</t>
  </si>
  <si>
    <t>Wilhelmsen vs. NRC group 2012</t>
  </si>
  <si>
    <t>Byggma asa vs. NRC group 2012</t>
  </si>
  <si>
    <t>Nekkar vs. NRC group 2012</t>
  </si>
  <si>
    <t>Borgestad vs. Kverneland 2012</t>
  </si>
  <si>
    <t>Akva group vs. Kverneland 2012</t>
  </si>
  <si>
    <t>Odfjell vs. Aurora lpg  2016</t>
  </si>
  <si>
    <t>Techstep</t>
  </si>
  <si>
    <t>Wilhelmsen</t>
  </si>
  <si>
    <t>Byggma</t>
  </si>
  <si>
    <t>Borgestad</t>
  </si>
  <si>
    <t>Odfjell</t>
  </si>
  <si>
    <t>Hunter group vs. Aurora lpg  2016</t>
  </si>
  <si>
    <t>Belships vs. Sinoceanic   2012</t>
  </si>
  <si>
    <t>AMS company vs. Sinoceanic   2012</t>
  </si>
  <si>
    <t>Year</t>
  </si>
  <si>
    <t>YearNACE</t>
  </si>
  <si>
    <t>Bought</t>
  </si>
  <si>
    <t>Industry</t>
  </si>
  <si>
    <t>Delta Size</t>
  </si>
  <si>
    <t>Delta LROE</t>
  </si>
  <si>
    <t>Delta LROA</t>
  </si>
  <si>
    <t>ROA (t+2)</t>
  </si>
  <si>
    <t>ROA (t+3)</t>
  </si>
  <si>
    <t>ROE (t+2)</t>
  </si>
  <si>
    <t>ROE (t+3)</t>
  </si>
  <si>
    <t>Short ROE</t>
  </si>
  <si>
    <t>Long ROE</t>
  </si>
  <si>
    <t>Short ROA</t>
  </si>
  <si>
    <t>Long ROA</t>
  </si>
  <si>
    <t>Shareholder Equity (t-2)</t>
  </si>
  <si>
    <t>Change (Delta) Leverage</t>
  </si>
  <si>
    <t>Short Size</t>
  </si>
  <si>
    <t>Long Size</t>
  </si>
  <si>
    <t>Short Leverage</t>
  </si>
  <si>
    <t>Long Leverage</t>
  </si>
  <si>
    <t>Crayon</t>
  </si>
  <si>
    <t>NRC</t>
  </si>
  <si>
    <t>Kverneland</t>
  </si>
  <si>
    <t>Infratek</t>
  </si>
  <si>
    <t>Company</t>
  </si>
  <si>
    <t>Shareholder fund (t-2)</t>
  </si>
  <si>
    <t>EUR</t>
  </si>
  <si>
    <t>Blom ASA Skrvet inn</t>
  </si>
  <si>
    <t>YEAR T</t>
  </si>
  <si>
    <t>Year T - 1</t>
  </si>
  <si>
    <t xml:space="preserve">YEAR T - 2 </t>
  </si>
  <si>
    <t>10,068,000</t>
  </si>
  <si>
    <t>1 654 172</t>
  </si>
  <si>
    <t>107 853</t>
  </si>
  <si>
    <t>NB SJEKK</t>
  </si>
  <si>
    <t>1 315 113</t>
  </si>
  <si>
    <t>150 000</t>
  </si>
  <si>
    <t>1 067 913</t>
  </si>
  <si>
    <t>959 714</t>
  </si>
  <si>
    <t>83 931</t>
  </si>
  <si>
    <t>21 481</t>
  </si>
  <si>
    <t>643 668</t>
  </si>
  <si>
    <t>167 451</t>
  </si>
  <si>
    <t>90 028</t>
  </si>
  <si>
    <t>1 712 925</t>
  </si>
  <si>
    <t>12 026 000</t>
  </si>
  <si>
    <t>129 244</t>
  </si>
  <si>
    <t>52 516</t>
  </si>
  <si>
    <t>162 224</t>
  </si>
  <si>
    <t>14 279</t>
  </si>
  <si>
    <t>-163 376</t>
  </si>
  <si>
    <t>1 801 709</t>
  </si>
  <si>
    <t>151 631</t>
  </si>
  <si>
    <t>1 082 499</t>
  </si>
  <si>
    <t>YEAR T - 1</t>
  </si>
  <si>
    <t>YEAR T - 2</t>
  </si>
  <si>
    <t>3 417 921</t>
  </si>
  <si>
    <t>802 735</t>
  </si>
  <si>
    <t>240 058</t>
  </si>
  <si>
    <t>100 205</t>
  </si>
  <si>
    <t>458 854</t>
  </si>
  <si>
    <t>2 059 898</t>
  </si>
  <si>
    <t>2 693 538</t>
  </si>
  <si>
    <t>171 427</t>
  </si>
  <si>
    <t>2 469 000</t>
  </si>
  <si>
    <t>2 241 000</t>
  </si>
  <si>
    <t>615 145</t>
  </si>
  <si>
    <t>128 939</t>
  </si>
  <si>
    <t>477 038</t>
  </si>
  <si>
    <t>531 569</t>
  </si>
  <si>
    <t>2 396 000</t>
  </si>
  <si>
    <t>574 413</t>
  </si>
  <si>
    <t>262 332</t>
  </si>
  <si>
    <t>75 513</t>
  </si>
  <si>
    <t>808 500</t>
  </si>
  <si>
    <t>436 009</t>
  </si>
  <si>
    <t>24 643</t>
  </si>
  <si>
    <t>3 188 470</t>
  </si>
  <si>
    <t>2,065,600</t>
  </si>
  <si>
    <t>565 377</t>
  </si>
  <si>
    <t>1 768 700</t>
  </si>
  <si>
    <t>18 534</t>
  </si>
  <si>
    <t>7 922 000</t>
  </si>
  <si>
    <t>2 146 621</t>
  </si>
  <si>
    <t>188 359</t>
  </si>
  <si>
    <t>290 728</t>
  </si>
  <si>
    <t>2 008 164</t>
  </si>
  <si>
    <t>44 225</t>
  </si>
  <si>
    <t>2 483 894</t>
  </si>
  <si>
    <t>116 785</t>
  </si>
  <si>
    <t>58 233</t>
  </si>
  <si>
    <t>294 181</t>
  </si>
  <si>
    <t>747 551</t>
  </si>
  <si>
    <t>119 797</t>
  </si>
  <si>
    <t>794 000</t>
  </si>
  <si>
    <t>285 042</t>
  </si>
  <si>
    <t>4 954 275</t>
  </si>
  <si>
    <t>313 149</t>
  </si>
  <si>
    <t>154 672</t>
  </si>
  <si>
    <t>3 608 000</t>
  </si>
  <si>
    <t>15 299 000</t>
  </si>
  <si>
    <t>11 011 000</t>
  </si>
  <si>
    <t>352 725</t>
  </si>
  <si>
    <t>227 561</t>
  </si>
  <si>
    <t>530 499</t>
  </si>
  <si>
    <t>212 160</t>
  </si>
  <si>
    <t>200 868</t>
  </si>
  <si>
    <t>184 346</t>
  </si>
  <si>
    <t>610 363</t>
  </si>
  <si>
    <t>techstep vs. Hexagon composit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</si>
</sst>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_(&quot;kr&quot;* #,##0.00_);_(&quot;kr&quot;* \(#,##0.00\);_(&quot;kr&quot;* &quot;-&quot;??_);_(@_)"/>
    <numFmt numFmtId="165" formatCode="_(* #,##0.00_);_(* \(#,##0.00\);_(* &quot;-&quot;??_);_(@_)"/>
    <numFmt numFmtId="166" formatCode="###,##0"/>
    <numFmt numFmtId="167" formatCode="0.000"/>
    <numFmt numFmtId="168" formatCode="0.00000000"/>
    <numFmt numFmtId="169" formatCode="###,##0.00000"/>
    <numFmt numFmtId="170" formatCode="#,##0.000"/>
    <numFmt numFmtId="171" formatCode="#,##0.0000"/>
    <numFmt numFmtId="172" formatCode="0.0\ %"/>
    <numFmt numFmtId="173" formatCode="_-[$kr-414]\ * #,##0.00_-;\-[$kr-414]\ * #,##0.00_-;_-[$kr-414]\ * &quot;-&quot;??_-;_-@_-"/>
    <numFmt numFmtId="174" formatCode="_-* #,##0_-;\-* #,##0_-;_-* &quot;-&quot;??_-;_-@_-"/>
    <numFmt numFmtId="175" formatCode="_(* #,##0_);_(* \(#,##0\);_(* &quot;-&quot;??_);_(@_)"/>
    <numFmt numFmtId="176" formatCode="_-* #,##0.00000000_-;\-* #,##0.00000000_-;_-* &quot;-&quot;????????_-;_-@_-"/>
    <numFmt numFmtId="177" formatCode="_-[$$-409]* #,##0.00_ ;_-[$$-409]* \-#,##0.00\ ;_-[$$-409]* &quot;-&quot;??_ ;_-@_ "/>
    <numFmt numFmtId="178" formatCode="_-[$$-409]* #,##0.00000000_ ;_-[$$-409]* \-#,##0.00000000\ ;_-[$$-409]* &quot;-&quot;????????_ ;_-@_ "/>
    <numFmt numFmtId="179" formatCode="_-[$$-409]* #,##0.0000_ ;_-[$$-409]* \-#,##0.0000\ ;_-[$$-409]* &quot;-&quot;????????_ ;_-@_ "/>
    <numFmt numFmtId="180" formatCode="_-[$$-409]* #,##0.000_ ;_-[$$-409]* \-#,##0.000\ ;_-[$$-409]* &quot;-&quot;????????_ ;_-@_ "/>
  </numFmts>
  <fonts count="88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333333"/>
      <name val="Arial"/>
      <family val="2"/>
    </font>
    <font>
      <sz val="10"/>
      <color rgb="FF333333"/>
      <name val="Arial"/>
      <family val="2"/>
    </font>
    <font>
      <b/>
      <sz val="12"/>
      <color rgb="FF001489"/>
      <name val="Arial"/>
      <family val="2"/>
    </font>
    <font>
      <sz val="10"/>
      <color rgb="FF555555"/>
      <name val="Arial"/>
      <family val="2"/>
    </font>
    <font>
      <b/>
      <sz val="10"/>
      <color rgb="FF555555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001489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1"/>
      <color theme="1"/>
      <name val="Calibri"/>
      <family val="2"/>
      <charset val="204"/>
      <scheme val="minor"/>
    </font>
    <font>
      <sz val="16"/>
      <color rgb="FF333333"/>
      <name val="Arial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</font>
    <font>
      <sz val="11"/>
      <color rgb="FF000000"/>
      <name val="Inherit"/>
    </font>
    <font>
      <sz val="11"/>
      <color rgb="FF001489"/>
      <name val="Inherit"/>
    </font>
    <font>
      <sz val="10"/>
      <color rgb="FF333333"/>
      <name val="Open Sans"/>
      <family val="2"/>
    </font>
    <font>
      <sz val="10"/>
      <color rgb="FF46566E"/>
      <name val="Open Sans"/>
      <family val="2"/>
    </font>
    <font>
      <sz val="11"/>
      <color rgb="FF000000"/>
      <name val="Open Sans"/>
      <family val="2"/>
    </font>
    <font>
      <sz val="9"/>
      <color rgb="FF001489"/>
      <name val="Open Sans"/>
      <family val="2"/>
    </font>
    <font>
      <sz val="12"/>
      <color rgb="FF000000"/>
      <name val="Open Sans"/>
      <family val="2"/>
    </font>
    <font>
      <sz val="10"/>
      <color rgb="FF000000"/>
      <name val="Open Sans"/>
      <family val="2"/>
    </font>
    <font>
      <sz val="15"/>
      <color rgb="FF333333"/>
      <name val="Open Sans"/>
      <family val="2"/>
    </font>
    <font>
      <sz val="11"/>
      <color rgb="FF46566E"/>
      <name val="Inherit"/>
    </font>
    <font>
      <sz val="10"/>
      <color rgb="FF46566E"/>
      <name val="Inherit"/>
    </font>
    <font>
      <sz val="10"/>
      <color rgb="FF534D77"/>
      <name val="Open Sans"/>
      <family val="2"/>
    </font>
    <font>
      <sz val="11"/>
      <color rgb="FFFFFFFF"/>
      <name val="Inherit"/>
    </font>
    <font>
      <sz val="11"/>
      <color rgb="FF555555"/>
      <name val="Inherit"/>
    </font>
    <font>
      <sz val="11"/>
      <color rgb="FF555555"/>
      <name val="Open Sans"/>
      <family val="2"/>
    </font>
    <font>
      <sz val="11"/>
      <color rgb="FF333333"/>
      <name val="Open Sans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charset val="204"/>
      <scheme val="minor"/>
    </font>
    <font>
      <sz val="11"/>
      <color rgb="FF333333"/>
      <name val="Arial"/>
      <family val="2"/>
    </font>
    <font>
      <sz val="14"/>
      <color rgb="FF333333"/>
      <name val="Arial"/>
      <family val="2"/>
    </font>
    <font>
      <sz val="14"/>
      <color rgb="FF000000"/>
      <name val="Arial"/>
      <family val="2"/>
    </font>
    <font>
      <sz val="12"/>
      <color rgb="FF333333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Arial"/>
      <family val="2"/>
    </font>
    <font>
      <b/>
      <sz val="10"/>
      <color rgb="FF333333"/>
      <name val="Open Sans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color rgb="FF000000"/>
      <name val="Calibri Light"/>
      <family val="2"/>
      <scheme val="major"/>
    </font>
    <font>
      <b/>
      <sz val="11"/>
      <color rgb="FF002855"/>
      <name val="Calibri Light"/>
      <family val="2"/>
      <scheme val="major"/>
    </font>
    <font>
      <b/>
      <sz val="11"/>
      <color rgb="FF333333"/>
      <name val="Roboto"/>
    </font>
    <font>
      <sz val="11"/>
      <color rgb="FF333333"/>
      <name val="Roboto"/>
    </font>
    <font>
      <b/>
      <sz val="22"/>
      <color rgb="FF000000"/>
      <name val="Calibri"/>
      <family val="2"/>
    </font>
    <font>
      <b/>
      <sz val="10"/>
      <color rgb="FFFF0000"/>
      <name val="Arial"/>
      <family val="2"/>
    </font>
    <font>
      <b/>
      <sz val="14.3"/>
      <color rgb="FF333333"/>
      <name val="Roboto"/>
    </font>
    <font>
      <b/>
      <sz val="10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charset val="204"/>
      <scheme val="minor"/>
    </font>
    <font>
      <sz val="11"/>
      <name val="Segoe UI Historic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sz val="14"/>
      <color rgb="FFFF0000"/>
      <name val="Arial"/>
      <family val="2"/>
    </font>
    <font>
      <sz val="14"/>
      <color rgb="FFFFC000"/>
      <name val="Calibri"/>
      <family val="2"/>
    </font>
    <font>
      <sz val="15"/>
      <color rgb="FFFF000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AAAAAA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499984740745262"/>
        <bgColor indexed="64"/>
      </patternFill>
    </fill>
  </fills>
  <borders count="49">
    <border>
      <left/>
      <right/>
      <top/>
      <bottom/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E87722"/>
      </top>
      <bottom style="thin">
        <color rgb="FFA0A0A0"/>
      </bottom>
      <diagonal/>
    </border>
    <border>
      <left/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A0A0A0"/>
      </right>
      <top style="thin">
        <color rgb="FFA0A0A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A0A0A0"/>
      </left>
      <right style="thin">
        <color rgb="FFA0A0A0"/>
      </right>
      <top/>
      <bottom style="thick">
        <color rgb="FFD6DDE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0A0A0"/>
      </left>
      <right/>
      <top/>
      <bottom style="thin">
        <color rgb="FFA0A0A0"/>
      </bottom>
      <diagonal/>
    </border>
    <border>
      <left style="thin">
        <color rgb="FFA0A0A0"/>
      </left>
      <right/>
      <top style="thin">
        <color rgb="FFA0A0A0"/>
      </top>
      <bottom/>
      <diagonal/>
    </border>
    <border>
      <left style="thin">
        <color rgb="FFA0A0A0"/>
      </left>
      <right/>
      <top/>
      <bottom/>
      <diagonal/>
    </border>
    <border>
      <left/>
      <right style="thin">
        <color rgb="FFA0A0A0"/>
      </right>
      <top style="thin">
        <color rgb="FFE87722"/>
      </top>
      <bottom style="thin">
        <color rgb="FFA0A0A0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D6DDE4"/>
      </left>
      <right style="medium">
        <color rgb="FFD6DDE4"/>
      </right>
      <top style="medium">
        <color rgb="FFD6DDE4"/>
      </top>
      <bottom style="medium">
        <color rgb="FFD6DDE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13">
    <xf numFmtId="0" fontId="0" fillId="0" borderId="0"/>
    <xf numFmtId="9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1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50" fillId="22" borderId="0" applyNumberFormat="0" applyBorder="0" applyAlignment="0" applyProtection="0"/>
    <xf numFmtId="0" fontId="51" fillId="23" borderId="0" applyNumberFormat="0" applyBorder="0" applyAlignment="0" applyProtection="0"/>
    <xf numFmtId="0" fontId="52" fillId="25" borderId="24" applyNumberFormat="0" applyAlignment="0" applyProtection="0"/>
    <xf numFmtId="0" fontId="53" fillId="26" borderId="25" applyNumberFormat="0" applyAlignment="0" applyProtection="0"/>
    <xf numFmtId="0" fontId="54" fillId="26" borderId="24" applyNumberFormat="0" applyAlignment="0" applyProtection="0"/>
    <xf numFmtId="0" fontId="55" fillId="0" borderId="26" applyNumberFormat="0" applyFill="0" applyAlignment="0" applyProtection="0"/>
    <xf numFmtId="0" fontId="56" fillId="27" borderId="27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9" applyNumberFormat="0" applyFill="0" applyAlignment="0" applyProtection="0"/>
    <xf numFmtId="0" fontId="60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0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60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60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60" fillId="45" borderId="0" applyNumberFormat="0" applyBorder="0" applyAlignment="0" applyProtection="0"/>
    <xf numFmtId="0" fontId="7" fillId="46" borderId="0" applyNumberFormat="0" applyBorder="0" applyAlignment="0" applyProtection="0"/>
    <xf numFmtId="0" fontId="7" fillId="47" borderId="0" applyNumberFormat="0" applyBorder="0" applyAlignment="0" applyProtection="0"/>
    <xf numFmtId="0" fontId="60" fillId="49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0" borderId="0"/>
    <xf numFmtId="0" fontId="61" fillId="24" borderId="0" applyNumberFormat="0" applyBorder="0" applyAlignment="0" applyProtection="0"/>
    <xf numFmtId="0" fontId="7" fillId="28" borderId="28" applyNumberFormat="0" applyFont="0" applyAlignment="0" applyProtection="0"/>
    <xf numFmtId="0" fontId="60" fillId="32" borderId="0" applyNumberFormat="0" applyBorder="0" applyAlignment="0" applyProtection="0"/>
    <xf numFmtId="0" fontId="60" fillId="36" borderId="0" applyNumberFormat="0" applyBorder="0" applyAlignment="0" applyProtection="0"/>
    <xf numFmtId="0" fontId="60" fillId="40" borderId="0" applyNumberFormat="0" applyBorder="0" applyAlignment="0" applyProtection="0"/>
    <xf numFmtId="164" fontId="13" fillId="0" borderId="0" applyFont="0" applyFill="0" applyBorder="0" applyAlignment="0" applyProtection="0"/>
    <xf numFmtId="0" fontId="60" fillId="44" borderId="0" applyNumberFormat="0" applyBorder="0" applyAlignment="0" applyProtection="0"/>
    <xf numFmtId="165" fontId="13" fillId="0" borderId="0" applyFont="0" applyFill="0" applyBorder="0" applyAlignment="0" applyProtection="0"/>
    <xf numFmtId="0" fontId="60" fillId="48" borderId="0" applyNumberFormat="0" applyBorder="0" applyAlignment="0" applyProtection="0"/>
    <xf numFmtId="0" fontId="60" fillId="52" borderId="0" applyNumberFormat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28" borderId="28" applyNumberFormat="0" applyFon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76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46" borderId="0" applyNumberFormat="0" applyBorder="0" applyAlignment="0" applyProtection="0"/>
    <xf numFmtId="0" fontId="5" fillId="47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0" borderId="0"/>
    <xf numFmtId="0" fontId="5" fillId="28" borderId="28" applyNumberFormat="0" applyFon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46" borderId="0" applyNumberFormat="0" applyBorder="0" applyAlignment="0" applyProtection="0"/>
    <xf numFmtId="0" fontId="5" fillId="47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0" borderId="0"/>
    <xf numFmtId="0" fontId="5" fillId="28" borderId="28" applyNumberFormat="0" applyFon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0" fontId="4" fillId="28" borderId="28" applyNumberFormat="0" applyFon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0" fontId="4" fillId="28" borderId="28" applyNumberFormat="0" applyFon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0" fontId="4" fillId="28" borderId="28" applyNumberFormat="0" applyFon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0" fontId="4" fillId="28" borderId="28" applyNumberFormat="0" applyFon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81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28" borderId="28" applyNumberFormat="0" applyFont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28" borderId="28" applyNumberFormat="0" applyFont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28" borderId="28" applyNumberFormat="0" applyFont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28" borderId="28" applyNumberFormat="0" applyFont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28" borderId="28" applyNumberFormat="0" applyFont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28" borderId="28" applyNumberFormat="0" applyFont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28" borderId="28" applyNumberFormat="0" applyFont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28" borderId="28" applyNumberFormat="0" applyFont="0" applyAlignment="0" applyProtection="0"/>
  </cellStyleXfs>
  <cellXfs count="961">
    <xf numFmtId="0" fontId="0" fillId="0" borderId="0" xfId="0"/>
    <xf numFmtId="0" fontId="0" fillId="2" borderId="0" xfId="0" applyFill="1"/>
    <xf numFmtId="0" fontId="0" fillId="2" borderId="0" xfId="0" applyFill="1"/>
    <xf numFmtId="0" fontId="0" fillId="2" borderId="0" xfId="0" applyFill="1" applyAlignment="1"/>
    <xf numFmtId="0" fontId="12" fillId="3" borderId="1" xfId="0" applyFont="1" applyFill="1" applyBorder="1" applyAlignment="1">
      <alignment horizontal="right" vertical="center" wrapText="1"/>
    </xf>
    <xf numFmtId="166" fontId="8" fillId="2" borderId="1" xfId="0" applyNumberFormat="1" applyFont="1" applyFill="1" applyBorder="1" applyAlignment="1">
      <alignment horizontal="right" vertical="top"/>
    </xf>
    <xf numFmtId="0" fontId="11" fillId="3" borderId="0" xfId="0" applyFont="1" applyFill="1" applyBorder="1" applyAlignment="1">
      <alignment horizontal="left" vertical="center" wrapText="1"/>
    </xf>
    <xf numFmtId="166" fontId="9" fillId="3" borderId="0" xfId="0" applyNumberFormat="1" applyFont="1" applyFill="1" applyBorder="1" applyAlignment="1">
      <alignment horizontal="right" vertical="top"/>
    </xf>
    <xf numFmtId="0" fontId="9" fillId="3" borderId="0" xfId="0" applyFont="1" applyFill="1" applyBorder="1" applyAlignment="1">
      <alignment horizontal="right" vertical="top" wrapText="1"/>
    </xf>
    <xf numFmtId="3" fontId="9" fillId="3" borderId="0" xfId="0" applyNumberFormat="1" applyFont="1" applyFill="1" applyBorder="1" applyAlignment="1">
      <alignment horizontal="right" vertical="top"/>
    </xf>
    <xf numFmtId="0" fontId="13" fillId="0" borderId="0" xfId="0" applyFont="1"/>
    <xf numFmtId="0" fontId="12" fillId="3" borderId="0" xfId="0" applyFont="1" applyFill="1" applyBorder="1" applyAlignment="1">
      <alignment horizontal="right" vertical="center" wrapText="1"/>
    </xf>
    <xf numFmtId="0" fontId="12" fillId="3" borderId="0" xfId="0" applyFont="1" applyFill="1" applyBorder="1" applyAlignment="1">
      <alignment horizontal="left" vertical="center" wrapText="1"/>
    </xf>
    <xf numFmtId="166" fontId="8" fillId="3" borderId="0" xfId="0" applyNumberFormat="1" applyFont="1" applyFill="1" applyBorder="1" applyAlignment="1">
      <alignment horizontal="right" vertical="top"/>
    </xf>
    <xf numFmtId="0" fontId="11" fillId="3" borderId="2" xfId="0" applyFont="1" applyFill="1" applyBorder="1" applyAlignment="1">
      <alignment horizontal="left" vertical="center" wrapText="1"/>
    </xf>
    <xf numFmtId="166" fontId="9" fillId="3" borderId="2" xfId="0" applyNumberFormat="1" applyFont="1" applyFill="1" applyBorder="1" applyAlignment="1">
      <alignment horizontal="right" vertical="top"/>
    </xf>
    <xf numFmtId="0" fontId="0" fillId="2" borderId="0" xfId="0" applyFill="1" applyBorder="1"/>
    <xf numFmtId="0" fontId="0" fillId="0" borderId="0" xfId="0" applyBorder="1"/>
    <xf numFmtId="0" fontId="11" fillId="3" borderId="3" xfId="0" applyFont="1" applyFill="1" applyBorder="1" applyAlignment="1">
      <alignment horizontal="left" vertical="center" wrapText="1"/>
    </xf>
    <xf numFmtId="166" fontId="9" fillId="3" borderId="3" xfId="0" applyNumberFormat="1" applyFont="1" applyFill="1" applyBorder="1" applyAlignment="1">
      <alignment horizontal="right" vertical="top"/>
    </xf>
    <xf numFmtId="0" fontId="12" fillId="3" borderId="3" xfId="0" applyFont="1" applyFill="1" applyBorder="1" applyAlignment="1">
      <alignment horizontal="left" vertical="center" wrapText="1"/>
    </xf>
    <xf numFmtId="166" fontId="8" fillId="3" borderId="3" xfId="0" applyNumberFormat="1" applyFont="1" applyFill="1" applyBorder="1" applyAlignment="1">
      <alignment horizontal="right" vertical="top"/>
    </xf>
    <xf numFmtId="4" fontId="9" fillId="3" borderId="0" xfId="0" applyNumberFormat="1" applyFont="1" applyFill="1" applyBorder="1" applyAlignment="1">
      <alignment horizontal="right" vertical="top"/>
    </xf>
    <xf numFmtId="0" fontId="9" fillId="3" borderId="2" xfId="0" applyFont="1" applyFill="1" applyBorder="1" applyAlignment="1">
      <alignment horizontal="right" vertical="top" wrapText="1"/>
    </xf>
    <xf numFmtId="4" fontId="9" fillId="3" borderId="2" xfId="0" applyNumberFormat="1" applyFont="1" applyFill="1" applyBorder="1" applyAlignment="1">
      <alignment horizontal="right" vertical="top"/>
    </xf>
    <xf numFmtId="3" fontId="9" fillId="3" borderId="2" xfId="0" applyNumberFormat="1" applyFont="1" applyFill="1" applyBorder="1" applyAlignment="1">
      <alignment horizontal="right" vertical="top"/>
    </xf>
    <xf numFmtId="0" fontId="13" fillId="2" borderId="0" xfId="0" applyFont="1" applyFill="1" applyBorder="1"/>
    <xf numFmtId="0" fontId="10" fillId="2" borderId="0" xfId="0" applyFont="1" applyFill="1" applyAlignment="1">
      <alignment vertical="top" wrapText="1"/>
    </xf>
    <xf numFmtId="0" fontId="14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top" wrapText="1"/>
    </xf>
    <xf numFmtId="166" fontId="16" fillId="3" borderId="4" xfId="0" applyNumberFormat="1" applyFont="1" applyFill="1" applyBorder="1" applyAlignment="1">
      <alignment horizontal="right" vertical="top"/>
    </xf>
    <xf numFmtId="166" fontId="0" fillId="2" borderId="0" xfId="0" applyNumberFormat="1" applyFill="1" applyBorder="1"/>
    <xf numFmtId="4" fontId="16" fillId="3" borderId="4" xfId="0" applyNumberFormat="1" applyFont="1" applyFill="1" applyBorder="1" applyAlignment="1">
      <alignment horizontal="right" vertical="top"/>
    </xf>
    <xf numFmtId="3" fontId="16" fillId="3" borderId="4" xfId="0" applyNumberFormat="1" applyFont="1" applyFill="1" applyBorder="1" applyAlignment="1">
      <alignment horizontal="right" vertical="top"/>
    </xf>
    <xf numFmtId="0" fontId="16" fillId="3" borderId="4" xfId="0" applyFont="1" applyFill="1" applyBorder="1" applyAlignment="1">
      <alignment horizontal="right" vertical="top" wrapText="1"/>
    </xf>
    <xf numFmtId="166" fontId="17" fillId="3" borderId="5" xfId="0" applyNumberFormat="1" applyFont="1" applyFill="1" applyBorder="1" applyAlignment="1">
      <alignment horizontal="right" vertical="top"/>
    </xf>
    <xf numFmtId="0" fontId="18" fillId="0" borderId="0" xfId="0" applyFont="1"/>
    <xf numFmtId="166" fontId="8" fillId="3" borderId="5" xfId="0" applyNumberFormat="1" applyFont="1" applyFill="1" applyBorder="1" applyAlignment="1">
      <alignment horizontal="right" vertical="top"/>
    </xf>
    <xf numFmtId="0" fontId="13" fillId="2" borderId="0" xfId="0" applyFont="1" applyFill="1"/>
    <xf numFmtId="166" fontId="9" fillId="3" borderId="4" xfId="0" applyNumberFormat="1" applyFont="1" applyFill="1" applyBorder="1" applyAlignment="1">
      <alignment horizontal="right" vertical="top"/>
    </xf>
    <xf numFmtId="4" fontId="9" fillId="3" borderId="4" xfId="0" applyNumberFormat="1" applyFont="1" applyFill="1" applyBorder="1" applyAlignment="1">
      <alignment horizontal="right" vertical="top"/>
    </xf>
    <xf numFmtId="3" fontId="9" fillId="3" borderId="4" xfId="0" applyNumberFormat="1" applyFont="1" applyFill="1" applyBorder="1" applyAlignment="1">
      <alignment horizontal="right" vertical="top"/>
    </xf>
    <xf numFmtId="0" fontId="9" fillId="3" borderId="4" xfId="0" applyFont="1" applyFill="1" applyBorder="1" applyAlignment="1">
      <alignment horizontal="right" vertical="top" wrapText="1"/>
    </xf>
    <xf numFmtId="0" fontId="13" fillId="4" borderId="0" xfId="0" applyFont="1" applyFill="1"/>
    <xf numFmtId="4" fontId="9" fillId="5" borderId="4" xfId="0" applyNumberFormat="1" applyFont="1" applyFill="1" applyBorder="1" applyAlignment="1">
      <alignment horizontal="right" vertical="top"/>
    </xf>
    <xf numFmtId="4" fontId="9" fillId="5" borderId="6" xfId="0" applyNumberFormat="1" applyFont="1" applyFill="1" applyBorder="1" applyAlignment="1">
      <alignment horizontal="right" vertical="top"/>
    </xf>
    <xf numFmtId="3" fontId="9" fillId="5" borderId="4" xfId="0" applyNumberFormat="1" applyFont="1" applyFill="1" applyBorder="1" applyAlignment="1">
      <alignment horizontal="right" vertical="top"/>
    </xf>
    <xf numFmtId="0" fontId="9" fillId="5" borderId="6" xfId="0" applyFont="1" applyFill="1" applyBorder="1" applyAlignment="1">
      <alignment horizontal="right" vertical="top" wrapText="1"/>
    </xf>
    <xf numFmtId="3" fontId="9" fillId="5" borderId="6" xfId="0" applyNumberFormat="1" applyFont="1" applyFill="1" applyBorder="1" applyAlignment="1">
      <alignment horizontal="right" vertical="top"/>
    </xf>
    <xf numFmtId="0" fontId="14" fillId="0" borderId="7" xfId="0" applyFont="1" applyBorder="1"/>
    <xf numFmtId="0" fontId="13" fillId="0" borderId="7" xfId="0" applyFont="1" applyBorder="1"/>
    <xf numFmtId="0" fontId="0" fillId="0" borderId="7" xfId="0" applyBorder="1"/>
    <xf numFmtId="0" fontId="13" fillId="6" borderId="7" xfId="0" applyFont="1" applyFill="1" applyBorder="1"/>
    <xf numFmtId="0" fontId="13" fillId="7" borderId="7" xfId="0" applyFont="1" applyFill="1" applyBorder="1"/>
    <xf numFmtId="0" fontId="13" fillId="8" borderId="7" xfId="0" applyFont="1" applyFill="1" applyBorder="1"/>
    <xf numFmtId="0" fontId="22" fillId="9" borderId="7" xfId="0" applyFont="1" applyFill="1" applyBorder="1"/>
    <xf numFmtId="0" fontId="22" fillId="10" borderId="7" xfId="0" applyFont="1" applyFill="1" applyBorder="1"/>
    <xf numFmtId="0" fontId="22" fillId="12" borderId="7" xfId="0" applyFont="1" applyFill="1" applyBorder="1"/>
    <xf numFmtId="0" fontId="13" fillId="13" borderId="7" xfId="0" applyFont="1" applyFill="1" applyBorder="1"/>
    <xf numFmtId="166" fontId="8" fillId="3" borderId="7" xfId="0" applyNumberFormat="1" applyFont="1" applyFill="1" applyBorder="1" applyAlignment="1">
      <alignment horizontal="right" vertical="top"/>
    </xf>
    <xf numFmtId="166" fontId="9" fillId="3" borderId="9" xfId="0" applyNumberFormat="1" applyFont="1" applyFill="1" applyBorder="1" applyAlignment="1">
      <alignment horizontal="right" vertical="top"/>
    </xf>
    <xf numFmtId="10" fontId="0" fillId="0" borderId="7" xfId="1" applyNumberFormat="1" applyFont="1" applyBorder="1"/>
    <xf numFmtId="0" fontId="0" fillId="0" borderId="10" xfId="0" applyBorder="1"/>
    <xf numFmtId="10" fontId="14" fillId="0" borderId="7" xfId="0" applyNumberFormat="1" applyFont="1" applyBorder="1"/>
    <xf numFmtId="0" fontId="21" fillId="11" borderId="8" xfId="0" applyFont="1" applyFill="1" applyBorder="1" applyAlignment="1"/>
    <xf numFmtId="0" fontId="14" fillId="0" borderId="0" xfId="0" applyFont="1" applyBorder="1"/>
    <xf numFmtId="166" fontId="16" fillId="3" borderId="7" xfId="0" applyNumberFormat="1" applyFont="1" applyFill="1" applyBorder="1" applyAlignment="1">
      <alignment horizontal="right" vertical="top"/>
    </xf>
    <xf numFmtId="0" fontId="14" fillId="6" borderId="7" xfId="0" applyFont="1" applyFill="1" applyBorder="1" applyAlignment="1"/>
    <xf numFmtId="166" fontId="8" fillId="2" borderId="0" xfId="0" applyNumberFormat="1" applyFont="1" applyFill="1" applyBorder="1" applyAlignment="1">
      <alignment horizontal="right" vertical="top"/>
    </xf>
    <xf numFmtId="0" fontId="13" fillId="6" borderId="7" xfId="0" applyFont="1" applyFill="1" applyBorder="1" applyAlignment="1">
      <alignment horizontal="center"/>
    </xf>
    <xf numFmtId="0" fontId="13" fillId="6" borderId="7" xfId="0" applyFont="1" applyFill="1" applyBorder="1" applyAlignment="1"/>
    <xf numFmtId="1" fontId="0" fillId="0" borderId="7" xfId="0" applyNumberFormat="1" applyBorder="1"/>
    <xf numFmtId="166" fontId="16" fillId="3" borderId="0" xfId="0" applyNumberFormat="1" applyFont="1" applyFill="1" applyBorder="1" applyAlignment="1">
      <alignment horizontal="right" vertical="top"/>
    </xf>
    <xf numFmtId="0" fontId="13" fillId="0" borderId="11" xfId="0" applyFont="1" applyBorder="1"/>
    <xf numFmtId="166" fontId="16" fillId="3" borderId="3" xfId="0" applyNumberFormat="1" applyFont="1" applyFill="1" applyBorder="1" applyAlignment="1">
      <alignment horizontal="right" vertical="top"/>
    </xf>
    <xf numFmtId="1" fontId="0" fillId="0" borderId="11" xfId="0" applyNumberFormat="1" applyBorder="1"/>
    <xf numFmtId="10" fontId="0" fillId="0" borderId="11" xfId="1" applyNumberFormat="1" applyFont="1" applyBorder="1"/>
    <xf numFmtId="0" fontId="14" fillId="6" borderId="12" xfId="0" applyFont="1" applyFill="1" applyBorder="1" applyAlignment="1"/>
    <xf numFmtId="0" fontId="13" fillId="0" borderId="12" xfId="0" applyFont="1" applyBorder="1"/>
    <xf numFmtId="166" fontId="8" fillId="3" borderId="11" xfId="0" applyNumberFormat="1" applyFont="1" applyFill="1" applyBorder="1" applyAlignment="1">
      <alignment horizontal="right" vertical="top"/>
    </xf>
    <xf numFmtId="166" fontId="16" fillId="3" borderId="11" xfId="0" applyNumberFormat="1" applyFont="1" applyFill="1" applyBorder="1" applyAlignment="1">
      <alignment horizontal="right" vertical="top"/>
    </xf>
    <xf numFmtId="0" fontId="21" fillId="14" borderId="8" xfId="0" applyFont="1" applyFill="1" applyBorder="1" applyAlignment="1"/>
    <xf numFmtId="0" fontId="22" fillId="14" borderId="7" xfId="0" applyFont="1" applyFill="1" applyBorder="1"/>
    <xf numFmtId="0" fontId="22" fillId="14" borderId="10" xfId="0" applyFont="1" applyFill="1" applyBorder="1"/>
    <xf numFmtId="10" fontId="0" fillId="14" borderId="7" xfId="1" applyNumberFormat="1" applyFont="1" applyFill="1" applyBorder="1"/>
    <xf numFmtId="10" fontId="0" fillId="14" borderId="11" xfId="1" applyNumberFormat="1" applyFont="1" applyFill="1" applyBorder="1"/>
    <xf numFmtId="0" fontId="0" fillId="15" borderId="0" xfId="0" applyFill="1" applyBorder="1"/>
    <xf numFmtId="0" fontId="0" fillId="15" borderId="0" xfId="0" applyFill="1"/>
    <xf numFmtId="0" fontId="12" fillId="15" borderId="1" xfId="0" applyFont="1" applyFill="1" applyBorder="1" applyAlignment="1">
      <alignment horizontal="right" vertical="center" wrapText="1"/>
    </xf>
    <xf numFmtId="166" fontId="17" fillId="15" borderId="5" xfId="0" applyNumberFormat="1" applyFont="1" applyFill="1" applyBorder="1" applyAlignment="1">
      <alignment horizontal="right" vertical="top"/>
    </xf>
    <xf numFmtId="0" fontId="12" fillId="15" borderId="3" xfId="0" applyFont="1" applyFill="1" applyBorder="1" applyAlignment="1">
      <alignment horizontal="left" vertical="center" wrapText="1"/>
    </xf>
    <xf numFmtId="166" fontId="16" fillId="15" borderId="4" xfId="0" applyNumberFormat="1" applyFont="1" applyFill="1" applyBorder="1" applyAlignment="1">
      <alignment horizontal="right" vertical="top"/>
    </xf>
    <xf numFmtId="0" fontId="11" fillId="15" borderId="2" xfId="0" applyFont="1" applyFill="1" applyBorder="1" applyAlignment="1">
      <alignment horizontal="left" vertical="center" wrapText="1"/>
    </xf>
    <xf numFmtId="0" fontId="12" fillId="15" borderId="0" xfId="0" applyFont="1" applyFill="1" applyBorder="1" applyAlignment="1">
      <alignment horizontal="left" vertical="center" wrapText="1"/>
    </xf>
    <xf numFmtId="166" fontId="8" fillId="15" borderId="0" xfId="0" applyNumberFormat="1" applyFont="1" applyFill="1" applyBorder="1" applyAlignment="1">
      <alignment horizontal="right" vertical="top"/>
    </xf>
    <xf numFmtId="0" fontId="11" fillId="15" borderId="3" xfId="0" applyFont="1" applyFill="1" applyBorder="1" applyAlignment="1">
      <alignment horizontal="left" vertical="center" wrapText="1"/>
    </xf>
    <xf numFmtId="4" fontId="16" fillId="15" borderId="4" xfId="0" applyNumberFormat="1" applyFont="1" applyFill="1" applyBorder="1" applyAlignment="1">
      <alignment horizontal="right" vertical="top"/>
    </xf>
    <xf numFmtId="3" fontId="16" fillId="15" borderId="4" xfId="0" applyNumberFormat="1" applyFont="1" applyFill="1" applyBorder="1" applyAlignment="1">
      <alignment horizontal="right" vertical="top"/>
    </xf>
    <xf numFmtId="0" fontId="16" fillId="15" borderId="4" xfId="0" applyFont="1" applyFill="1" applyBorder="1" applyAlignment="1">
      <alignment horizontal="right" vertical="top" wrapText="1"/>
    </xf>
    <xf numFmtId="166" fontId="9" fillId="15" borderId="0" xfId="0" applyNumberFormat="1" applyFont="1" applyFill="1" applyBorder="1" applyAlignment="1">
      <alignment horizontal="right" vertical="top"/>
    </xf>
    <xf numFmtId="0" fontId="13" fillId="15" borderId="0" xfId="0" applyFont="1" applyFill="1" applyBorder="1"/>
    <xf numFmtId="0" fontId="23" fillId="15" borderId="0" xfId="0" applyFont="1" applyFill="1" applyBorder="1"/>
    <xf numFmtId="0" fontId="18" fillId="15" borderId="0" xfId="0" applyFont="1" applyFill="1"/>
    <xf numFmtId="0" fontId="11" fillId="3" borderId="13" xfId="0" applyFont="1" applyFill="1" applyBorder="1" applyAlignment="1">
      <alignment horizontal="left" vertical="center" wrapText="1"/>
    </xf>
    <xf numFmtId="0" fontId="0" fillId="16" borderId="0" xfId="0" applyFill="1" applyBorder="1"/>
    <xf numFmtId="0" fontId="25" fillId="16" borderId="0" xfId="0" applyFont="1" applyFill="1" applyBorder="1" applyAlignment="1">
      <alignment horizontal="center" vertical="center"/>
    </xf>
    <xf numFmtId="0" fontId="27" fillId="16" borderId="0" xfId="0" applyFont="1" applyFill="1" applyBorder="1" applyAlignment="1">
      <alignment horizontal="left" vertical="center" indent="1"/>
    </xf>
    <xf numFmtId="0" fontId="31" fillId="16" borderId="0" xfId="0" applyFont="1" applyFill="1" applyBorder="1" applyAlignment="1">
      <alignment vertical="top" wrapText="1" indent="1"/>
    </xf>
    <xf numFmtId="0" fontId="24" fillId="16" borderId="0" xfId="0" applyFont="1" applyFill="1" applyBorder="1" applyAlignment="1">
      <alignment vertical="center" wrapText="1"/>
    </xf>
    <xf numFmtId="0" fontId="32" fillId="16" borderId="0" xfId="0" applyFont="1" applyFill="1" applyBorder="1" applyAlignment="1">
      <alignment vertical="center" wrapText="1"/>
    </xf>
    <xf numFmtId="0" fontId="26" fillId="16" borderId="0" xfId="0" applyFont="1" applyFill="1" applyBorder="1" applyAlignment="1">
      <alignment horizontal="left" vertical="center" indent="1"/>
    </xf>
    <xf numFmtId="0" fontId="27" fillId="16" borderId="0" xfId="0" applyFont="1" applyFill="1" applyBorder="1" applyAlignment="1">
      <alignment horizontal="center" vertical="center"/>
    </xf>
    <xf numFmtId="0" fontId="27" fillId="16" borderId="0" xfId="0" applyFont="1" applyFill="1" applyBorder="1" applyAlignment="1">
      <alignment horizontal="left" vertical="center"/>
    </xf>
    <xf numFmtId="0" fontId="33" fillId="16" borderId="0" xfId="0" applyFont="1" applyFill="1" applyBorder="1" applyAlignment="1">
      <alignment horizontal="right" vertical="center"/>
    </xf>
    <xf numFmtId="0" fontId="26" fillId="16" borderId="0" xfId="0" applyFont="1" applyFill="1" applyBorder="1" applyAlignment="1">
      <alignment horizontal="right" vertical="center"/>
    </xf>
    <xf numFmtId="0" fontId="0" fillId="16" borderId="0" xfId="0" applyFill="1" applyBorder="1" applyAlignment="1">
      <alignment vertical="center"/>
    </xf>
    <xf numFmtId="0" fontId="34" fillId="16" borderId="0" xfId="0" applyFont="1" applyFill="1" applyBorder="1" applyAlignment="1">
      <alignment horizontal="right" vertical="center"/>
    </xf>
    <xf numFmtId="0" fontId="35" fillId="16" borderId="0" xfId="0" applyFont="1" applyFill="1" applyBorder="1" applyAlignment="1">
      <alignment horizontal="left" vertical="center" indent="2"/>
    </xf>
    <xf numFmtId="14" fontId="36" fillId="16" borderId="0" xfId="0" applyNumberFormat="1" applyFont="1" applyFill="1" applyBorder="1" applyAlignment="1">
      <alignment horizontal="left" vertical="center" wrapText="1" indent="1"/>
    </xf>
    <xf numFmtId="0" fontId="36" fillId="16" borderId="0" xfId="0" applyFont="1" applyFill="1" applyBorder="1" applyAlignment="1">
      <alignment horizontal="left" vertical="center" wrapText="1" indent="1"/>
    </xf>
    <xf numFmtId="0" fontId="0" fillId="16" borderId="0" xfId="0" applyFill="1" applyBorder="1" applyAlignment="1">
      <alignment horizontal="left" vertical="center" wrapText="1" indent="1"/>
    </xf>
    <xf numFmtId="0" fontId="28" fillId="16" borderId="0" xfId="0" applyFont="1" applyFill="1" applyBorder="1" applyAlignment="1">
      <alignment horizontal="left" vertical="center" wrapText="1" indent="1"/>
    </xf>
    <xf numFmtId="0" fontId="37" fillId="16" borderId="0" xfId="0" applyFont="1" applyFill="1" applyBorder="1" applyAlignment="1">
      <alignment horizontal="left" vertical="center" wrapText="1" indent="1"/>
    </xf>
    <xf numFmtId="0" fontId="38" fillId="16" borderId="0" xfId="0" applyFont="1" applyFill="1" applyBorder="1" applyAlignment="1">
      <alignment horizontal="left" vertical="center" wrapText="1" indent="1"/>
    </xf>
    <xf numFmtId="0" fontId="39" fillId="16" borderId="0" xfId="0" applyFont="1" applyFill="1" applyBorder="1" applyAlignment="1">
      <alignment horizontal="right" vertical="center" wrapText="1" indent="1"/>
    </xf>
    <xf numFmtId="0" fontId="38" fillId="16" borderId="0" xfId="0" applyFont="1" applyFill="1" applyBorder="1" applyAlignment="1">
      <alignment horizontal="left" vertical="center" wrapText="1" indent="3"/>
    </xf>
    <xf numFmtId="0" fontId="41" fillId="0" borderId="0" xfId="0" applyFont="1"/>
    <xf numFmtId="0" fontId="18" fillId="17" borderId="0" xfId="0" applyFont="1" applyFill="1"/>
    <xf numFmtId="0" fontId="0" fillId="17" borderId="0" xfId="0" applyFill="1"/>
    <xf numFmtId="0" fontId="13" fillId="17" borderId="0" xfId="0" applyFont="1" applyFill="1"/>
    <xf numFmtId="0" fontId="23" fillId="17" borderId="0" xfId="0" applyFont="1" applyFill="1"/>
    <xf numFmtId="0" fontId="12" fillId="17" borderId="1" xfId="0" applyFont="1" applyFill="1" applyBorder="1" applyAlignment="1">
      <alignment horizontal="right" vertical="center" wrapText="1"/>
    </xf>
    <xf numFmtId="166" fontId="8" fillId="17" borderId="5" xfId="0" applyNumberFormat="1" applyFont="1" applyFill="1" applyBorder="1" applyAlignment="1">
      <alignment horizontal="right" vertical="top"/>
    </xf>
    <xf numFmtId="0" fontId="12" fillId="17" borderId="3" xfId="0" applyFont="1" applyFill="1" applyBorder="1" applyAlignment="1">
      <alignment horizontal="left" vertical="center" wrapText="1"/>
    </xf>
    <xf numFmtId="166" fontId="9" fillId="17" borderId="4" xfId="0" applyNumberFormat="1" applyFont="1" applyFill="1" applyBorder="1" applyAlignment="1">
      <alignment horizontal="right" vertical="top"/>
    </xf>
    <xf numFmtId="0" fontId="11" fillId="17" borderId="2" xfId="0" applyFont="1" applyFill="1" applyBorder="1" applyAlignment="1">
      <alignment horizontal="left" vertical="center" wrapText="1"/>
    </xf>
    <xf numFmtId="0" fontId="12" fillId="17" borderId="0" xfId="0" applyFont="1" applyFill="1" applyBorder="1" applyAlignment="1">
      <alignment horizontal="left" vertical="center" wrapText="1"/>
    </xf>
    <xf numFmtId="166" fontId="8" fillId="17" borderId="0" xfId="0" applyNumberFormat="1" applyFont="1" applyFill="1" applyBorder="1" applyAlignment="1">
      <alignment horizontal="right" vertical="top"/>
    </xf>
    <xf numFmtId="0" fontId="11" fillId="17" borderId="3" xfId="0" applyFont="1" applyFill="1" applyBorder="1" applyAlignment="1">
      <alignment horizontal="left" vertical="center" wrapText="1"/>
    </xf>
    <xf numFmtId="4" fontId="9" fillId="17" borderId="4" xfId="0" applyNumberFormat="1" applyFont="1" applyFill="1" applyBorder="1" applyAlignment="1">
      <alignment horizontal="right" vertical="top"/>
    </xf>
    <xf numFmtId="0" fontId="9" fillId="17" borderId="4" xfId="0" applyFont="1" applyFill="1" applyBorder="1" applyAlignment="1">
      <alignment horizontal="right" vertical="top" wrapText="1"/>
    </xf>
    <xf numFmtId="166" fontId="9" fillId="17" borderId="0" xfId="0" applyNumberFormat="1" applyFont="1" applyFill="1" applyBorder="1" applyAlignment="1">
      <alignment horizontal="right" vertical="top"/>
    </xf>
    <xf numFmtId="0" fontId="12" fillId="3" borderId="16" xfId="0" applyFont="1" applyFill="1" applyBorder="1" applyAlignment="1">
      <alignment horizontal="right" vertical="center" wrapText="1"/>
    </xf>
    <xf numFmtId="0" fontId="12" fillId="3" borderId="17" xfId="0" applyFont="1" applyFill="1" applyBorder="1" applyAlignment="1">
      <alignment horizontal="left" vertical="center" wrapText="1"/>
    </xf>
    <xf numFmtId="0" fontId="11" fillId="3" borderId="18" xfId="0" applyFont="1" applyFill="1" applyBorder="1" applyAlignment="1">
      <alignment horizontal="left" vertical="center" wrapText="1"/>
    </xf>
    <xf numFmtId="0" fontId="11" fillId="3" borderId="17" xfId="0" applyFont="1" applyFill="1" applyBorder="1" applyAlignment="1">
      <alignment horizontal="left" vertical="center" wrapText="1"/>
    </xf>
    <xf numFmtId="166" fontId="8" fillId="3" borderId="19" xfId="0" applyNumberFormat="1" applyFont="1" applyFill="1" applyBorder="1" applyAlignment="1">
      <alignment horizontal="right" vertical="top"/>
    </xf>
    <xf numFmtId="166" fontId="9" fillId="3" borderId="6" xfId="0" applyNumberFormat="1" applyFont="1" applyFill="1" applyBorder="1" applyAlignment="1">
      <alignment horizontal="right" vertical="top"/>
    </xf>
    <xf numFmtId="4" fontId="9" fillId="3" borderId="6" xfId="0" applyNumberFormat="1" applyFont="1" applyFill="1" applyBorder="1" applyAlignment="1">
      <alignment horizontal="right" vertical="top"/>
    </xf>
    <xf numFmtId="0" fontId="0" fillId="2" borderId="7" xfId="0" applyFill="1" applyBorder="1"/>
    <xf numFmtId="166" fontId="8" fillId="3" borderId="5" xfId="0" applyNumberFormat="1" applyFont="1" applyFill="1" applyBorder="1" applyAlignment="1">
      <alignment horizontal="right" vertical="top"/>
    </xf>
    <xf numFmtId="164" fontId="45" fillId="0" borderId="0" xfId="5" applyFont="1"/>
    <xf numFmtId="3" fontId="9" fillId="3" borderId="6" xfId="0" applyNumberFormat="1" applyFont="1" applyFill="1" applyBorder="1" applyAlignment="1">
      <alignment horizontal="right" vertical="top"/>
    </xf>
    <xf numFmtId="0" fontId="0" fillId="0" borderId="0" xfId="0"/>
    <xf numFmtId="0" fontId="13" fillId="0" borderId="0" xfId="0" applyFont="1"/>
    <xf numFmtId="3" fontId="9" fillId="16" borderId="4" xfId="0" applyNumberFormat="1" applyFont="1" applyFill="1" applyBorder="1" applyAlignment="1">
      <alignment horizontal="right" vertical="top"/>
    </xf>
    <xf numFmtId="9" fontId="14" fillId="0" borderId="0" xfId="0" applyNumberFormat="1" applyFont="1"/>
    <xf numFmtId="165" fontId="43" fillId="0" borderId="0" xfId="7" applyFont="1"/>
    <xf numFmtId="0" fontId="0" fillId="2" borderId="0" xfId="0" applyFill="1"/>
    <xf numFmtId="0" fontId="28" fillId="16" borderId="0" xfId="0" applyFont="1" applyFill="1" applyBorder="1" applyAlignment="1">
      <alignment horizontal="left" vertical="center" wrapText="1" indent="1"/>
    </xf>
    <xf numFmtId="0" fontId="36" fillId="16" borderId="0" xfId="0" applyFont="1" applyFill="1" applyBorder="1" applyAlignment="1">
      <alignment horizontal="left" vertical="center" wrapText="1" indent="1"/>
    </xf>
    <xf numFmtId="0" fontId="29" fillId="16" borderId="0" xfId="0" applyFont="1" applyFill="1" applyBorder="1" applyAlignment="1">
      <alignment horizontal="center" vertical="center" wrapText="1"/>
    </xf>
    <xf numFmtId="0" fontId="30" fillId="16" borderId="0" xfId="0" applyFont="1" applyFill="1" applyBorder="1" applyAlignment="1">
      <alignment horizontal="left" vertical="center" wrapText="1" indent="1"/>
    </xf>
    <xf numFmtId="0" fontId="0" fillId="2" borderId="8" xfId="0" applyFill="1" applyBorder="1"/>
    <xf numFmtId="14" fontId="7" fillId="53" borderId="0" xfId="43" applyNumberFormat="1" applyFill="1"/>
    <xf numFmtId="0" fontId="0" fillId="0" borderId="8" xfId="0" applyBorder="1"/>
    <xf numFmtId="0" fontId="0" fillId="0" borderId="0" xfId="0"/>
    <xf numFmtId="0" fontId="13" fillId="0" borderId="0" xfId="0" applyFont="1"/>
    <xf numFmtId="0" fontId="12" fillId="3" borderId="0" xfId="0" applyFont="1" applyFill="1" applyBorder="1" applyAlignment="1">
      <alignment horizontal="right" vertical="center" wrapText="1"/>
    </xf>
    <xf numFmtId="0" fontId="0" fillId="0" borderId="0" xfId="0" applyBorder="1"/>
    <xf numFmtId="4" fontId="63" fillId="19" borderId="30" xfId="0" applyNumberFormat="1" applyFont="1" applyFill="1" applyBorder="1" applyAlignment="1">
      <alignment horizontal="right" vertical="center" wrapText="1" indent="1"/>
    </xf>
    <xf numFmtId="4" fontId="0" fillId="2" borderId="0" xfId="0" applyNumberFormat="1" applyFill="1"/>
    <xf numFmtId="4" fontId="26" fillId="19" borderId="30" xfId="0" applyNumberFormat="1" applyFont="1" applyFill="1" applyBorder="1" applyAlignment="1">
      <alignment horizontal="right" vertical="center" wrapText="1" indent="1"/>
    </xf>
    <xf numFmtId="0" fontId="13" fillId="18" borderId="10" xfId="0" applyFont="1" applyFill="1" applyBorder="1"/>
    <xf numFmtId="166" fontId="16" fillId="3" borderId="12" xfId="0" applyNumberFormat="1" applyFont="1" applyFill="1" applyBorder="1" applyAlignment="1">
      <alignment horizontal="right" vertical="top"/>
    </xf>
    <xf numFmtId="4" fontId="26" fillId="19" borderId="7" xfId="0" applyNumberFormat="1" applyFont="1" applyFill="1" applyBorder="1" applyAlignment="1">
      <alignment horizontal="right" vertical="center" wrapText="1" indent="1"/>
    </xf>
    <xf numFmtId="4" fontId="26" fillId="19" borderId="10" xfId="0" applyNumberFormat="1" applyFont="1" applyFill="1" applyBorder="1" applyAlignment="1">
      <alignment horizontal="right" vertical="center" wrapText="1" indent="1"/>
    </xf>
    <xf numFmtId="1" fontId="0" fillId="0" borderId="31" xfId="0" applyNumberFormat="1" applyBorder="1"/>
    <xf numFmtId="2" fontId="0" fillId="2" borderId="0" xfId="0" applyNumberFormat="1" applyFill="1" applyBorder="1"/>
    <xf numFmtId="0" fontId="13" fillId="2" borderId="0" xfId="0" quotePrefix="1" applyFont="1" applyFill="1" applyBorder="1"/>
    <xf numFmtId="10" fontId="0" fillId="14" borderId="12" xfId="1" applyNumberFormat="1" applyFont="1" applyFill="1" applyBorder="1"/>
    <xf numFmtId="0" fontId="13" fillId="18" borderId="0" xfId="0" applyFont="1" applyFill="1"/>
    <xf numFmtId="0" fontId="0" fillId="18" borderId="0" xfId="0" applyFill="1" applyBorder="1"/>
    <xf numFmtId="0" fontId="0" fillId="18" borderId="0" xfId="0" applyFill="1"/>
    <xf numFmtId="0" fontId="12" fillId="18" borderId="1" xfId="0" applyFont="1" applyFill="1" applyBorder="1" applyAlignment="1">
      <alignment horizontal="right" vertical="center" wrapText="1"/>
    </xf>
    <xf numFmtId="0" fontId="43" fillId="18" borderId="0" xfId="0" applyFont="1" applyFill="1"/>
    <xf numFmtId="2" fontId="0" fillId="18" borderId="0" xfId="0" applyNumberFormat="1" applyFill="1"/>
    <xf numFmtId="0" fontId="12" fillId="18" borderId="3" xfId="0" applyFont="1" applyFill="1" applyBorder="1" applyAlignment="1">
      <alignment horizontal="left" vertical="center" wrapText="1"/>
    </xf>
    <xf numFmtId="0" fontId="44" fillId="18" borderId="0" xfId="0" applyFont="1" applyFill="1"/>
    <xf numFmtId="0" fontId="11" fillId="18" borderId="2" xfId="0" applyFont="1" applyFill="1" applyBorder="1" applyAlignment="1">
      <alignment horizontal="left" vertical="center" wrapText="1"/>
    </xf>
    <xf numFmtId="2" fontId="9" fillId="18" borderId="4" xfId="0" applyNumberFormat="1" applyFont="1" applyFill="1" applyBorder="1" applyAlignment="1">
      <alignment horizontal="right" vertical="top"/>
    </xf>
    <xf numFmtId="0" fontId="12" fillId="18" borderId="0" xfId="0" applyFont="1" applyFill="1" applyBorder="1" applyAlignment="1">
      <alignment horizontal="left" vertical="center" wrapText="1"/>
    </xf>
    <xf numFmtId="0" fontId="11" fillId="18" borderId="3" xfId="0" applyFont="1" applyFill="1" applyBorder="1" applyAlignment="1">
      <alignment horizontal="left" vertical="center" wrapText="1"/>
    </xf>
    <xf numFmtId="166" fontId="9" fillId="18" borderId="0" xfId="0" applyNumberFormat="1" applyFont="1" applyFill="1" applyBorder="1" applyAlignment="1">
      <alignment horizontal="right" vertical="top"/>
    </xf>
    <xf numFmtId="0" fontId="13" fillId="0" borderId="0" xfId="0" applyFont="1" applyBorder="1"/>
    <xf numFmtId="0" fontId="0" fillId="2" borderId="0" xfId="0" applyFill="1"/>
    <xf numFmtId="0" fontId="0" fillId="56" borderId="0" xfId="0" applyFill="1" applyBorder="1"/>
    <xf numFmtId="166" fontId="16" fillId="3" borderId="15" xfId="0" applyNumberFormat="1" applyFont="1" applyFill="1" applyBorder="1" applyAlignment="1">
      <alignment horizontal="right" vertical="top"/>
    </xf>
    <xf numFmtId="166" fontId="16" fillId="3" borderId="14" xfId="0" applyNumberFormat="1" applyFont="1" applyFill="1" applyBorder="1" applyAlignment="1">
      <alignment horizontal="right" vertical="top"/>
    </xf>
    <xf numFmtId="166" fontId="16" fillId="3" borderId="8" xfId="0" applyNumberFormat="1" applyFont="1" applyFill="1" applyBorder="1" applyAlignment="1">
      <alignment horizontal="right" vertical="top"/>
    </xf>
    <xf numFmtId="0" fontId="0" fillId="0" borderId="0" xfId="0"/>
    <xf numFmtId="0" fontId="0" fillId="3" borderId="0" xfId="0" applyFill="1"/>
    <xf numFmtId="0" fontId="12" fillId="3" borderId="1" xfId="0" applyFont="1" applyFill="1" applyBorder="1" applyAlignment="1">
      <alignment horizontal="right" vertical="center" wrapText="1"/>
    </xf>
    <xf numFmtId="166" fontId="9" fillId="3" borderId="0" xfId="0" applyNumberFormat="1" applyFont="1" applyFill="1" applyBorder="1" applyAlignment="1">
      <alignment horizontal="right" vertical="top"/>
    </xf>
    <xf numFmtId="0" fontId="13" fillId="0" borderId="0" xfId="0" applyFont="1"/>
    <xf numFmtId="0" fontId="12" fillId="3" borderId="0" xfId="0" applyFont="1" applyFill="1" applyBorder="1" applyAlignment="1">
      <alignment horizontal="right" vertical="center" wrapText="1"/>
    </xf>
    <xf numFmtId="0" fontId="12" fillId="3" borderId="0" xfId="0" applyFont="1" applyFill="1" applyBorder="1" applyAlignment="1">
      <alignment horizontal="left" vertical="center" wrapText="1"/>
    </xf>
    <xf numFmtId="166" fontId="8" fillId="3" borderId="0" xfId="0" applyNumberFormat="1" applyFont="1" applyFill="1" applyBorder="1" applyAlignment="1">
      <alignment horizontal="right" vertical="top"/>
    </xf>
    <xf numFmtId="0" fontId="11" fillId="3" borderId="2" xfId="0" applyFont="1" applyFill="1" applyBorder="1" applyAlignment="1">
      <alignment horizontal="left" vertical="center" wrapText="1"/>
    </xf>
    <xf numFmtId="0" fontId="0" fillId="0" borderId="0" xfId="0" applyBorder="1"/>
    <xf numFmtId="0" fontId="11" fillId="3" borderId="3" xfId="0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horizontal="left" vertical="center" wrapText="1"/>
    </xf>
    <xf numFmtId="166" fontId="9" fillId="3" borderId="4" xfId="0" applyNumberFormat="1" applyFont="1" applyFill="1" applyBorder="1" applyAlignment="1">
      <alignment horizontal="right" vertical="top"/>
    </xf>
    <xf numFmtId="4" fontId="9" fillId="3" borderId="4" xfId="0" applyNumberFormat="1" applyFont="1" applyFill="1" applyBorder="1" applyAlignment="1">
      <alignment horizontal="right" vertical="top"/>
    </xf>
    <xf numFmtId="3" fontId="9" fillId="3" borderId="4" xfId="0" applyNumberFormat="1" applyFont="1" applyFill="1" applyBorder="1" applyAlignment="1">
      <alignment horizontal="right" vertical="top"/>
    </xf>
    <xf numFmtId="0" fontId="9" fillId="3" borderId="4" xfId="0" applyFont="1" applyFill="1" applyBorder="1" applyAlignment="1">
      <alignment horizontal="right" vertical="top" wrapText="1"/>
    </xf>
    <xf numFmtId="166" fontId="8" fillId="3" borderId="5" xfId="0" applyNumberFormat="1" applyFont="1" applyFill="1" applyBorder="1" applyAlignment="1">
      <alignment horizontal="right" vertical="top"/>
    </xf>
    <xf numFmtId="0" fontId="18" fillId="0" borderId="0" xfId="0" applyFont="1"/>
    <xf numFmtId="0" fontId="19" fillId="0" borderId="0" xfId="0" applyFont="1"/>
    <xf numFmtId="0" fontId="13" fillId="3" borderId="0" xfId="0" applyFont="1" applyFill="1"/>
    <xf numFmtId="0" fontId="13" fillId="4" borderId="0" xfId="0" applyFont="1" applyFill="1" applyBorder="1"/>
    <xf numFmtId="0" fontId="13" fillId="0" borderId="0" xfId="0" applyFont="1" applyFill="1" applyBorder="1"/>
    <xf numFmtId="0" fontId="13" fillId="4" borderId="0" xfId="0" applyFont="1" applyFill="1"/>
    <xf numFmtId="4" fontId="9" fillId="5" borderId="6" xfId="0" applyNumberFormat="1" applyFont="1" applyFill="1" applyBorder="1" applyAlignment="1">
      <alignment horizontal="right" vertical="top"/>
    </xf>
    <xf numFmtId="3" fontId="9" fillId="5" borderId="6" xfId="0" applyNumberFormat="1" applyFont="1" applyFill="1" applyBorder="1" applyAlignment="1">
      <alignment horizontal="right" vertical="top"/>
    </xf>
    <xf numFmtId="0" fontId="42" fillId="19" borderId="20" xfId="0" applyFont="1" applyFill="1" applyBorder="1" applyAlignment="1">
      <alignment vertical="center" wrapText="1"/>
    </xf>
    <xf numFmtId="0" fontId="42" fillId="20" borderId="20" xfId="0" applyFont="1" applyFill="1" applyBorder="1" applyAlignment="1">
      <alignment vertical="center" wrapText="1"/>
    </xf>
    <xf numFmtId="0" fontId="42" fillId="0" borderId="0" xfId="0" applyFont="1"/>
    <xf numFmtId="0" fontId="43" fillId="0" borderId="0" xfId="0" applyFont="1"/>
    <xf numFmtId="17" fontId="13" fillId="21" borderId="0" xfId="0" applyNumberFormat="1" applyFont="1" applyFill="1"/>
    <xf numFmtId="0" fontId="44" fillId="0" borderId="0" xfId="0" applyFont="1"/>
    <xf numFmtId="167" fontId="9" fillId="3" borderId="4" xfId="0" applyNumberFormat="1" applyFont="1" applyFill="1" applyBorder="1" applyAlignment="1">
      <alignment horizontal="right" vertical="top"/>
    </xf>
    <xf numFmtId="2" fontId="43" fillId="0" borderId="0" xfId="0" applyNumberFormat="1" applyFont="1"/>
    <xf numFmtId="2" fontId="44" fillId="0" borderId="0" xfId="0" applyNumberFormat="1" applyFont="1"/>
    <xf numFmtId="2" fontId="0" fillId="3" borderId="0" xfId="0" applyNumberFormat="1" applyFill="1"/>
    <xf numFmtId="2" fontId="9" fillId="3" borderId="4" xfId="0" applyNumberFormat="1" applyFont="1" applyFill="1" applyBorder="1" applyAlignment="1">
      <alignment horizontal="right" vertical="top"/>
    </xf>
    <xf numFmtId="9" fontId="0" fillId="0" borderId="0" xfId="0" applyNumberFormat="1"/>
    <xf numFmtId="0" fontId="42" fillId="54" borderId="20" xfId="0" applyFont="1" applyFill="1" applyBorder="1" applyAlignment="1">
      <alignment vertical="center" wrapText="1"/>
    </xf>
    <xf numFmtId="0" fontId="62" fillId="55" borderId="20" xfId="0" applyFont="1" applyFill="1" applyBorder="1" applyAlignment="1">
      <alignment vertical="center" wrapText="1"/>
    </xf>
    <xf numFmtId="166" fontId="9" fillId="0" borderId="0" xfId="0" applyNumberFormat="1" applyFont="1"/>
    <xf numFmtId="0" fontId="13" fillId="0" borderId="0" xfId="0" applyFont="1" applyFill="1"/>
    <xf numFmtId="1" fontId="0" fillId="0" borderId="12" xfId="0" applyNumberFormat="1" applyBorder="1"/>
    <xf numFmtId="166" fontId="8" fillId="3" borderId="12" xfId="0" applyNumberFormat="1" applyFont="1" applyFill="1" applyBorder="1" applyAlignment="1">
      <alignment horizontal="right" vertical="top"/>
    </xf>
    <xf numFmtId="10" fontId="0" fillId="0" borderId="32" xfId="1" applyNumberFormat="1" applyFont="1" applyBorder="1"/>
    <xf numFmtId="10" fontId="0" fillId="14" borderId="8" xfId="1" applyNumberFormat="1" applyFont="1" applyFill="1" applyBorder="1"/>
    <xf numFmtId="0" fontId="0" fillId="0" borderId="11" xfId="0" applyBorder="1"/>
    <xf numFmtId="0" fontId="64" fillId="0" borderId="12" xfId="0" applyFont="1" applyBorder="1"/>
    <xf numFmtId="1" fontId="8" fillId="3" borderId="7" xfId="0" applyNumberFormat="1" applyFont="1" applyFill="1" applyBorder="1" applyAlignment="1">
      <alignment horizontal="right" vertical="top"/>
    </xf>
    <xf numFmtId="0" fontId="65" fillId="0" borderId="7" xfId="0" applyFont="1" applyBorder="1"/>
    <xf numFmtId="1" fontId="14" fillId="0" borderId="7" xfId="0" applyNumberFormat="1" applyFont="1" applyBorder="1"/>
    <xf numFmtId="1" fontId="14" fillId="0" borderId="7" xfId="1" applyNumberFormat="1" applyFont="1" applyBorder="1"/>
    <xf numFmtId="10" fontId="14" fillId="14" borderId="7" xfId="1" applyNumberFormat="1" applyFont="1" applyFill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9" borderId="0" xfId="0" applyFill="1"/>
    <xf numFmtId="168" fontId="66" fillId="0" borderId="7" xfId="0" applyNumberFormat="1" applyFont="1" applyBorder="1"/>
    <xf numFmtId="168" fontId="67" fillId="0" borderId="7" xfId="0" applyNumberFormat="1" applyFont="1" applyBorder="1"/>
    <xf numFmtId="168" fontId="67" fillId="19" borderId="7" xfId="0" applyNumberFormat="1" applyFont="1" applyFill="1" applyBorder="1" applyAlignment="1">
      <alignment horizontal="right" vertical="center" wrapText="1"/>
    </xf>
    <xf numFmtId="10" fontId="0" fillId="57" borderId="7" xfId="1" applyNumberFormat="1" applyFont="1" applyFill="1" applyBorder="1"/>
    <xf numFmtId="10" fontId="0" fillId="57" borderId="11" xfId="1" applyNumberFormat="1" applyFont="1" applyFill="1" applyBorder="1"/>
    <xf numFmtId="166" fontId="8" fillId="57" borderId="7" xfId="0" applyNumberFormat="1" applyFont="1" applyFill="1" applyBorder="1" applyAlignment="1">
      <alignment horizontal="right" vertical="top"/>
    </xf>
    <xf numFmtId="166" fontId="16" fillId="57" borderId="7" xfId="0" applyNumberFormat="1" applyFont="1" applyFill="1" applyBorder="1" applyAlignment="1">
      <alignment horizontal="right" vertical="top"/>
    </xf>
    <xf numFmtId="10" fontId="13" fillId="16" borderId="0" xfId="3" applyNumberFormat="1" applyFont="1" applyFill="1"/>
    <xf numFmtId="1" fontId="0" fillId="57" borderId="7" xfId="0" applyNumberFormat="1" applyFill="1" applyBorder="1"/>
    <xf numFmtId="0" fontId="13" fillId="57" borderId="7" xfId="0" applyFont="1" applyFill="1" applyBorder="1"/>
    <xf numFmtId="0" fontId="0" fillId="57" borderId="0" xfId="0" applyFill="1" applyAlignment="1">
      <alignment horizontal="center"/>
    </xf>
    <xf numFmtId="165" fontId="0" fillId="0" borderId="0" xfId="7" applyFont="1" applyBorder="1"/>
    <xf numFmtId="0" fontId="13" fillId="0" borderId="0" xfId="3"/>
    <xf numFmtId="0" fontId="40" fillId="16" borderId="0" xfId="2" applyFill="1" applyBorder="1" applyAlignment="1">
      <alignment horizontal="left" vertical="center" indent="1"/>
    </xf>
    <xf numFmtId="166" fontId="8" fillId="3" borderId="5" xfId="3" applyNumberFormat="1" applyFont="1" applyFill="1" applyBorder="1" applyAlignment="1">
      <alignment horizontal="right" vertical="top"/>
    </xf>
    <xf numFmtId="166" fontId="9" fillId="3" borderId="4" xfId="3" applyNumberFormat="1" applyFont="1" applyFill="1" applyBorder="1" applyAlignment="1">
      <alignment horizontal="right" vertical="top"/>
    </xf>
    <xf numFmtId="4" fontId="9" fillId="3" borderId="4" xfId="3" applyNumberFormat="1" applyFont="1" applyFill="1" applyBorder="1" applyAlignment="1">
      <alignment horizontal="right" vertical="top"/>
    </xf>
    <xf numFmtId="0" fontId="9" fillId="3" borderId="4" xfId="3" applyFont="1" applyFill="1" applyBorder="1" applyAlignment="1">
      <alignment horizontal="right" vertical="top" wrapText="1"/>
    </xf>
    <xf numFmtId="3" fontId="9" fillId="3" borderId="4" xfId="3" applyNumberFormat="1" applyFont="1" applyFill="1" applyBorder="1" applyAlignment="1">
      <alignment horizontal="right" vertical="top"/>
    </xf>
    <xf numFmtId="166" fontId="9" fillId="3" borderId="6" xfId="3" applyNumberFormat="1" applyFont="1" applyFill="1" applyBorder="1" applyAlignment="1">
      <alignment horizontal="right" vertical="top"/>
    </xf>
    <xf numFmtId="17" fontId="13" fillId="21" borderId="0" xfId="3" applyNumberFormat="1" applyFont="1" applyFill="1"/>
    <xf numFmtId="0" fontId="14" fillId="11" borderId="0" xfId="3" applyFont="1" applyFill="1"/>
    <xf numFmtId="0" fontId="13" fillId="0" borderId="0" xfId="3"/>
    <xf numFmtId="0" fontId="13" fillId="3" borderId="0" xfId="3" applyFill="1"/>
    <xf numFmtId="0" fontId="12" fillId="3" borderId="1" xfId="3" applyFont="1" applyFill="1" applyBorder="1" applyAlignment="1">
      <alignment horizontal="right" vertical="center" wrapText="1"/>
    </xf>
    <xf numFmtId="166" fontId="9" fillId="3" borderId="0" xfId="3" applyNumberFormat="1" applyFont="1" applyFill="1" applyBorder="1" applyAlignment="1">
      <alignment horizontal="right" vertical="top"/>
    </xf>
    <xf numFmtId="0" fontId="12" fillId="3" borderId="0" xfId="3" applyFont="1" applyFill="1" applyBorder="1" applyAlignment="1">
      <alignment horizontal="left" vertical="center" wrapText="1"/>
    </xf>
    <xf numFmtId="0" fontId="11" fillId="3" borderId="2" xfId="3" applyFont="1" applyFill="1" applyBorder="1" applyAlignment="1">
      <alignment horizontal="left" vertical="center" wrapText="1"/>
    </xf>
    <xf numFmtId="0" fontId="11" fillId="3" borderId="3" xfId="3" applyFont="1" applyFill="1" applyBorder="1" applyAlignment="1">
      <alignment horizontal="left" vertical="center" wrapText="1"/>
    </xf>
    <xf numFmtId="0" fontId="12" fillId="3" borderId="3" xfId="3" applyFont="1" applyFill="1" applyBorder="1" applyAlignment="1">
      <alignment horizontal="left" vertical="center" wrapText="1"/>
    </xf>
    <xf numFmtId="0" fontId="13" fillId="3" borderId="0" xfId="3" applyFont="1" applyFill="1"/>
    <xf numFmtId="0" fontId="43" fillId="0" borderId="0" xfId="3" applyFont="1"/>
    <xf numFmtId="0" fontId="44" fillId="0" borderId="0" xfId="3" applyFont="1"/>
    <xf numFmtId="2" fontId="13" fillId="3" borderId="0" xfId="3" applyNumberFormat="1" applyFill="1"/>
    <xf numFmtId="2" fontId="9" fillId="3" borderId="4" xfId="3" applyNumberFormat="1" applyFont="1" applyFill="1" applyBorder="1" applyAlignment="1">
      <alignment horizontal="right" vertical="top"/>
    </xf>
    <xf numFmtId="0" fontId="13" fillId="0" borderId="0" xfId="3" applyFont="1"/>
    <xf numFmtId="0" fontId="13" fillId="4" borderId="0" xfId="3" applyFont="1" applyFill="1"/>
    <xf numFmtId="166" fontId="43" fillId="0" borderId="0" xfId="3" applyNumberFormat="1" applyFont="1"/>
    <xf numFmtId="166" fontId="9" fillId="3" borderId="8" xfId="3" applyNumberFormat="1" applyFont="1" applyFill="1" applyBorder="1" applyAlignment="1">
      <alignment horizontal="right" vertical="top"/>
    </xf>
    <xf numFmtId="0" fontId="43" fillId="0" borderId="8" xfId="3" applyFont="1" applyBorder="1"/>
    <xf numFmtId="166" fontId="9" fillId="0" borderId="0" xfId="3" applyNumberFormat="1" applyFont="1"/>
    <xf numFmtId="17" fontId="13" fillId="0" borderId="0" xfId="3" applyNumberFormat="1" applyFont="1"/>
    <xf numFmtId="17" fontId="13" fillId="16" borderId="0" xfId="3" applyNumberFormat="1" applyFont="1" applyFill="1"/>
    <xf numFmtId="10" fontId="13" fillId="21" borderId="0" xfId="3" applyNumberFormat="1" applyFont="1" applyFill="1"/>
    <xf numFmtId="0" fontId="14" fillId="3" borderId="0" xfId="0" applyFont="1" applyFill="1" applyAlignment="1">
      <alignment horizontal="center"/>
    </xf>
    <xf numFmtId="0" fontId="14" fillId="0" borderId="0" xfId="0" applyFont="1" applyAlignment="1">
      <alignment horizontal="right"/>
    </xf>
    <xf numFmtId="0" fontId="0" fillId="0" borderId="0" xfId="0" applyFont="1" applyFill="1" applyBorder="1"/>
    <xf numFmtId="0" fontId="0" fillId="8" borderId="0" xfId="0" applyFill="1"/>
    <xf numFmtId="0" fontId="13" fillId="11" borderId="0" xfId="0" applyFont="1" applyFill="1" applyBorder="1"/>
    <xf numFmtId="0" fontId="0" fillId="0" borderId="0" xfId="0" applyFont="1" applyBorder="1"/>
    <xf numFmtId="0" fontId="14" fillId="0" borderId="0" xfId="0" applyFont="1" applyFill="1" applyBorder="1"/>
    <xf numFmtId="4" fontId="16" fillId="3" borderId="0" xfId="0" applyNumberFormat="1" applyFont="1" applyFill="1" applyBorder="1" applyAlignment="1">
      <alignment horizontal="right" vertical="top"/>
    </xf>
    <xf numFmtId="0" fontId="16" fillId="3" borderId="0" xfId="0" applyFont="1" applyFill="1" applyBorder="1" applyAlignment="1">
      <alignment horizontal="right" vertical="top" wrapText="1"/>
    </xf>
    <xf numFmtId="166" fontId="17" fillId="3" borderId="0" xfId="0" applyNumberFormat="1" applyFont="1" applyFill="1" applyBorder="1" applyAlignment="1">
      <alignment horizontal="right" vertical="top"/>
    </xf>
    <xf numFmtId="3" fontId="16" fillId="3" borderId="0" xfId="0" applyNumberFormat="1" applyFont="1" applyFill="1" applyBorder="1" applyAlignment="1">
      <alignment horizontal="right" vertical="top"/>
    </xf>
    <xf numFmtId="166" fontId="17" fillId="15" borderId="0" xfId="0" applyNumberFormat="1" applyFont="1" applyFill="1" applyBorder="1" applyAlignment="1">
      <alignment horizontal="right" vertical="top"/>
    </xf>
    <xf numFmtId="166" fontId="16" fillId="15" borderId="0" xfId="0" applyNumberFormat="1" applyFont="1" applyFill="1" applyBorder="1" applyAlignment="1">
      <alignment horizontal="right" vertical="top"/>
    </xf>
    <xf numFmtId="4" fontId="16" fillId="15" borderId="0" xfId="0" applyNumberFormat="1" applyFont="1" applyFill="1" applyBorder="1" applyAlignment="1">
      <alignment horizontal="right" vertical="top"/>
    </xf>
    <xf numFmtId="0" fontId="16" fillId="15" borderId="0" xfId="0" applyFont="1" applyFill="1" applyBorder="1" applyAlignment="1">
      <alignment horizontal="right" vertical="top" wrapText="1"/>
    </xf>
    <xf numFmtId="4" fontId="9" fillId="17" borderId="0" xfId="0" applyNumberFormat="1" applyFont="1" applyFill="1" applyBorder="1" applyAlignment="1">
      <alignment horizontal="right" vertical="top"/>
    </xf>
    <xf numFmtId="0" fontId="9" fillId="17" borderId="0" xfId="0" applyFont="1" applyFill="1" applyBorder="1" applyAlignment="1">
      <alignment horizontal="right" vertical="top" wrapText="1"/>
    </xf>
    <xf numFmtId="4" fontId="63" fillId="19" borderId="0" xfId="0" applyNumberFormat="1" applyFont="1" applyFill="1" applyBorder="1" applyAlignment="1">
      <alignment horizontal="right" vertical="center" wrapText="1" indent="1"/>
    </xf>
    <xf numFmtId="4" fontId="26" fillId="19" borderId="0" xfId="0" applyNumberFormat="1" applyFont="1" applyFill="1" applyBorder="1" applyAlignment="1">
      <alignment horizontal="right" vertical="center" wrapText="1" indent="1"/>
    </xf>
    <xf numFmtId="4" fontId="9" fillId="5" borderId="0" xfId="0" applyNumberFormat="1" applyFont="1" applyFill="1" applyBorder="1" applyAlignment="1">
      <alignment horizontal="right" vertical="top"/>
    </xf>
    <xf numFmtId="3" fontId="9" fillId="5" borderId="0" xfId="0" applyNumberFormat="1" applyFont="1" applyFill="1" applyBorder="1" applyAlignment="1">
      <alignment horizontal="right" vertical="top"/>
    </xf>
    <xf numFmtId="166" fontId="8" fillId="3" borderId="0" xfId="3" applyNumberFormat="1" applyFont="1" applyFill="1" applyBorder="1" applyAlignment="1">
      <alignment horizontal="right" vertical="top"/>
    </xf>
    <xf numFmtId="3" fontId="9" fillId="16" borderId="0" xfId="0" applyNumberFormat="1" applyFont="1" applyFill="1" applyBorder="1" applyAlignment="1">
      <alignment horizontal="right" vertical="top"/>
    </xf>
    <xf numFmtId="4" fontId="9" fillId="3" borderId="0" xfId="3" applyNumberFormat="1" applyFont="1" applyFill="1" applyBorder="1" applyAlignment="1">
      <alignment horizontal="right" vertical="top"/>
    </xf>
    <xf numFmtId="0" fontId="9" fillId="3" borderId="0" xfId="3" applyFont="1" applyFill="1" applyBorder="1" applyAlignment="1">
      <alignment horizontal="right" vertical="top" wrapText="1"/>
    </xf>
    <xf numFmtId="2" fontId="9" fillId="3" borderId="0" xfId="0" applyNumberFormat="1" applyFont="1" applyFill="1" applyBorder="1" applyAlignment="1">
      <alignment horizontal="right" vertical="top"/>
    </xf>
    <xf numFmtId="2" fontId="9" fillId="3" borderId="0" xfId="3" applyNumberFormat="1" applyFont="1" applyFill="1" applyBorder="1" applyAlignment="1">
      <alignment horizontal="right" vertical="top"/>
    </xf>
    <xf numFmtId="0" fontId="62" fillId="55" borderId="0" xfId="0" applyFont="1" applyFill="1" applyBorder="1" applyAlignment="1">
      <alignment vertical="center" wrapText="1"/>
    </xf>
    <xf numFmtId="0" fontId="42" fillId="19" borderId="0" xfId="0" applyFont="1" applyFill="1" applyBorder="1" applyAlignment="1">
      <alignment vertical="center" wrapText="1"/>
    </xf>
    <xf numFmtId="0" fontId="42" fillId="54" borderId="0" xfId="0" applyFont="1" applyFill="1" applyBorder="1" applyAlignment="1">
      <alignment vertical="center" wrapText="1"/>
    </xf>
    <xf numFmtId="2" fontId="9" fillId="18" borderId="0" xfId="0" applyNumberFormat="1" applyFont="1" applyFill="1" applyBorder="1" applyAlignment="1">
      <alignment horizontal="right" vertical="top"/>
    </xf>
    <xf numFmtId="0" fontId="14" fillId="57" borderId="0" xfId="0" applyFont="1" applyFill="1" applyAlignment="1">
      <alignment horizontal="center"/>
    </xf>
    <xf numFmtId="166" fontId="8" fillId="57" borderId="0" xfId="0" applyNumberFormat="1" applyFont="1" applyFill="1" applyBorder="1" applyAlignment="1">
      <alignment horizontal="right" vertical="top"/>
    </xf>
    <xf numFmtId="0" fontId="0" fillId="57" borderId="0" xfId="0" applyFill="1" applyAlignment="1">
      <alignment horizontal="left"/>
    </xf>
    <xf numFmtId="0" fontId="13" fillId="57" borderId="0" xfId="0" applyFont="1" applyFill="1" applyAlignment="1">
      <alignment horizontal="left"/>
    </xf>
    <xf numFmtId="0" fontId="68" fillId="0" borderId="0" xfId="0" applyFont="1"/>
    <xf numFmtId="0" fontId="14" fillId="8" borderId="0" xfId="0" applyFont="1" applyFill="1" applyBorder="1"/>
    <xf numFmtId="3" fontId="0" fillId="0" borderId="0" xfId="0" applyNumberFormat="1" applyBorder="1"/>
    <xf numFmtId="3" fontId="69" fillId="19" borderId="20" xfId="0" applyNumberFormat="1" applyFont="1" applyFill="1" applyBorder="1" applyAlignment="1">
      <alignment vertical="center" wrapText="1"/>
    </xf>
    <xf numFmtId="3" fontId="69" fillId="20" borderId="20" xfId="0" applyNumberFormat="1" applyFont="1" applyFill="1" applyBorder="1" applyAlignment="1">
      <alignment vertical="center" wrapText="1"/>
    </xf>
    <xf numFmtId="0" fontId="70" fillId="34" borderId="0" xfId="0" applyFont="1" applyFill="1" applyAlignment="1">
      <alignment horizontal="center"/>
    </xf>
    <xf numFmtId="0" fontId="0" fillId="34" borderId="0" xfId="0" applyFill="1" applyBorder="1"/>
    <xf numFmtId="0" fontId="8" fillId="34" borderId="0" xfId="0" applyFont="1" applyFill="1" applyAlignment="1">
      <alignment horizontal="center" vertical="top" wrapText="1"/>
    </xf>
    <xf numFmtId="166" fontId="8" fillId="34" borderId="1" xfId="0" applyNumberFormat="1" applyFont="1" applyFill="1" applyBorder="1" applyAlignment="1">
      <alignment horizontal="right" vertical="top"/>
    </xf>
    <xf numFmtId="166" fontId="8" fillId="34" borderId="0" xfId="0" applyNumberFormat="1" applyFont="1" applyFill="1" applyBorder="1" applyAlignment="1">
      <alignment horizontal="right" vertical="top"/>
    </xf>
    <xf numFmtId="0" fontId="14" fillId="15" borderId="0" xfId="0" applyFont="1" applyFill="1"/>
    <xf numFmtId="0" fontId="14" fillId="34" borderId="0" xfId="0" applyFont="1" applyFill="1" applyBorder="1" applyAlignment="1">
      <alignment horizontal="right"/>
    </xf>
    <xf numFmtId="3" fontId="0" fillId="15" borderId="0" xfId="0" applyNumberFormat="1" applyFill="1" applyBorder="1"/>
    <xf numFmtId="3" fontId="69" fillId="15" borderId="20" xfId="0" applyNumberFormat="1" applyFont="1" applyFill="1" applyBorder="1" applyAlignment="1">
      <alignment vertical="center" wrapText="1"/>
    </xf>
    <xf numFmtId="0" fontId="0" fillId="34" borderId="0" xfId="0" applyFill="1"/>
    <xf numFmtId="166" fontId="8" fillId="34" borderId="3" xfId="0" applyNumberFormat="1" applyFont="1" applyFill="1" applyBorder="1" applyAlignment="1">
      <alignment horizontal="right" vertical="top"/>
    </xf>
    <xf numFmtId="166" fontId="9" fillId="34" borderId="2" xfId="0" applyNumberFormat="1" applyFont="1" applyFill="1" applyBorder="1" applyAlignment="1">
      <alignment horizontal="right" vertical="top"/>
    </xf>
    <xf numFmtId="166" fontId="9" fillId="34" borderId="3" xfId="0" applyNumberFormat="1" applyFont="1" applyFill="1" applyBorder="1" applyAlignment="1">
      <alignment horizontal="right" vertical="top"/>
    </xf>
    <xf numFmtId="4" fontId="9" fillId="34" borderId="2" xfId="0" applyNumberFormat="1" applyFont="1" applyFill="1" applyBorder="1" applyAlignment="1">
      <alignment horizontal="right" vertical="top"/>
    </xf>
    <xf numFmtId="3" fontId="9" fillId="34" borderId="2" xfId="0" applyNumberFormat="1" applyFont="1" applyFill="1" applyBorder="1" applyAlignment="1">
      <alignment horizontal="right" vertical="top"/>
    </xf>
    <xf numFmtId="166" fontId="16" fillId="34" borderId="4" xfId="0" applyNumberFormat="1" applyFont="1" applyFill="1" applyBorder="1" applyAlignment="1">
      <alignment horizontal="right" vertical="top"/>
    </xf>
    <xf numFmtId="166" fontId="0" fillId="34" borderId="0" xfId="0" applyNumberFormat="1" applyFill="1" applyBorder="1"/>
    <xf numFmtId="4" fontId="16" fillId="34" borderId="4" xfId="0" applyNumberFormat="1" applyFont="1" applyFill="1" applyBorder="1" applyAlignment="1">
      <alignment horizontal="right" vertical="top"/>
    </xf>
    <xf numFmtId="0" fontId="16" fillId="34" borderId="4" xfId="0" applyFont="1" applyFill="1" applyBorder="1" applyAlignment="1">
      <alignment horizontal="right" vertical="top" wrapText="1"/>
    </xf>
    <xf numFmtId="166" fontId="17" fillId="34" borderId="5" xfId="0" applyNumberFormat="1" applyFont="1" applyFill="1" applyBorder="1" applyAlignment="1">
      <alignment horizontal="right" vertical="top"/>
    </xf>
    <xf numFmtId="3" fontId="9" fillId="34" borderId="0" xfId="0" applyNumberFormat="1" applyFont="1" applyFill="1" applyBorder="1" applyAlignment="1">
      <alignment horizontal="right" vertical="top"/>
    </xf>
    <xf numFmtId="3" fontId="16" fillId="34" borderId="4" xfId="0" applyNumberFormat="1" applyFont="1" applyFill="1" applyBorder="1" applyAlignment="1">
      <alignment horizontal="right" vertical="top"/>
    </xf>
    <xf numFmtId="0" fontId="13" fillId="34" borderId="0" xfId="0" applyFont="1" applyFill="1"/>
    <xf numFmtId="166" fontId="8" fillId="34" borderId="5" xfId="0" applyNumberFormat="1" applyFont="1" applyFill="1" applyBorder="1" applyAlignment="1">
      <alignment horizontal="right" vertical="top"/>
    </xf>
    <xf numFmtId="166" fontId="9" fillId="34" borderId="4" xfId="0" applyNumberFormat="1" applyFont="1" applyFill="1" applyBorder="1" applyAlignment="1">
      <alignment horizontal="right" vertical="top"/>
    </xf>
    <xf numFmtId="4" fontId="9" fillId="34" borderId="4" xfId="0" applyNumberFormat="1" applyFont="1" applyFill="1" applyBorder="1" applyAlignment="1">
      <alignment horizontal="right" vertical="top"/>
    </xf>
    <xf numFmtId="0" fontId="9" fillId="34" borderId="4" xfId="0" applyFont="1" applyFill="1" applyBorder="1" applyAlignment="1">
      <alignment horizontal="right" vertical="top" wrapText="1"/>
    </xf>
    <xf numFmtId="3" fontId="9" fillId="34" borderId="4" xfId="0" applyNumberFormat="1" applyFont="1" applyFill="1" applyBorder="1" applyAlignment="1">
      <alignment horizontal="right" vertical="top"/>
    </xf>
    <xf numFmtId="0" fontId="13" fillId="15" borderId="0" xfId="0" applyFont="1" applyFill="1"/>
    <xf numFmtId="166" fontId="8" fillId="15" borderId="5" xfId="0" applyNumberFormat="1" applyFont="1" applyFill="1" applyBorder="1" applyAlignment="1">
      <alignment horizontal="right" vertical="top"/>
    </xf>
    <xf numFmtId="166" fontId="9" fillId="15" borderId="4" xfId="0" applyNumberFormat="1" applyFont="1" applyFill="1" applyBorder="1" applyAlignment="1">
      <alignment horizontal="right" vertical="top"/>
    </xf>
    <xf numFmtId="4" fontId="9" fillId="15" borderId="4" xfId="0" applyNumberFormat="1" applyFont="1" applyFill="1" applyBorder="1" applyAlignment="1">
      <alignment horizontal="right" vertical="top"/>
    </xf>
    <xf numFmtId="0" fontId="9" fillId="15" borderId="4" xfId="0" applyFont="1" applyFill="1" applyBorder="1" applyAlignment="1">
      <alignment horizontal="right" vertical="top" wrapText="1"/>
    </xf>
    <xf numFmtId="4" fontId="63" fillId="15" borderId="30" xfId="0" applyNumberFormat="1" applyFont="1" applyFill="1" applyBorder="1" applyAlignment="1">
      <alignment horizontal="right" vertical="center" wrapText="1" indent="1"/>
    </xf>
    <xf numFmtId="4" fontId="0" fillId="34" borderId="0" xfId="0" applyNumberFormat="1" applyFill="1"/>
    <xf numFmtId="4" fontId="26" fillId="15" borderId="30" xfId="0" applyNumberFormat="1" applyFont="1" applyFill="1" applyBorder="1" applyAlignment="1">
      <alignment horizontal="right" vertical="center" wrapText="1" indent="1"/>
    </xf>
    <xf numFmtId="4" fontId="9" fillId="58" borderId="6" xfId="0" applyNumberFormat="1" applyFont="1" applyFill="1" applyBorder="1" applyAlignment="1">
      <alignment horizontal="right" vertical="top"/>
    </xf>
    <xf numFmtId="0" fontId="9" fillId="58" borderId="6" xfId="0" applyFont="1" applyFill="1" applyBorder="1" applyAlignment="1">
      <alignment horizontal="right" vertical="top" wrapText="1"/>
    </xf>
    <xf numFmtId="166" fontId="8" fillId="34" borderId="5" xfId="3" applyNumberFormat="1" applyFont="1" applyFill="1" applyBorder="1" applyAlignment="1">
      <alignment horizontal="right" vertical="top"/>
    </xf>
    <xf numFmtId="166" fontId="9" fillId="34" borderId="4" xfId="3" applyNumberFormat="1" applyFont="1" applyFill="1" applyBorder="1" applyAlignment="1">
      <alignment horizontal="right" vertical="top"/>
    </xf>
    <xf numFmtId="3" fontId="9" fillId="15" borderId="4" xfId="0" applyNumberFormat="1" applyFont="1" applyFill="1" applyBorder="1" applyAlignment="1">
      <alignment horizontal="right" vertical="top"/>
    </xf>
    <xf numFmtId="4" fontId="9" fillId="34" borderId="4" xfId="3" applyNumberFormat="1" applyFont="1" applyFill="1" applyBorder="1" applyAlignment="1">
      <alignment horizontal="right" vertical="top"/>
    </xf>
    <xf numFmtId="0" fontId="9" fillId="34" borderId="4" xfId="3" applyFont="1" applyFill="1" applyBorder="1" applyAlignment="1">
      <alignment horizontal="right" vertical="top" wrapText="1"/>
    </xf>
    <xf numFmtId="0" fontId="42" fillId="15" borderId="20" xfId="0" applyFont="1" applyFill="1" applyBorder="1" applyAlignment="1">
      <alignment vertical="center" wrapText="1"/>
    </xf>
    <xf numFmtId="0" fontId="43" fillId="15" borderId="0" xfId="0" applyFont="1" applyFill="1"/>
    <xf numFmtId="167" fontId="9" fillId="34" borderId="4" xfId="0" applyNumberFormat="1" applyFont="1" applyFill="1" applyBorder="1" applyAlignment="1">
      <alignment horizontal="right" vertical="top"/>
    </xf>
    <xf numFmtId="2" fontId="43" fillId="15" borderId="0" xfId="0" applyNumberFormat="1" applyFont="1" applyFill="1"/>
    <xf numFmtId="2" fontId="0" fillId="34" borderId="0" xfId="0" applyNumberFormat="1" applyFill="1"/>
    <xf numFmtId="164" fontId="45" fillId="15" borderId="0" xfId="5" applyFont="1" applyFill="1"/>
    <xf numFmtId="2" fontId="9" fillId="34" borderId="4" xfId="0" applyNumberFormat="1" applyFont="1" applyFill="1" applyBorder="1" applyAlignment="1">
      <alignment horizontal="right" vertical="top"/>
    </xf>
    <xf numFmtId="0" fontId="13" fillId="34" borderId="0" xfId="3" applyFont="1" applyFill="1"/>
    <xf numFmtId="0" fontId="43" fillId="15" borderId="0" xfId="3" applyFont="1" applyFill="1"/>
    <xf numFmtId="2" fontId="13" fillId="34" borderId="0" xfId="3" applyNumberFormat="1" applyFill="1"/>
    <xf numFmtId="2" fontId="9" fillId="34" borderId="4" xfId="3" applyNumberFormat="1" applyFont="1" applyFill="1" applyBorder="1" applyAlignment="1">
      <alignment horizontal="right" vertical="top"/>
    </xf>
    <xf numFmtId="0" fontId="13" fillId="15" borderId="0" xfId="3" applyFill="1"/>
    <xf numFmtId="166" fontId="43" fillId="15" borderId="0" xfId="3" applyNumberFormat="1" applyFont="1" applyFill="1"/>
    <xf numFmtId="0" fontId="43" fillId="15" borderId="8" xfId="3" applyFont="1" applyFill="1" applyBorder="1"/>
    <xf numFmtId="2" fontId="0" fillId="15" borderId="0" xfId="0" applyNumberFormat="1" applyFill="1"/>
    <xf numFmtId="2" fontId="9" fillId="15" borderId="4" xfId="0" applyNumberFormat="1" applyFont="1" applyFill="1" applyBorder="1" applyAlignment="1">
      <alignment horizontal="right" vertical="top"/>
    </xf>
    <xf numFmtId="166" fontId="9" fillId="15" borderId="0" xfId="3" applyNumberFormat="1" applyFont="1" applyFill="1"/>
    <xf numFmtId="166" fontId="9" fillId="15" borderId="0" xfId="0" applyNumberFormat="1" applyFont="1" applyFill="1"/>
    <xf numFmtId="166" fontId="9" fillId="2" borderId="0" xfId="0" applyNumberFormat="1" applyFont="1" applyFill="1" applyBorder="1" applyAlignment="1">
      <alignment horizontal="right" vertical="top"/>
    </xf>
    <xf numFmtId="166" fontId="9" fillId="34" borderId="0" xfId="0" applyNumberFormat="1" applyFont="1" applyFill="1" applyBorder="1" applyAlignment="1">
      <alignment horizontal="right" vertical="top"/>
    </xf>
    <xf numFmtId="0" fontId="8" fillId="2" borderId="0" xfId="0" applyNumberFormat="1" applyFont="1" applyFill="1" applyBorder="1" applyAlignment="1">
      <alignment horizontal="right" vertical="top"/>
    </xf>
    <xf numFmtId="0" fontId="12" fillId="3" borderId="8" xfId="0" applyFont="1" applyFill="1" applyBorder="1" applyAlignment="1">
      <alignment horizontal="right" vertical="center" wrapText="1"/>
    </xf>
    <xf numFmtId="166" fontId="8" fillId="2" borderId="8" xfId="0" applyNumberFormat="1" applyFont="1" applyFill="1" applyBorder="1" applyAlignment="1">
      <alignment horizontal="right" vertical="top"/>
    </xf>
    <xf numFmtId="166" fontId="8" fillId="34" borderId="8" xfId="0" applyNumberFormat="1" applyFont="1" applyFill="1" applyBorder="1" applyAlignment="1">
      <alignment horizontal="right" vertical="top"/>
    </xf>
    <xf numFmtId="0" fontId="13" fillId="0" borderId="8" xfId="0" applyFont="1" applyBorder="1"/>
    <xf numFmtId="0" fontId="71" fillId="3" borderId="0" xfId="0" applyFont="1" applyFill="1" applyBorder="1" applyAlignment="1">
      <alignment horizontal="right" vertical="center" wrapText="1"/>
    </xf>
    <xf numFmtId="0" fontId="8" fillId="3" borderId="0" xfId="0" applyNumberFormat="1" applyFont="1" applyFill="1" applyBorder="1" applyAlignment="1">
      <alignment horizontal="right" vertical="top"/>
    </xf>
    <xf numFmtId="0" fontId="72" fillId="0" borderId="0" xfId="0" applyFont="1"/>
    <xf numFmtId="0" fontId="13" fillId="16" borderId="7" xfId="0" applyFont="1" applyFill="1" applyBorder="1"/>
    <xf numFmtId="166" fontId="8" fillId="2" borderId="0" xfId="0" quotePrefix="1" applyNumberFormat="1" applyFont="1" applyFill="1" applyBorder="1" applyAlignment="1">
      <alignment horizontal="right" vertical="top"/>
    </xf>
    <xf numFmtId="0" fontId="0" fillId="16" borderId="0" xfId="0" applyFill="1" applyAlignment="1">
      <alignment horizontal="left"/>
    </xf>
    <xf numFmtId="0" fontId="14" fillId="16" borderId="7" xfId="0" applyFont="1" applyFill="1" applyBorder="1"/>
    <xf numFmtId="166" fontId="9" fillId="16" borderId="0" xfId="0" applyNumberFormat="1" applyFont="1" applyFill="1" applyBorder="1" applyAlignment="1">
      <alignment horizontal="right" vertical="top"/>
    </xf>
    <xf numFmtId="166" fontId="8" fillId="16" borderId="0" xfId="0" applyNumberFormat="1" applyFont="1" applyFill="1" applyBorder="1" applyAlignment="1">
      <alignment horizontal="right" vertical="top"/>
    </xf>
    <xf numFmtId="0" fontId="12" fillId="3" borderId="2" xfId="0" applyFont="1" applyFill="1" applyBorder="1" applyAlignment="1">
      <alignment horizontal="left" vertical="center" wrapText="1"/>
    </xf>
    <xf numFmtId="0" fontId="73" fillId="3" borderId="2" xfId="0" applyFont="1" applyFill="1" applyBorder="1" applyAlignment="1">
      <alignment horizontal="left" vertical="center" wrapText="1"/>
    </xf>
    <xf numFmtId="169" fontId="8" fillId="2" borderId="0" xfId="0" applyNumberFormat="1" applyFont="1" applyFill="1" applyBorder="1" applyAlignment="1">
      <alignment horizontal="right" vertical="top"/>
    </xf>
    <xf numFmtId="0" fontId="68" fillId="0" borderId="8" xfId="0" applyFont="1" applyBorder="1"/>
    <xf numFmtId="166" fontId="9" fillId="3" borderId="8" xfId="0" applyNumberFormat="1" applyFont="1" applyFill="1" applyBorder="1" applyAlignment="1">
      <alignment horizontal="right" vertical="top"/>
    </xf>
    <xf numFmtId="166" fontId="9" fillId="2" borderId="8" xfId="0" applyNumberFormat="1" applyFont="1" applyFill="1" applyBorder="1" applyAlignment="1">
      <alignment horizontal="right" vertical="top"/>
    </xf>
    <xf numFmtId="166" fontId="9" fillId="34" borderId="8" xfId="0" applyNumberFormat="1" applyFont="1" applyFill="1" applyBorder="1" applyAlignment="1">
      <alignment horizontal="right" vertical="top"/>
    </xf>
    <xf numFmtId="0" fontId="8" fillId="15" borderId="0" xfId="0" applyNumberFormat="1" applyFont="1" applyFill="1" applyBorder="1" applyAlignment="1">
      <alignment horizontal="right" vertical="top"/>
    </xf>
    <xf numFmtId="0" fontId="14" fillId="16" borderId="0" xfId="0" applyFont="1" applyFill="1" applyBorder="1" applyAlignment="1">
      <alignment horizontal="right"/>
    </xf>
    <xf numFmtId="0" fontId="14" fillId="13" borderId="7" xfId="0" applyFont="1" applyFill="1" applyBorder="1" applyAlignment="1"/>
    <xf numFmtId="0" fontId="21" fillId="12" borderId="8" xfId="0" applyFont="1" applyFill="1" applyBorder="1" applyAlignment="1"/>
    <xf numFmtId="0" fontId="21" fillId="10" borderId="8" xfId="0" applyFont="1" applyFill="1" applyBorder="1" applyAlignment="1"/>
    <xf numFmtId="0" fontId="21" fillId="9" borderId="8" xfId="0" applyFont="1" applyFill="1" applyBorder="1" applyAlignment="1"/>
    <xf numFmtId="0" fontId="14" fillId="8" borderId="8" xfId="0" applyFont="1" applyFill="1" applyBorder="1" applyAlignment="1"/>
    <xf numFmtId="0" fontId="14" fillId="7" borderId="8" xfId="0" applyFont="1" applyFill="1" applyBorder="1" applyAlignment="1"/>
    <xf numFmtId="0" fontId="14" fillId="6" borderId="0" xfId="0" applyFont="1" applyFill="1" applyBorder="1" applyAlignment="1"/>
    <xf numFmtId="0" fontId="0" fillId="2" borderId="0" xfId="0" applyFill="1" applyAlignment="1">
      <alignment horizontal="center"/>
    </xf>
    <xf numFmtId="0" fontId="0" fillId="59" borderId="7" xfId="0" applyFill="1" applyBorder="1"/>
    <xf numFmtId="0" fontId="0" fillId="0" borderId="0" xfId="0" applyAlignment="1">
      <alignment horizontal="left"/>
    </xf>
    <xf numFmtId="0" fontId="74" fillId="59" borderId="7" xfId="0" applyFont="1" applyFill="1" applyBorder="1" applyAlignment="1"/>
    <xf numFmtId="0" fontId="74" fillId="59" borderId="7" xfId="0" applyFont="1" applyFill="1" applyBorder="1"/>
    <xf numFmtId="0" fontId="75" fillId="59" borderId="7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ill="1" applyBorder="1"/>
    <xf numFmtId="9" fontId="0" fillId="0" borderId="7" xfId="1" applyFont="1" applyBorder="1"/>
    <xf numFmtId="3" fontId="0" fillId="2" borderId="7" xfId="0" applyNumberFormat="1" applyFill="1" applyBorder="1" applyAlignment="1"/>
    <xf numFmtId="3" fontId="0" fillId="0" borderId="7" xfId="0" applyNumberFormat="1" applyBorder="1"/>
    <xf numFmtId="3" fontId="0" fillId="2" borderId="7" xfId="0" applyNumberFormat="1" applyFill="1" applyBorder="1"/>
    <xf numFmtId="3" fontId="9" fillId="2" borderId="7" xfId="0" applyNumberFormat="1" applyFont="1" applyFill="1" applyBorder="1" applyAlignment="1">
      <alignment horizontal="right" vertical="top"/>
    </xf>
    <xf numFmtId="3" fontId="9" fillId="2" borderId="7" xfId="0" applyNumberFormat="1" applyFont="1" applyFill="1" applyBorder="1" applyAlignment="1">
      <alignment horizontal="right" vertical="top" wrapText="1"/>
    </xf>
    <xf numFmtId="3" fontId="9" fillId="3" borderId="7" xfId="0" applyNumberFormat="1" applyFont="1" applyFill="1" applyBorder="1" applyAlignment="1">
      <alignment horizontal="right" vertical="top"/>
    </xf>
    <xf numFmtId="3" fontId="9" fillId="3" borderId="7" xfId="0" applyNumberFormat="1" applyFont="1" applyFill="1" applyBorder="1" applyAlignment="1">
      <alignment horizontal="right" vertical="top" wrapText="1"/>
    </xf>
    <xf numFmtId="0" fontId="0" fillId="0" borderId="7" xfId="0" applyBorder="1" applyAlignment="1">
      <alignment horizontal="left"/>
    </xf>
    <xf numFmtId="0" fontId="13" fillId="0" borderId="7" xfId="0" applyFont="1" applyBorder="1" applyAlignment="1">
      <alignment horizontal="left"/>
    </xf>
    <xf numFmtId="10" fontId="13" fillId="16" borderId="7" xfId="3" applyNumberFormat="1" applyFont="1" applyFill="1" applyBorder="1"/>
    <xf numFmtId="17" fontId="13" fillId="16" borderId="7" xfId="3" applyNumberFormat="1" applyFont="1" applyFill="1" applyBorder="1"/>
    <xf numFmtId="9" fontId="13" fillId="16" borderId="7" xfId="1" applyFont="1" applyFill="1" applyBorder="1"/>
    <xf numFmtId="9" fontId="13" fillId="16" borderId="7" xfId="3" applyNumberFormat="1" applyFont="1" applyFill="1" applyBorder="1"/>
    <xf numFmtId="9" fontId="0" fillId="16" borderId="7" xfId="1" applyFont="1" applyFill="1" applyBorder="1"/>
    <xf numFmtId="3" fontId="43" fillId="0" borderId="0" xfId="0" applyNumberFormat="1" applyFont="1"/>
    <xf numFmtId="3" fontId="43" fillId="15" borderId="0" xfId="0" applyNumberFormat="1" applyFont="1" applyFill="1"/>
    <xf numFmtId="3" fontId="0" fillId="3" borderId="0" xfId="0" applyNumberFormat="1" applyFill="1"/>
    <xf numFmtId="3" fontId="0" fillId="34" borderId="0" xfId="0" applyNumberFormat="1" applyFill="1"/>
    <xf numFmtId="3" fontId="44" fillId="0" borderId="0" xfId="0" applyNumberFormat="1" applyFont="1"/>
    <xf numFmtId="0" fontId="14" fillId="0" borderId="0" xfId="3" applyFont="1"/>
    <xf numFmtId="0" fontId="76" fillId="0" borderId="0" xfId="76"/>
    <xf numFmtId="0" fontId="77" fillId="0" borderId="0" xfId="76" applyFont="1"/>
    <xf numFmtId="0" fontId="13" fillId="61" borderId="34" xfId="0" applyFont="1" applyFill="1" applyBorder="1" applyAlignment="1"/>
    <xf numFmtId="0" fontId="0" fillId="16" borderId="0" xfId="0" applyFill="1"/>
    <xf numFmtId="0" fontId="13" fillId="0" borderId="0" xfId="3"/>
    <xf numFmtId="0" fontId="13" fillId="3" borderId="0" xfId="3" applyFill="1"/>
    <xf numFmtId="0" fontId="13" fillId="3" borderId="0" xfId="3" applyFill="1" applyAlignment="1"/>
    <xf numFmtId="0" fontId="12" fillId="3" borderId="1" xfId="3" applyFont="1" applyFill="1" applyBorder="1" applyAlignment="1">
      <alignment horizontal="right" vertical="center" wrapText="1"/>
    </xf>
    <xf numFmtId="166" fontId="8" fillId="3" borderId="1" xfId="3" applyNumberFormat="1" applyFont="1" applyFill="1" applyBorder="1" applyAlignment="1">
      <alignment horizontal="right" vertical="top"/>
    </xf>
    <xf numFmtId="0" fontId="11" fillId="3" borderId="0" xfId="3" applyFont="1" applyFill="1" applyBorder="1" applyAlignment="1">
      <alignment horizontal="left" vertical="center" wrapText="1"/>
    </xf>
    <xf numFmtId="166" fontId="9" fillId="3" borderId="0" xfId="3" applyNumberFormat="1" applyFont="1" applyFill="1" applyBorder="1" applyAlignment="1">
      <alignment horizontal="right" vertical="top"/>
    </xf>
    <xf numFmtId="3" fontId="9" fillId="3" borderId="0" xfId="3" applyNumberFormat="1" applyFont="1" applyFill="1" applyBorder="1" applyAlignment="1">
      <alignment horizontal="right" vertical="top"/>
    </xf>
    <xf numFmtId="0" fontId="13" fillId="0" borderId="0" xfId="3" applyFont="1"/>
    <xf numFmtId="0" fontId="12" fillId="3" borderId="0" xfId="3" applyFont="1" applyFill="1" applyBorder="1" applyAlignment="1">
      <alignment horizontal="right" vertical="center" wrapText="1"/>
    </xf>
    <xf numFmtId="0" fontId="12" fillId="3" borderId="0" xfId="3" applyFont="1" applyFill="1" applyBorder="1" applyAlignment="1">
      <alignment horizontal="left" vertical="center" wrapText="1"/>
    </xf>
    <xf numFmtId="166" fontId="8" fillId="3" borderId="0" xfId="3" applyNumberFormat="1" applyFont="1" applyFill="1" applyBorder="1" applyAlignment="1">
      <alignment horizontal="right" vertical="top"/>
    </xf>
    <xf numFmtId="0" fontId="11" fillId="3" borderId="2" xfId="3" applyFont="1" applyFill="1" applyBorder="1" applyAlignment="1">
      <alignment horizontal="left" vertical="center" wrapText="1"/>
    </xf>
    <xf numFmtId="166" fontId="9" fillId="3" borderId="2" xfId="3" applyNumberFormat="1" applyFont="1" applyFill="1" applyBorder="1" applyAlignment="1">
      <alignment horizontal="right" vertical="top"/>
    </xf>
    <xf numFmtId="0" fontId="13" fillId="3" borderId="0" xfId="3" applyFill="1" applyBorder="1"/>
    <xf numFmtId="0" fontId="13" fillId="0" borderId="0" xfId="3" applyBorder="1"/>
    <xf numFmtId="0" fontId="11" fillId="3" borderId="3" xfId="3" applyFont="1" applyFill="1" applyBorder="1" applyAlignment="1">
      <alignment horizontal="left" vertical="center" wrapText="1"/>
    </xf>
    <xf numFmtId="166" fontId="9" fillId="3" borderId="3" xfId="3" applyNumberFormat="1" applyFont="1" applyFill="1" applyBorder="1" applyAlignment="1">
      <alignment horizontal="right" vertical="top"/>
    </xf>
    <xf numFmtId="0" fontId="12" fillId="3" borderId="3" xfId="3" applyFont="1" applyFill="1" applyBorder="1" applyAlignment="1">
      <alignment horizontal="left" vertical="center" wrapText="1"/>
    </xf>
    <xf numFmtId="166" fontId="8" fillId="3" borderId="3" xfId="3" applyNumberFormat="1" applyFont="1" applyFill="1" applyBorder="1" applyAlignment="1">
      <alignment horizontal="right" vertical="top"/>
    </xf>
    <xf numFmtId="0" fontId="9" fillId="3" borderId="2" xfId="3" applyFont="1" applyFill="1" applyBorder="1" applyAlignment="1">
      <alignment horizontal="right" vertical="top" wrapText="1"/>
    </xf>
    <xf numFmtId="4" fontId="9" fillId="3" borderId="2" xfId="3" applyNumberFormat="1" applyFont="1" applyFill="1" applyBorder="1" applyAlignment="1">
      <alignment horizontal="right" vertical="top"/>
    </xf>
    <xf numFmtId="3" fontId="9" fillId="3" borderId="2" xfId="3" applyNumberFormat="1" applyFont="1" applyFill="1" applyBorder="1" applyAlignment="1">
      <alignment horizontal="right" vertical="top"/>
    </xf>
    <xf numFmtId="0" fontId="13" fillId="3" borderId="0" xfId="3" applyFont="1" applyFill="1" applyBorder="1"/>
    <xf numFmtId="0" fontId="10" fillId="3" borderId="0" xfId="3" applyFont="1" applyFill="1" applyAlignment="1">
      <alignment vertical="top" wrapText="1"/>
    </xf>
    <xf numFmtId="0" fontId="14" fillId="3" borderId="0" xfId="3" applyFont="1" applyFill="1" applyAlignment="1">
      <alignment horizontal="center"/>
    </xf>
    <xf numFmtId="0" fontId="8" fillId="3" borderId="0" xfId="3" applyFont="1" applyFill="1" applyAlignment="1">
      <alignment horizontal="center" vertical="top" wrapText="1"/>
    </xf>
    <xf numFmtId="166" fontId="9" fillId="3" borderId="4" xfId="3" applyNumberFormat="1" applyFont="1" applyFill="1" applyBorder="1" applyAlignment="1">
      <alignment horizontal="right" vertical="top"/>
    </xf>
    <xf numFmtId="166" fontId="13" fillId="3" borderId="0" xfId="3" applyNumberFormat="1" applyFill="1" applyBorder="1"/>
    <xf numFmtId="4" fontId="9" fillId="3" borderId="4" xfId="3" applyNumberFormat="1" applyFont="1" applyFill="1" applyBorder="1" applyAlignment="1">
      <alignment horizontal="right" vertical="top"/>
    </xf>
    <xf numFmtId="3" fontId="9" fillId="3" borderId="4" xfId="3" applyNumberFormat="1" applyFont="1" applyFill="1" applyBorder="1" applyAlignment="1">
      <alignment horizontal="right" vertical="top"/>
    </xf>
    <xf numFmtId="0" fontId="9" fillId="3" borderId="4" xfId="3" applyFont="1" applyFill="1" applyBorder="1" applyAlignment="1">
      <alignment horizontal="right" vertical="top" wrapText="1"/>
    </xf>
    <xf numFmtId="166" fontId="8" fillId="3" borderId="5" xfId="3" applyNumberFormat="1" applyFont="1" applyFill="1" applyBorder="1" applyAlignment="1">
      <alignment horizontal="right" vertical="top"/>
    </xf>
    <xf numFmtId="0" fontId="13" fillId="4" borderId="0" xfId="3" applyFill="1" applyBorder="1"/>
    <xf numFmtId="0" fontId="18" fillId="0" borderId="0" xfId="3" applyFont="1"/>
    <xf numFmtId="0" fontId="19" fillId="0" borderId="0" xfId="3" applyFont="1"/>
    <xf numFmtId="0" fontId="13" fillId="3" borderId="0" xfId="3" applyFont="1" applyFill="1"/>
    <xf numFmtId="0" fontId="13" fillId="4" borderId="0" xfId="3" applyFont="1" applyFill="1" applyBorder="1"/>
    <xf numFmtId="0" fontId="13" fillId="0" borderId="0" xfId="3" applyFont="1" applyFill="1" applyBorder="1"/>
    <xf numFmtId="0" fontId="43" fillId="0" borderId="0" xfId="3" applyFont="1"/>
    <xf numFmtId="0" fontId="44" fillId="0" borderId="0" xfId="3" applyFont="1"/>
    <xf numFmtId="2" fontId="13" fillId="3" borderId="0" xfId="3" applyNumberFormat="1" applyFill="1"/>
    <xf numFmtId="2" fontId="9" fillId="3" borderId="4" xfId="3" applyNumberFormat="1" applyFont="1" applyFill="1" applyBorder="1" applyAlignment="1">
      <alignment horizontal="right" vertical="top"/>
    </xf>
    <xf numFmtId="0" fontId="13" fillId="21" borderId="0" xfId="3" applyFont="1" applyFill="1"/>
    <xf numFmtId="166" fontId="9" fillId="21" borderId="4" xfId="3" applyNumberFormat="1" applyFont="1" applyFill="1" applyBorder="1" applyAlignment="1">
      <alignment horizontal="right" vertical="top"/>
    </xf>
    <xf numFmtId="0" fontId="13" fillId="21" borderId="0" xfId="3" applyFont="1" applyFill="1" applyBorder="1"/>
    <xf numFmtId="0" fontId="13" fillId="21" borderId="0" xfId="3" applyFill="1" applyBorder="1"/>
    <xf numFmtId="0" fontId="14" fillId="6" borderId="31" xfId="0" applyFont="1" applyFill="1" applyBorder="1"/>
    <xf numFmtId="0" fontId="14" fillId="6" borderId="7" xfId="0" applyFont="1" applyFill="1" applyBorder="1"/>
    <xf numFmtId="0" fontId="14" fillId="7" borderId="7" xfId="0" applyFont="1" applyFill="1" applyBorder="1"/>
    <xf numFmtId="0" fontId="14" fillId="8" borderId="7" xfId="0" applyFont="1" applyFill="1" applyBorder="1"/>
    <xf numFmtId="0" fontId="21" fillId="9" borderId="7" xfId="0" applyFont="1" applyFill="1" applyBorder="1"/>
    <xf numFmtId="0" fontId="21" fillId="10" borderId="7" xfId="0" applyFont="1" applyFill="1" applyBorder="1"/>
    <xf numFmtId="0" fontId="21" fillId="12" borderId="7" xfId="0" applyFont="1" applyFill="1" applyBorder="1"/>
    <xf numFmtId="0" fontId="21" fillId="14" borderId="7" xfId="0" applyFont="1" applyFill="1" applyBorder="1"/>
    <xf numFmtId="0" fontId="21" fillId="14" borderId="10" xfId="0" applyFont="1" applyFill="1" applyBorder="1"/>
    <xf numFmtId="0" fontId="14" fillId="13" borderId="7" xfId="0" applyFont="1" applyFill="1" applyBorder="1"/>
    <xf numFmtId="0" fontId="74" fillId="2" borderId="0" xfId="0" applyFont="1" applyFill="1"/>
    <xf numFmtId="0" fontId="74" fillId="59" borderId="7" xfId="0" applyFont="1" applyFill="1" applyBorder="1" applyAlignment="1">
      <alignment horizontal="left" vertical="center" wrapText="1"/>
    </xf>
    <xf numFmtId="4" fontId="43" fillId="0" borderId="0" xfId="3" applyNumberFormat="1" applyFont="1"/>
    <xf numFmtId="3" fontId="43" fillId="0" borderId="0" xfId="3" applyNumberFormat="1" applyFont="1"/>
    <xf numFmtId="9" fontId="13" fillId="0" borderId="0" xfId="1" applyNumberFormat="1" applyFont="1"/>
    <xf numFmtId="0" fontId="14" fillId="0" borderId="0" xfId="0" applyFont="1" applyAlignment="1">
      <alignment horizontal="left"/>
    </xf>
    <xf numFmtId="0" fontId="14" fillId="8" borderId="0" xfId="0" applyFont="1" applyFill="1" applyAlignment="1">
      <alignment horizontal="left"/>
    </xf>
    <xf numFmtId="0" fontId="14" fillId="8" borderId="0" xfId="0" applyFont="1" applyFill="1" applyAlignment="1">
      <alignment horizontal="center"/>
    </xf>
    <xf numFmtId="0" fontId="78" fillId="8" borderId="0" xfId="0" applyFont="1" applyFill="1" applyAlignment="1">
      <alignment horizontal="center"/>
    </xf>
    <xf numFmtId="0" fontId="74" fillId="2" borderId="0" xfId="0" applyFont="1" applyFill="1" applyAlignment="1">
      <alignment horizontal="center"/>
    </xf>
    <xf numFmtId="0" fontId="14" fillId="0" borderId="7" xfId="0" applyFont="1" applyBorder="1" applyAlignment="1">
      <alignment horizontal="center"/>
    </xf>
    <xf numFmtId="3" fontId="0" fillId="16" borderId="7" xfId="0" applyNumberFormat="1" applyFill="1" applyBorder="1"/>
    <xf numFmtId="0" fontId="0" fillId="16" borderId="7" xfId="0" applyFill="1" applyBorder="1" applyAlignment="1">
      <alignment horizontal="left"/>
    </xf>
    <xf numFmtId="0" fontId="0" fillId="16" borderId="7" xfId="0" applyFill="1" applyBorder="1"/>
    <xf numFmtId="3" fontId="9" fillId="16" borderId="7" xfId="0" applyNumberFormat="1" applyFont="1" applyFill="1" applyBorder="1" applyAlignment="1">
      <alignment horizontal="right" vertical="top"/>
    </xf>
    <xf numFmtId="10" fontId="0" fillId="16" borderId="7" xfId="1" applyNumberFormat="1" applyFont="1" applyFill="1" applyBorder="1"/>
    <xf numFmtId="0" fontId="0" fillId="0" borderId="0" xfId="0" applyBorder="1" applyAlignment="1">
      <alignment horizontal="left"/>
    </xf>
    <xf numFmtId="3" fontId="0" fillId="2" borderId="0" xfId="0" applyNumberFormat="1" applyFill="1" applyBorder="1"/>
    <xf numFmtId="10" fontId="0" fillId="0" borderId="0" xfId="1" applyNumberFormat="1" applyFont="1" applyBorder="1"/>
    <xf numFmtId="0" fontId="74" fillId="16" borderId="0" xfId="0" applyFont="1" applyFill="1" applyBorder="1" applyAlignment="1">
      <alignment horizontal="left" vertical="center" wrapText="1"/>
    </xf>
    <xf numFmtId="170" fontId="0" fillId="2" borderId="7" xfId="0" applyNumberFormat="1" applyFill="1" applyBorder="1"/>
    <xf numFmtId="0" fontId="21" fillId="11" borderId="7" xfId="0" applyFont="1" applyFill="1" applyBorder="1" applyAlignment="1"/>
    <xf numFmtId="0" fontId="13" fillId="8" borderId="7" xfId="0" applyFont="1" applyFill="1" applyBorder="1" applyAlignment="1">
      <alignment horizontal="center"/>
    </xf>
    <xf numFmtId="0" fontId="13" fillId="9" borderId="7" xfId="0" applyFont="1" applyFill="1" applyBorder="1" applyAlignment="1"/>
    <xf numFmtId="0" fontId="13" fillId="10" borderId="7" xfId="0" applyFont="1" applyFill="1" applyBorder="1" applyAlignment="1">
      <alignment horizontal="center"/>
    </xf>
    <xf numFmtId="0" fontId="14" fillId="11" borderId="7" xfId="0" applyFont="1" applyFill="1" applyBorder="1" applyAlignment="1"/>
    <xf numFmtId="0" fontId="14" fillId="60" borderId="7" xfId="0" applyFont="1" applyFill="1" applyBorder="1" applyAlignment="1"/>
    <xf numFmtId="171" fontId="0" fillId="2" borderId="7" xfId="0" applyNumberFormat="1" applyFill="1" applyBorder="1"/>
    <xf numFmtId="171" fontId="0" fillId="0" borderId="7" xfId="0" applyNumberFormat="1" applyBorder="1"/>
    <xf numFmtId="171" fontId="0" fillId="16" borderId="7" xfId="0" applyNumberFormat="1" applyFill="1" applyBorder="1"/>
    <xf numFmtId="172" fontId="0" fillId="16" borderId="7" xfId="1" applyNumberFormat="1" applyFont="1" applyFill="1" applyBorder="1"/>
    <xf numFmtId="3" fontId="0" fillId="0" borderId="0" xfId="0" applyNumberFormat="1"/>
    <xf numFmtId="0" fontId="74" fillId="56" borderId="7" xfId="0" applyFont="1" applyFill="1" applyBorder="1" applyAlignment="1">
      <alignment horizontal="left" vertical="center" wrapText="1"/>
    </xf>
    <xf numFmtId="0" fontId="0" fillId="64" borderId="7" xfId="0" applyFill="1" applyBorder="1" applyAlignment="1">
      <alignment horizontal="left"/>
    </xf>
    <xf numFmtId="0" fontId="21" fillId="65" borderId="7" xfId="0" applyFont="1" applyFill="1" applyBorder="1"/>
    <xf numFmtId="9" fontId="0" fillId="16" borderId="0" xfId="1" applyFont="1" applyFill="1" applyBorder="1"/>
    <xf numFmtId="10" fontId="0" fillId="16" borderId="0" xfId="1" applyNumberFormat="1" applyFont="1" applyFill="1" applyBorder="1"/>
    <xf numFmtId="172" fontId="0" fillId="16" borderId="0" xfId="1" applyNumberFormat="1" applyFont="1" applyFill="1" applyBorder="1"/>
    <xf numFmtId="0" fontId="14" fillId="61" borderId="34" xfId="0" applyFont="1" applyFill="1" applyBorder="1" applyAlignment="1">
      <alignment vertical="center"/>
    </xf>
    <xf numFmtId="0" fontId="0" fillId="56" borderId="7" xfId="0" applyFill="1" applyBorder="1"/>
    <xf numFmtId="0" fontId="13" fillId="0" borderId="0" xfId="3"/>
    <xf numFmtId="0" fontId="13" fillId="3" borderId="0" xfId="3" applyFill="1"/>
    <xf numFmtId="0" fontId="12" fillId="3" borderId="1" xfId="3" applyFont="1" applyFill="1" applyBorder="1" applyAlignment="1">
      <alignment horizontal="right" vertical="center" wrapText="1"/>
    </xf>
    <xf numFmtId="0" fontId="13" fillId="0" borderId="0" xfId="3" applyFont="1"/>
    <xf numFmtId="0" fontId="11" fillId="3" borderId="2" xfId="3" applyFont="1" applyFill="1" applyBorder="1" applyAlignment="1">
      <alignment horizontal="left" vertical="center" wrapText="1"/>
    </xf>
    <xf numFmtId="0" fontId="11" fillId="3" borderId="3" xfId="3" applyFont="1" applyFill="1" applyBorder="1" applyAlignment="1">
      <alignment horizontal="left" vertical="center" wrapText="1"/>
    </xf>
    <xf numFmtId="0" fontId="12" fillId="3" borderId="3" xfId="3" applyFont="1" applyFill="1" applyBorder="1" applyAlignment="1">
      <alignment horizontal="left" vertical="center" wrapText="1"/>
    </xf>
    <xf numFmtId="166" fontId="9" fillId="3" borderId="4" xfId="3" applyNumberFormat="1" applyFont="1" applyFill="1" applyBorder="1" applyAlignment="1">
      <alignment horizontal="right" vertical="top"/>
    </xf>
    <xf numFmtId="0" fontId="13" fillId="3" borderId="0" xfId="3" applyFont="1" applyFill="1"/>
    <xf numFmtId="0" fontId="13" fillId="18" borderId="0" xfId="3" applyFont="1" applyFill="1"/>
    <xf numFmtId="0" fontId="13" fillId="18" borderId="0" xfId="3" applyFill="1"/>
    <xf numFmtId="0" fontId="43" fillId="0" borderId="0" xfId="3" applyFont="1"/>
    <xf numFmtId="0" fontId="44" fillId="0" borderId="0" xfId="3" applyFont="1"/>
    <xf numFmtId="2" fontId="13" fillId="3" borderId="0" xfId="3" applyNumberFormat="1" applyFill="1"/>
    <xf numFmtId="2" fontId="9" fillId="3" borderId="4" xfId="3" applyNumberFormat="1" applyFont="1" applyFill="1" applyBorder="1" applyAlignment="1">
      <alignment horizontal="right" vertical="top"/>
    </xf>
    <xf numFmtId="0" fontId="74" fillId="59" borderId="7" xfId="3" applyFont="1" applyFill="1" applyBorder="1"/>
    <xf numFmtId="0" fontId="75" fillId="59" borderId="7" xfId="3" applyFont="1" applyFill="1" applyBorder="1" applyAlignment="1">
      <alignment horizontal="left" vertical="center" wrapText="1"/>
    </xf>
    <xf numFmtId="0" fontId="13" fillId="0" borderId="7" xfId="3" applyBorder="1" applyAlignment="1">
      <alignment horizontal="left"/>
    </xf>
    <xf numFmtId="0" fontId="74" fillId="59" borderId="7" xfId="3" applyFont="1" applyFill="1" applyBorder="1" applyAlignment="1">
      <alignment horizontal="left" vertical="center" wrapText="1"/>
    </xf>
    <xf numFmtId="0" fontId="43" fillId="0" borderId="0" xfId="3" applyFont="1" applyFill="1" applyBorder="1"/>
    <xf numFmtId="0" fontId="43" fillId="18" borderId="0" xfId="3" applyFont="1" applyFill="1" applyBorder="1"/>
    <xf numFmtId="0" fontId="12" fillId="3" borderId="0" xfId="3" applyFont="1" applyFill="1" applyAlignment="1">
      <alignment horizontal="left" vertical="center" wrapText="1"/>
    </xf>
    <xf numFmtId="166" fontId="9" fillId="3" borderId="0" xfId="3" applyNumberFormat="1" applyFont="1" applyFill="1" applyAlignment="1">
      <alignment horizontal="right" vertical="top"/>
    </xf>
    <xf numFmtId="0" fontId="43" fillId="0" borderId="0" xfId="3" applyFont="1" applyFill="1"/>
    <xf numFmtId="0" fontId="43" fillId="0" borderId="0" xfId="3" applyFont="1"/>
    <xf numFmtId="0" fontId="13" fillId="0" borderId="7" xfId="3" applyBorder="1" applyAlignment="1">
      <alignment horizontal="left"/>
    </xf>
    <xf numFmtId="0" fontId="74" fillId="59" borderId="7" xfId="3" applyFont="1" applyFill="1" applyBorder="1" applyAlignment="1">
      <alignment horizontal="left" vertical="center" wrapText="1"/>
    </xf>
    <xf numFmtId="0" fontId="13" fillId="16" borderId="7" xfId="0" applyFont="1" applyFill="1" applyBorder="1" applyAlignment="1">
      <alignment horizontal="left"/>
    </xf>
    <xf numFmtId="3" fontId="0" fillId="16" borderId="7" xfId="0" applyNumberFormat="1" applyFill="1" applyBorder="1" applyAlignment="1"/>
    <xf numFmtId="3" fontId="9" fillId="16" borderId="7" xfId="0" applyNumberFormat="1" applyFont="1" applyFill="1" applyBorder="1" applyAlignment="1">
      <alignment horizontal="right" vertical="top" wrapText="1"/>
    </xf>
    <xf numFmtId="0" fontId="14" fillId="8" borderId="39" xfId="0" applyFont="1" applyFill="1" applyBorder="1"/>
    <xf numFmtId="0" fontId="71" fillId="3" borderId="40" xfId="0" applyFont="1" applyFill="1" applyBorder="1" applyAlignment="1">
      <alignment horizontal="right" vertical="center" wrapText="1"/>
    </xf>
    <xf numFmtId="0" fontId="8" fillId="2" borderId="40" xfId="0" applyNumberFormat="1" applyFont="1" applyFill="1" applyBorder="1" applyAlignment="1">
      <alignment horizontal="right" vertical="top"/>
    </xf>
    <xf numFmtId="0" fontId="14" fillId="34" borderId="40" xfId="0" applyFont="1" applyFill="1" applyBorder="1" applyAlignment="1">
      <alignment horizontal="right"/>
    </xf>
    <xf numFmtId="0" fontId="8" fillId="2" borderId="41" xfId="0" applyNumberFormat="1" applyFont="1" applyFill="1" applyBorder="1" applyAlignment="1">
      <alignment horizontal="right" vertical="top"/>
    </xf>
    <xf numFmtId="0" fontId="68" fillId="0" borderId="42" xfId="0" applyFont="1" applyBorder="1"/>
    <xf numFmtId="166" fontId="9" fillId="2" borderId="43" xfId="0" applyNumberFormat="1" applyFont="1" applyFill="1" applyBorder="1" applyAlignment="1">
      <alignment horizontal="right" vertical="top"/>
    </xf>
    <xf numFmtId="0" fontId="0" fillId="0" borderId="42" xfId="0" applyBorder="1"/>
    <xf numFmtId="166" fontId="8" fillId="2" borderId="43" xfId="0" applyNumberFormat="1" applyFont="1" applyFill="1" applyBorder="1" applyAlignment="1">
      <alignment horizontal="right" vertical="top"/>
    </xf>
    <xf numFmtId="0" fontId="73" fillId="3" borderId="44" xfId="0" applyFont="1" applyFill="1" applyBorder="1" applyAlignment="1">
      <alignment horizontal="left" vertical="center" wrapText="1"/>
    </xf>
    <xf numFmtId="0" fontId="68" fillId="0" borderId="45" xfId="0" applyFont="1" applyBorder="1"/>
    <xf numFmtId="166" fontId="9" fillId="3" borderId="46" xfId="0" applyNumberFormat="1" applyFont="1" applyFill="1" applyBorder="1" applyAlignment="1">
      <alignment horizontal="right" vertical="top"/>
    </xf>
    <xf numFmtId="166" fontId="9" fillId="2" borderId="46" xfId="0" applyNumberFormat="1" applyFont="1" applyFill="1" applyBorder="1" applyAlignment="1">
      <alignment horizontal="right" vertical="top"/>
    </xf>
    <xf numFmtId="166" fontId="9" fillId="34" borderId="46" xfId="0" applyNumberFormat="1" applyFont="1" applyFill="1" applyBorder="1" applyAlignment="1">
      <alignment horizontal="right" vertical="top"/>
    </xf>
    <xf numFmtId="166" fontId="9" fillId="2" borderId="47" xfId="0" applyNumberFormat="1" applyFont="1" applyFill="1" applyBorder="1" applyAlignment="1">
      <alignment horizontal="right" vertical="top"/>
    </xf>
    <xf numFmtId="0" fontId="13" fillId="0" borderId="48" xfId="0" applyFont="1" applyBorder="1"/>
    <xf numFmtId="0" fontId="12" fillId="3" borderId="40" xfId="0" applyFont="1" applyFill="1" applyBorder="1" applyAlignment="1">
      <alignment horizontal="right" vertical="center" wrapText="1"/>
    </xf>
    <xf numFmtId="166" fontId="8" fillId="2" borderId="40" xfId="0" applyNumberFormat="1" applyFont="1" applyFill="1" applyBorder="1" applyAlignment="1">
      <alignment horizontal="right" vertical="top"/>
    </xf>
    <xf numFmtId="166" fontId="8" fillId="34" borderId="40" xfId="0" applyNumberFormat="1" applyFont="1" applyFill="1" applyBorder="1" applyAlignment="1">
      <alignment horizontal="right" vertical="top"/>
    </xf>
    <xf numFmtId="166" fontId="8" fillId="2" borderId="41" xfId="0" applyNumberFormat="1" applyFont="1" applyFill="1" applyBorder="1" applyAlignment="1">
      <alignment horizontal="right" vertical="top"/>
    </xf>
    <xf numFmtId="0" fontId="14" fillId="8" borderId="42" xfId="0" applyFont="1" applyFill="1" applyBorder="1"/>
    <xf numFmtId="0" fontId="8" fillId="2" borderId="43" xfId="0" applyNumberFormat="1" applyFont="1" applyFill="1" applyBorder="1" applyAlignment="1">
      <alignment horizontal="right" vertical="top"/>
    </xf>
    <xf numFmtId="166" fontId="9" fillId="16" borderId="46" xfId="0" applyNumberFormat="1" applyFont="1" applyFill="1" applyBorder="1" applyAlignment="1">
      <alignment horizontal="right" vertical="top"/>
    </xf>
    <xf numFmtId="166" fontId="9" fillId="15" borderId="46" xfId="0" applyNumberFormat="1" applyFont="1" applyFill="1" applyBorder="1" applyAlignment="1">
      <alignment horizontal="right" vertical="top"/>
    </xf>
    <xf numFmtId="0" fontId="43" fillId="0" borderId="0" xfId="0" applyFont="1" applyFill="1" applyBorder="1"/>
    <xf numFmtId="0" fontId="0" fillId="0" borderId="32" xfId="0" applyBorder="1" applyAlignment="1">
      <alignment horizontal="left"/>
    </xf>
    <xf numFmtId="0" fontId="74" fillId="59" borderId="32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74" fillId="59" borderId="0" xfId="0" applyFont="1" applyFill="1" applyBorder="1" applyAlignment="1">
      <alignment horizontal="left" vertical="center" wrapText="1"/>
    </xf>
    <xf numFmtId="0" fontId="13" fillId="3" borderId="0" xfId="3" applyFill="1"/>
    <xf numFmtId="0" fontId="0" fillId="3" borderId="0" xfId="0" applyFill="1"/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0" fillId="3" borderId="0" xfId="0" applyFill="1" applyBorder="1"/>
    <xf numFmtId="3" fontId="13" fillId="0" borderId="0" xfId="0" applyNumberFormat="1" applyFont="1"/>
    <xf numFmtId="0" fontId="0" fillId="3" borderId="7" xfId="0" applyFill="1" applyBorder="1"/>
    <xf numFmtId="0" fontId="75" fillId="0" borderId="7" xfId="0" applyFont="1" applyBorder="1"/>
    <xf numFmtId="9" fontId="74" fillId="16" borderId="7" xfId="3" applyNumberFormat="1" applyFont="1" applyFill="1" applyBorder="1"/>
    <xf numFmtId="9" fontId="13" fillId="16" borderId="10" xfId="3" applyNumberFormat="1" applyFont="1" applyFill="1" applyBorder="1"/>
    <xf numFmtId="17" fontId="13" fillId="16" borderId="10" xfId="3" applyNumberFormat="1" applyFont="1" applyFill="1" applyBorder="1"/>
    <xf numFmtId="10" fontId="74" fillId="16" borderId="7" xfId="3" applyNumberFormat="1" applyFont="1" applyFill="1" applyBorder="1"/>
    <xf numFmtId="0" fontId="79" fillId="0" borderId="7" xfId="0" applyNumberFormat="1" applyFont="1" applyFill="1" applyBorder="1"/>
    <xf numFmtId="0" fontId="74" fillId="0" borderId="7" xfId="0" applyFont="1" applyBorder="1"/>
    <xf numFmtId="17" fontId="74" fillId="16" borderId="7" xfId="3" applyNumberFormat="1" applyFont="1" applyFill="1" applyBorder="1"/>
    <xf numFmtId="0" fontId="18" fillId="0" borderId="10" xfId="0" applyNumberFormat="1" applyFont="1" applyFill="1" applyBorder="1"/>
    <xf numFmtId="9" fontId="74" fillId="0" borderId="7" xfId="1" applyFont="1" applyBorder="1"/>
    <xf numFmtId="9" fontId="13" fillId="0" borderId="10" xfId="1" applyFont="1" applyBorder="1"/>
    <xf numFmtId="9" fontId="0" fillId="0" borderId="10" xfId="1" applyFont="1" applyBorder="1"/>
    <xf numFmtId="0" fontId="74" fillId="0" borderId="7" xfId="0" applyFont="1" applyBorder="1" applyAlignment="1">
      <alignment horizontal="left"/>
    </xf>
    <xf numFmtId="10" fontId="13" fillId="16" borderId="10" xfId="3" applyNumberFormat="1" applyFont="1" applyFill="1" applyBorder="1"/>
    <xf numFmtId="0" fontId="43" fillId="0" borderId="0" xfId="3" applyFont="1"/>
    <xf numFmtId="10" fontId="13" fillId="16" borderId="7" xfId="3" applyNumberFormat="1" applyFont="1" applyFill="1" applyBorder="1"/>
    <xf numFmtId="17" fontId="13" fillId="16" borderId="7" xfId="3" applyNumberFormat="1" applyFont="1" applyFill="1" applyBorder="1"/>
    <xf numFmtId="9" fontId="13" fillId="16" borderId="7" xfId="3" applyNumberFormat="1" applyFont="1" applyFill="1" applyBorder="1"/>
    <xf numFmtId="0" fontId="13" fillId="16" borderId="7" xfId="3" applyFill="1" applyBorder="1" applyAlignment="1">
      <alignment horizontal="left"/>
    </xf>
    <xf numFmtId="0" fontId="74" fillId="59" borderId="7" xfId="3" applyFont="1" applyFill="1" applyBorder="1" applyAlignment="1">
      <alignment horizontal="left" vertical="center" wrapText="1"/>
    </xf>
    <xf numFmtId="3" fontId="80" fillId="16" borderId="0" xfId="0" applyNumberFormat="1" applyFont="1" applyFill="1"/>
    <xf numFmtId="3" fontId="0" fillId="16" borderId="0" xfId="0" applyNumberFormat="1" applyFill="1"/>
    <xf numFmtId="9" fontId="13" fillId="16" borderId="10" xfId="1" applyFont="1" applyFill="1" applyBorder="1"/>
    <xf numFmtId="9" fontId="13" fillId="16" borderId="0" xfId="3" applyNumberFormat="1" applyFont="1" applyFill="1" applyBorder="1"/>
    <xf numFmtId="0" fontId="0" fillId="3" borderId="0" xfId="0" applyFill="1"/>
    <xf numFmtId="0" fontId="13" fillId="21" borderId="0" xfId="0" applyFont="1" applyFill="1"/>
    <xf numFmtId="0" fontId="12" fillId="3" borderId="0" xfId="0" applyFont="1" applyFill="1" applyAlignment="1">
      <alignment horizontal="left" vertical="center" wrapText="1"/>
    </xf>
    <xf numFmtId="166" fontId="8" fillId="3" borderId="0" xfId="0" applyNumberFormat="1" applyFont="1" applyFill="1" applyAlignment="1">
      <alignment horizontal="right" vertical="top"/>
    </xf>
    <xf numFmtId="166" fontId="9" fillId="3" borderId="0" xfId="0" applyNumberFormat="1" applyFont="1" applyFill="1" applyAlignment="1">
      <alignment horizontal="right" vertical="top"/>
    </xf>
    <xf numFmtId="0" fontId="83" fillId="0" borderId="0" xfId="0" applyFont="1"/>
    <xf numFmtId="0" fontId="84" fillId="0" borderId="0" xfId="0" applyFont="1"/>
    <xf numFmtId="166" fontId="43" fillId="0" borderId="0" xfId="0" applyNumberFormat="1" applyFont="1"/>
    <xf numFmtId="172" fontId="0" fillId="0" borderId="0" xfId="6" applyNumberFormat="1" applyFont="1"/>
    <xf numFmtId="173" fontId="0" fillId="0" borderId="0" xfId="6" applyNumberFormat="1" applyFont="1"/>
    <xf numFmtId="2" fontId="0" fillId="0" borderId="0" xfId="0" applyNumberFormat="1"/>
    <xf numFmtId="167" fontId="43" fillId="0" borderId="0" xfId="7" applyNumberFormat="1" applyFont="1"/>
    <xf numFmtId="0" fontId="43" fillId="0" borderId="0" xfId="7" applyNumberFormat="1" applyFont="1"/>
    <xf numFmtId="0" fontId="44" fillId="0" borderId="0" xfId="7" applyNumberFormat="1" applyFont="1"/>
    <xf numFmtId="44" fontId="45" fillId="0" borderId="0" xfId="215" applyFont="1"/>
    <xf numFmtId="9" fontId="13" fillId="0" borderId="0" xfId="0" applyNumberFormat="1" applyFont="1"/>
    <xf numFmtId="0" fontId="42" fillId="21" borderId="0" xfId="0" applyFont="1" applyFill="1" applyAlignment="1">
      <alignment vertical="center" wrapText="1"/>
    </xf>
    <xf numFmtId="0" fontId="43" fillId="21" borderId="0" xfId="0" applyFont="1" applyFill="1"/>
    <xf numFmtId="17" fontId="13" fillId="0" borderId="0" xfId="0" applyNumberFormat="1" applyFont="1"/>
    <xf numFmtId="0" fontId="42" fillId="21" borderId="0" xfId="0" applyFont="1" applyFill="1"/>
    <xf numFmtId="0" fontId="13" fillId="8" borderId="0" xfId="0" applyFont="1" applyFill="1"/>
    <xf numFmtId="0" fontId="74" fillId="16" borderId="7" xfId="3" applyFont="1" applyFill="1" applyBorder="1" applyAlignment="1">
      <alignment horizontal="left" vertical="center" wrapText="1"/>
    </xf>
    <xf numFmtId="0" fontId="74" fillId="16" borderId="7" xfId="0" applyFont="1" applyFill="1" applyBorder="1" applyAlignment="1">
      <alignment horizontal="left" vertical="center" wrapText="1"/>
    </xf>
    <xf numFmtId="0" fontId="0" fillId="0" borderId="31" xfId="0" applyBorder="1"/>
    <xf numFmtId="0" fontId="0" fillId="3" borderId="0" xfId="0" applyFill="1"/>
    <xf numFmtId="0" fontId="0" fillId="7" borderId="7" xfId="0" applyFill="1" applyBorder="1" applyAlignment="1">
      <alignment horizontal="left"/>
    </xf>
    <xf numFmtId="0" fontId="74" fillId="7" borderId="7" xfId="3" applyFont="1" applyFill="1" applyBorder="1" applyAlignment="1">
      <alignment horizontal="left" vertical="center" wrapText="1"/>
    </xf>
    <xf numFmtId="0" fontId="0" fillId="9" borderId="7" xfId="0" applyFill="1" applyBorder="1" applyAlignment="1">
      <alignment horizontal="left"/>
    </xf>
    <xf numFmtId="0" fontId="0" fillId="8" borderId="7" xfId="0" applyFill="1" applyBorder="1" applyAlignment="1">
      <alignment horizontal="left"/>
    </xf>
    <xf numFmtId="0" fontId="0" fillId="0" borderId="0" xfId="0"/>
    <xf numFmtId="0" fontId="13" fillId="0" borderId="0" xfId="0" applyFont="1"/>
    <xf numFmtId="166" fontId="9" fillId="3" borderId="4" xfId="0" applyNumberFormat="1" applyFont="1" applyFill="1" applyBorder="1" applyAlignment="1">
      <alignment horizontal="right" vertical="top"/>
    </xf>
    <xf numFmtId="0" fontId="43" fillId="0" borderId="0" xfId="0" applyFont="1"/>
    <xf numFmtId="0" fontId="44" fillId="0" borderId="0" xfId="0" applyFont="1"/>
    <xf numFmtId="0" fontId="13" fillId="0" borderId="0" xfId="3" applyFont="1"/>
    <xf numFmtId="0" fontId="43" fillId="0" borderId="0" xfId="0" applyFont="1" applyFill="1" applyBorder="1"/>
    <xf numFmtId="0" fontId="13" fillId="21" borderId="0" xfId="0" applyFont="1" applyFill="1"/>
    <xf numFmtId="0" fontId="42" fillId="21" borderId="0" xfId="0" applyFont="1" applyFill="1" applyAlignment="1">
      <alignment vertical="center" wrapText="1"/>
    </xf>
    <xf numFmtId="0" fontId="85" fillId="0" borderId="0" xfId="0" applyFont="1"/>
    <xf numFmtId="0" fontId="84" fillId="0" borderId="0" xfId="0" applyFont="1"/>
    <xf numFmtId="0" fontId="85" fillId="0" borderId="0" xfId="0" applyFont="1" applyFill="1" applyBorder="1"/>
    <xf numFmtId="0" fontId="86" fillId="0" borderId="0" xfId="0" applyFont="1"/>
    <xf numFmtId="0" fontId="14" fillId="6" borderId="11" xfId="0" applyFont="1" applyFill="1" applyBorder="1" applyAlignment="1"/>
    <xf numFmtId="0" fontId="0" fillId="0" borderId="36" xfId="0" applyBorder="1"/>
    <xf numFmtId="0" fontId="0" fillId="0" borderId="32" xfId="0" applyBorder="1"/>
    <xf numFmtId="0" fontId="0" fillId="0" borderId="37" xfId="0" applyBorder="1"/>
    <xf numFmtId="10" fontId="0" fillId="0" borderId="8" xfId="0" applyNumberFormat="1" applyBorder="1"/>
    <xf numFmtId="165" fontId="0" fillId="0" borderId="0" xfId="7" applyFont="1"/>
    <xf numFmtId="0" fontId="74" fillId="59" borderId="11" xfId="0" applyFont="1" applyFill="1" applyBorder="1" applyAlignment="1">
      <alignment horizontal="left" vertical="center" wrapText="1"/>
    </xf>
    <xf numFmtId="9" fontId="13" fillId="7" borderId="10" xfId="3" applyNumberFormat="1" applyFont="1" applyFill="1" applyBorder="1"/>
    <xf numFmtId="9" fontId="13" fillId="7" borderId="7" xfId="3" applyNumberFormat="1" applyFont="1" applyFill="1" applyBorder="1"/>
    <xf numFmtId="9" fontId="0" fillId="16" borderId="34" xfId="1" applyFont="1" applyFill="1" applyBorder="1"/>
    <xf numFmtId="9" fontId="0" fillId="16" borderId="11" xfId="1" applyFont="1" applyFill="1" applyBorder="1"/>
    <xf numFmtId="0" fontId="75" fillId="7" borderId="7" xfId="0" applyFont="1" applyFill="1" applyBorder="1" applyAlignment="1">
      <alignment horizontal="left" vertical="center" wrapText="1"/>
    </xf>
    <xf numFmtId="0" fontId="0" fillId="7" borderId="32" xfId="0" applyFill="1" applyBorder="1"/>
    <xf numFmtId="0" fontId="74" fillId="16" borderId="34" xfId="0" applyFont="1" applyFill="1" applyBorder="1" applyAlignment="1">
      <alignment horizontal="left" vertical="center" wrapText="1"/>
    </xf>
    <xf numFmtId="172" fontId="0" fillId="16" borderId="11" xfId="1" applyNumberFormat="1" applyFont="1" applyFill="1" applyBorder="1"/>
    <xf numFmtId="0" fontId="74" fillId="59" borderId="11" xfId="0" applyFont="1" applyFill="1" applyBorder="1" applyAlignment="1"/>
    <xf numFmtId="0" fontId="74" fillId="16" borderId="11" xfId="0" applyFont="1" applyFill="1" applyBorder="1"/>
    <xf numFmtId="0" fontId="74" fillId="16" borderId="38" xfId="0" applyFont="1" applyFill="1" applyBorder="1"/>
    <xf numFmtId="9" fontId="13" fillId="16" borderId="38" xfId="1" applyFont="1" applyFill="1" applyBorder="1"/>
    <xf numFmtId="0" fontId="75" fillId="7" borderId="7" xfId="3" applyFont="1" applyFill="1" applyBorder="1" applyAlignment="1">
      <alignment horizontal="left" vertical="center" wrapText="1"/>
    </xf>
    <xf numFmtId="17" fontId="13" fillId="7" borderId="10" xfId="3" applyNumberFormat="1" applyFont="1" applyFill="1" applyBorder="1"/>
    <xf numFmtId="0" fontId="0" fillId="7" borderId="0" xfId="0" applyFill="1" applyAlignment="1">
      <alignment horizontal="left"/>
    </xf>
    <xf numFmtId="3" fontId="0" fillId="16" borderId="7" xfId="0" applyNumberFormat="1" applyFill="1" applyBorder="1" applyAlignment="1">
      <alignment horizontal="right" vertical="center"/>
    </xf>
    <xf numFmtId="0" fontId="79" fillId="7" borderId="7" xfId="0" applyNumberFormat="1" applyFont="1" applyFill="1" applyBorder="1"/>
    <xf numFmtId="17" fontId="13" fillId="7" borderId="7" xfId="3" applyNumberFormat="1" applyFont="1" applyFill="1" applyBorder="1"/>
    <xf numFmtId="3" fontId="9" fillId="7" borderId="7" xfId="0" applyNumberFormat="1" applyFont="1" applyFill="1" applyBorder="1" applyAlignment="1">
      <alignment horizontal="right" vertical="top" wrapText="1"/>
    </xf>
    <xf numFmtId="3" fontId="0" fillId="16" borderId="11" xfId="0" applyNumberFormat="1" applyFill="1" applyBorder="1" applyAlignment="1">
      <alignment horizontal="right" vertical="center"/>
    </xf>
    <xf numFmtId="0" fontId="22" fillId="16" borderId="7" xfId="0" applyFont="1" applyFill="1" applyBorder="1"/>
    <xf numFmtId="0" fontId="75" fillId="16" borderId="7" xfId="3" applyFont="1" applyFill="1" applyBorder="1" applyAlignment="1">
      <alignment horizontal="left" vertical="center" wrapText="1"/>
    </xf>
    <xf numFmtId="0" fontId="14" fillId="61" borderId="0" xfId="0" applyFont="1" applyFill="1" applyBorder="1" applyAlignment="1">
      <alignment vertical="center"/>
    </xf>
    <xf numFmtId="165" fontId="43" fillId="63" borderId="0" xfId="7" applyFont="1" applyFill="1"/>
    <xf numFmtId="9" fontId="74" fillId="7" borderId="7" xfId="1" applyFont="1" applyFill="1" applyBorder="1"/>
    <xf numFmtId="9" fontId="0" fillId="7" borderId="10" xfId="1" applyFont="1" applyFill="1" applyBorder="1"/>
    <xf numFmtId="3" fontId="9" fillId="7" borderId="7" xfId="0" applyNumberFormat="1" applyFont="1" applyFill="1" applyBorder="1" applyAlignment="1">
      <alignment horizontal="right" vertical="top"/>
    </xf>
    <xf numFmtId="9" fontId="13" fillId="7" borderId="10" xfId="1" applyFont="1" applyFill="1" applyBorder="1"/>
    <xf numFmtId="0" fontId="74" fillId="7" borderId="7" xfId="3" applyFont="1" applyFill="1" applyBorder="1"/>
    <xf numFmtId="0" fontId="74" fillId="16" borderId="33" xfId="0" applyFont="1" applyFill="1" applyBorder="1"/>
    <xf numFmtId="0" fontId="0" fillId="59" borderId="11" xfId="0" applyFill="1" applyBorder="1"/>
    <xf numFmtId="0" fontId="13" fillId="7" borderId="7" xfId="0" applyFont="1" applyFill="1" applyBorder="1" applyAlignment="1">
      <alignment horizontal="left"/>
    </xf>
    <xf numFmtId="172" fontId="0" fillId="16" borderId="34" xfId="1" applyNumberFormat="1" applyFont="1" applyFill="1" applyBorder="1"/>
    <xf numFmtId="0" fontId="0" fillId="7" borderId="10" xfId="0" applyFill="1" applyBorder="1"/>
    <xf numFmtId="0" fontId="0" fillId="16" borderId="34" xfId="0" applyFill="1" applyBorder="1"/>
    <xf numFmtId="3" fontId="0" fillId="16" borderId="0" xfId="0" applyNumberFormat="1" applyFill="1" applyBorder="1"/>
    <xf numFmtId="0" fontId="74" fillId="7" borderId="7" xfId="0" applyFont="1" applyFill="1" applyBorder="1" applyAlignment="1">
      <alignment horizontal="left" vertical="center" wrapText="1"/>
    </xf>
    <xf numFmtId="0" fontId="0" fillId="16" borderId="11" xfId="0" applyFill="1" applyBorder="1"/>
    <xf numFmtId="0" fontId="0" fillId="7" borderId="37" xfId="0" applyFill="1" applyBorder="1"/>
    <xf numFmtId="172" fontId="0" fillId="7" borderId="7" xfId="1" applyNumberFormat="1" applyFont="1" applyFill="1" applyBorder="1"/>
    <xf numFmtId="10" fontId="0" fillId="16" borderId="33" xfId="1" applyNumberFormat="1" applyFont="1" applyFill="1" applyBorder="1"/>
    <xf numFmtId="9" fontId="0" fillId="16" borderId="33" xfId="1" applyFont="1" applyFill="1" applyBorder="1"/>
    <xf numFmtId="10" fontId="0" fillId="16" borderId="11" xfId="1" applyNumberFormat="1" applyFont="1" applyFill="1" applyBorder="1"/>
    <xf numFmtId="171" fontId="0" fillId="7" borderId="7" xfId="0" applyNumberFormat="1" applyFill="1" applyBorder="1"/>
    <xf numFmtId="170" fontId="0" fillId="7" borderId="7" xfId="0" applyNumberFormat="1" applyFill="1" applyBorder="1"/>
    <xf numFmtId="0" fontId="13" fillId="16" borderId="34" xfId="0" applyFont="1" applyFill="1" applyBorder="1"/>
    <xf numFmtId="0" fontId="13" fillId="16" borderId="0" xfId="0" applyFont="1" applyFill="1" applyBorder="1"/>
    <xf numFmtId="0" fontId="0" fillId="7" borderId="7" xfId="0" applyFill="1" applyBorder="1"/>
    <xf numFmtId="0" fontId="13" fillId="16" borderId="11" xfId="0" applyFont="1" applyFill="1" applyBorder="1"/>
    <xf numFmtId="0" fontId="0" fillId="0" borderId="11" xfId="0" applyBorder="1" applyAlignment="1">
      <alignment horizontal="left"/>
    </xf>
    <xf numFmtId="3" fontId="0" fillId="16" borderId="34" xfId="0" applyNumberFormat="1" applyFill="1" applyBorder="1"/>
    <xf numFmtId="0" fontId="18" fillId="7" borderId="10" xfId="0" applyNumberFormat="1" applyFont="1" applyFill="1" applyBorder="1"/>
    <xf numFmtId="3" fontId="0" fillId="7" borderId="7" xfId="0" applyNumberFormat="1" applyFill="1" applyBorder="1"/>
    <xf numFmtId="3" fontId="9" fillId="16" borderId="33" xfId="0" applyNumberFormat="1" applyFont="1" applyFill="1" applyBorder="1" applyAlignment="1">
      <alignment horizontal="right" vertical="top"/>
    </xf>
    <xf numFmtId="0" fontId="0" fillId="0" borderId="33" xfId="0" applyBorder="1" applyAlignment="1">
      <alignment horizontal="left"/>
    </xf>
    <xf numFmtId="0" fontId="0" fillId="7" borderId="31" xfId="0" applyFill="1" applyBorder="1"/>
    <xf numFmtId="9" fontId="0" fillId="7" borderId="7" xfId="1" applyFont="1" applyFill="1" applyBorder="1"/>
    <xf numFmtId="0" fontId="0" fillId="16" borderId="34" xfId="0" applyFill="1" applyBorder="1" applyAlignment="1">
      <alignment horizontal="left"/>
    </xf>
    <xf numFmtId="0" fontId="0" fillId="59" borderId="33" xfId="0" applyFill="1" applyBorder="1"/>
    <xf numFmtId="0" fontId="0" fillId="16" borderId="11" xfId="0" applyFill="1" applyBorder="1" applyAlignment="1">
      <alignment horizontal="left"/>
    </xf>
    <xf numFmtId="0" fontId="0" fillId="7" borderId="36" xfId="0" applyFill="1" applyBorder="1"/>
    <xf numFmtId="10" fontId="0" fillId="16" borderId="34" xfId="1" applyNumberFormat="1" applyFont="1" applyFill="1" applyBorder="1"/>
    <xf numFmtId="10" fontId="0" fillId="7" borderId="7" xfId="1" applyNumberFormat="1" applyFont="1" applyFill="1" applyBorder="1"/>
    <xf numFmtId="3" fontId="0" fillId="16" borderId="33" xfId="0" applyNumberFormat="1" applyFill="1" applyBorder="1"/>
    <xf numFmtId="0" fontId="0" fillId="16" borderId="33" xfId="0" applyFill="1" applyBorder="1" applyAlignment="1">
      <alignment horizontal="left"/>
    </xf>
    <xf numFmtId="3" fontId="0" fillId="16" borderId="11" xfId="0" applyNumberFormat="1" applyFill="1" applyBorder="1"/>
    <xf numFmtId="0" fontId="74" fillId="7" borderId="7" xfId="0" applyFont="1" applyFill="1" applyBorder="1"/>
    <xf numFmtId="3" fontId="0" fillId="7" borderId="7" xfId="0" applyNumberFormat="1" applyFill="1" applyBorder="1" applyAlignment="1">
      <alignment horizontal="right" vertical="center"/>
    </xf>
    <xf numFmtId="0" fontId="74" fillId="16" borderId="34" xfId="3" applyFont="1" applyFill="1" applyBorder="1" applyAlignment="1">
      <alignment horizontal="left" vertical="center" wrapText="1"/>
    </xf>
    <xf numFmtId="0" fontId="0" fillId="16" borderId="0" xfId="0" applyFill="1" applyBorder="1" applyAlignment="1">
      <alignment horizontal="left"/>
    </xf>
    <xf numFmtId="172" fontId="0" fillId="16" borderId="33" xfId="1" applyNumberFormat="1" applyFont="1" applyFill="1" applyBorder="1"/>
    <xf numFmtId="0" fontId="74" fillId="16" borderId="11" xfId="3" applyFont="1" applyFill="1" applyBorder="1" applyAlignment="1">
      <alignment horizontal="left" vertical="center" wrapText="1"/>
    </xf>
    <xf numFmtId="0" fontId="74" fillId="16" borderId="0" xfId="3" applyFont="1" applyFill="1" applyBorder="1" applyAlignment="1">
      <alignment horizontal="left" vertical="center" wrapText="1"/>
    </xf>
    <xf numFmtId="0" fontId="74" fillId="16" borderId="7" xfId="3" applyFont="1" applyFill="1" applyBorder="1"/>
    <xf numFmtId="0" fontId="0" fillId="3" borderId="0" xfId="0" applyFill="1"/>
    <xf numFmtId="0" fontId="78" fillId="16" borderId="10" xfId="0" applyFont="1" applyFill="1" applyBorder="1"/>
    <xf numFmtId="3" fontId="9" fillId="19" borderId="30" xfId="0" applyNumberFormat="1" applyFont="1" applyFill="1" applyBorder="1" applyAlignment="1">
      <alignment horizontal="right" vertical="center" wrapText="1" indent="1"/>
    </xf>
    <xf numFmtId="0" fontId="9" fillId="19" borderId="30" xfId="0" applyFont="1" applyFill="1" applyBorder="1" applyAlignment="1">
      <alignment horizontal="right" vertical="center" wrapText="1" indent="1"/>
    </xf>
    <xf numFmtId="0" fontId="8" fillId="19" borderId="30" xfId="0" applyFont="1" applyFill="1" applyBorder="1" applyAlignment="1">
      <alignment horizontal="right" vertical="center" wrapText="1" indent="1"/>
    </xf>
    <xf numFmtId="3" fontId="8" fillId="19" borderId="30" xfId="0" applyNumberFormat="1" applyFont="1" applyFill="1" applyBorder="1" applyAlignment="1">
      <alignment horizontal="right" vertical="center" wrapText="1" indent="1"/>
    </xf>
    <xf numFmtId="167" fontId="0" fillId="0" borderId="0" xfId="0" applyNumberFormat="1"/>
    <xf numFmtId="4" fontId="0" fillId="0" borderId="0" xfId="0" applyNumberFormat="1"/>
    <xf numFmtId="174" fontId="9" fillId="19" borderId="30" xfId="7" applyNumberFormat="1" applyFont="1" applyFill="1" applyBorder="1" applyAlignment="1">
      <alignment horizontal="right" vertical="center" wrapText="1" indent="1"/>
    </xf>
    <xf numFmtId="174" fontId="0" fillId="0" borderId="0" xfId="7" applyNumberFormat="1" applyFont="1"/>
    <xf numFmtId="174" fontId="8" fillId="19" borderId="30" xfId="7" applyNumberFormat="1" applyFont="1" applyFill="1" applyBorder="1" applyAlignment="1">
      <alignment horizontal="right" vertical="center" wrapText="1" indent="1"/>
    </xf>
    <xf numFmtId="0" fontId="0" fillId="0" borderId="7" xfId="0" quotePrefix="1" applyBorder="1"/>
    <xf numFmtId="0" fontId="74" fillId="4" borderId="0" xfId="0" applyFont="1" applyFill="1"/>
    <xf numFmtId="0" fontId="74" fillId="21" borderId="0" xfId="0" applyFont="1" applyFill="1"/>
    <xf numFmtId="0" fontId="74" fillId="0" borderId="7" xfId="3" applyFont="1" applyFill="1" applyBorder="1" applyAlignment="1">
      <alignment horizontal="left" vertical="center" wrapText="1"/>
    </xf>
    <xf numFmtId="0" fontId="13" fillId="0" borderId="7" xfId="0" applyFont="1" applyFill="1" applyBorder="1"/>
    <xf numFmtId="0" fontId="0" fillId="0" borderId="7" xfId="0" applyFill="1" applyBorder="1"/>
    <xf numFmtId="3" fontId="0" fillId="0" borderId="7" xfId="0" applyNumberFormat="1" applyFill="1" applyBorder="1"/>
    <xf numFmtId="10" fontId="0" fillId="0" borderId="7" xfId="1" applyNumberFormat="1" applyFont="1" applyFill="1" applyBorder="1"/>
    <xf numFmtId="3" fontId="0" fillId="0" borderId="7" xfId="0" applyNumberFormat="1" applyFill="1" applyBorder="1" applyAlignment="1">
      <alignment horizontal="right" vertical="center"/>
    </xf>
    <xf numFmtId="172" fontId="0" fillId="0" borderId="7" xfId="1" applyNumberFormat="1" applyFont="1" applyFill="1" applyBorder="1"/>
    <xf numFmtId="9" fontId="0" fillId="0" borderId="7" xfId="1" applyFont="1" applyFill="1" applyBorder="1"/>
    <xf numFmtId="0" fontId="0" fillId="0" borderId="0" xfId="0" applyFill="1"/>
    <xf numFmtId="0" fontId="14" fillId="0" borderId="32" xfId="0" applyFont="1" applyFill="1" applyBorder="1" applyAlignment="1"/>
    <xf numFmtId="0" fontId="14" fillId="0" borderId="36" xfId="0" applyFont="1" applyFill="1" applyBorder="1" applyAlignment="1"/>
    <xf numFmtId="0" fontId="14" fillId="0" borderId="37" xfId="0" applyFont="1" applyFill="1" applyBorder="1" applyAlignment="1"/>
    <xf numFmtId="0" fontId="14" fillId="6" borderId="35" xfId="0" applyFont="1" applyFill="1" applyBorder="1"/>
    <xf numFmtId="0" fontId="14" fillId="6" borderId="11" xfId="0" applyFont="1" applyFill="1" applyBorder="1"/>
    <xf numFmtId="0" fontId="14" fillId="7" borderId="11" xfId="0" applyFont="1" applyFill="1" applyBorder="1"/>
    <xf numFmtId="0" fontId="14" fillId="8" borderId="11" xfId="0" applyFont="1" applyFill="1" applyBorder="1"/>
    <xf numFmtId="0" fontId="21" fillId="9" borderId="11" xfId="0" applyFont="1" applyFill="1" applyBorder="1"/>
    <xf numFmtId="0" fontId="21" fillId="10" borderId="11" xfId="0" applyFont="1" applyFill="1" applyBorder="1"/>
    <xf numFmtId="0" fontId="21" fillId="12" borderId="11" xfId="0" applyFont="1" applyFill="1" applyBorder="1"/>
    <xf numFmtId="0" fontId="21" fillId="14" borderId="11" xfId="0" applyFont="1" applyFill="1" applyBorder="1"/>
    <xf numFmtId="0" fontId="21" fillId="14" borderId="38" xfId="0" applyFont="1" applyFill="1" applyBorder="1"/>
    <xf numFmtId="0" fontId="14" fillId="13" borderId="11" xfId="0" applyFont="1" applyFill="1" applyBorder="1"/>
    <xf numFmtId="0" fontId="21" fillId="65" borderId="11" xfId="0" applyFont="1" applyFill="1" applyBorder="1"/>
    <xf numFmtId="0" fontId="0" fillId="0" borderId="12" xfId="0" applyBorder="1" applyAlignment="1">
      <alignment horizontal="left"/>
    </xf>
    <xf numFmtId="0" fontId="74" fillId="16" borderId="12" xfId="3" applyFont="1" applyFill="1" applyBorder="1"/>
    <xf numFmtId="0" fontId="0" fillId="0" borderId="12" xfId="0" applyBorder="1"/>
    <xf numFmtId="0" fontId="74" fillId="59" borderId="12" xfId="0" applyFont="1" applyFill="1" applyBorder="1"/>
    <xf numFmtId="3" fontId="9" fillId="2" borderId="12" xfId="0" applyNumberFormat="1" applyFont="1" applyFill="1" applyBorder="1" applyAlignment="1">
      <alignment horizontal="right" vertical="top" wrapText="1"/>
    </xf>
    <xf numFmtId="3" fontId="0" fillId="0" borderId="12" xfId="0" applyNumberFormat="1" applyBorder="1"/>
    <xf numFmtId="10" fontId="0" fillId="0" borderId="12" xfId="1" applyNumberFormat="1" applyFont="1" applyBorder="1"/>
    <xf numFmtId="0" fontId="0" fillId="59" borderId="12" xfId="0" applyFill="1" applyBorder="1"/>
    <xf numFmtId="172" fontId="0" fillId="16" borderId="12" xfId="1" applyNumberFormat="1" applyFont="1" applyFill="1" applyBorder="1"/>
    <xf numFmtId="10" fontId="0" fillId="16" borderId="12" xfId="1" applyNumberFormat="1" applyFont="1" applyFill="1" applyBorder="1"/>
    <xf numFmtId="9" fontId="0" fillId="16" borderId="12" xfId="1" applyFont="1" applyFill="1" applyBorder="1"/>
    <xf numFmtId="0" fontId="14" fillId="0" borderId="7" xfId="0" applyFont="1" applyFill="1" applyBorder="1" applyAlignment="1">
      <alignment vertical="center"/>
    </xf>
    <xf numFmtId="4" fontId="13" fillId="0" borderId="7" xfId="0" applyNumberFormat="1" applyFont="1" applyFill="1" applyBorder="1"/>
    <xf numFmtId="4" fontId="74" fillId="0" borderId="7" xfId="0" applyNumberFormat="1" applyFont="1" applyFill="1" applyBorder="1"/>
    <xf numFmtId="10" fontId="74" fillId="0" borderId="7" xfId="1" applyNumberFormat="1" applyFont="1" applyFill="1" applyBorder="1"/>
    <xf numFmtId="10" fontId="74" fillId="7" borderId="7" xfId="1" applyNumberFormat="1" applyFont="1" applyFill="1" applyBorder="1"/>
    <xf numFmtId="4" fontId="13" fillId="7" borderId="7" xfId="0" applyNumberFormat="1" applyFont="1" applyFill="1" applyBorder="1"/>
    <xf numFmtId="10" fontId="0" fillId="7" borderId="8" xfId="0" applyNumberFormat="1" applyFill="1" applyBorder="1"/>
    <xf numFmtId="0" fontId="14" fillId="0" borderId="7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13" borderId="10" xfId="0" applyFont="1" applyFill="1" applyBorder="1" applyAlignment="1">
      <alignment horizontal="center"/>
    </xf>
    <xf numFmtId="0" fontId="14" fillId="13" borderId="33" xfId="0" applyFont="1" applyFill="1" applyBorder="1" applyAlignment="1">
      <alignment horizontal="center"/>
    </xf>
    <xf numFmtId="0" fontId="14" fillId="11" borderId="7" xfId="0" applyFont="1" applyFill="1" applyBorder="1" applyAlignment="1">
      <alignment horizontal="center"/>
    </xf>
    <xf numFmtId="0" fontId="14" fillId="60" borderId="7" xfId="0" applyFont="1" applyFill="1" applyBorder="1" applyAlignment="1">
      <alignment horizontal="center"/>
    </xf>
    <xf numFmtId="0" fontId="14" fillId="0" borderId="0" xfId="0" applyFont="1" applyFill="1" applyBorder="1" applyAlignment="1"/>
    <xf numFmtId="0" fontId="0" fillId="7" borderId="0" xfId="0" applyFill="1" applyBorder="1"/>
    <xf numFmtId="0" fontId="74" fillId="59" borderId="11" xfId="0" applyFont="1" applyFill="1" applyBorder="1"/>
    <xf numFmtId="0" fontId="74" fillId="14" borderId="11" xfId="0" applyFont="1" applyFill="1" applyBorder="1"/>
    <xf numFmtId="2" fontId="0" fillId="0" borderId="7" xfId="7" applyNumberFormat="1" applyFont="1" applyBorder="1"/>
    <xf numFmtId="0" fontId="13" fillId="0" borderId="37" xfId="0" applyFont="1" applyFill="1" applyBorder="1" applyAlignment="1"/>
    <xf numFmtId="2" fontId="0" fillId="0" borderId="7" xfId="1" applyNumberFormat="1" applyFont="1" applyBorder="1"/>
    <xf numFmtId="0" fontId="21" fillId="62" borderId="8" xfId="0" applyFont="1" applyFill="1" applyBorder="1" applyAlignment="1"/>
    <xf numFmtId="175" fontId="0" fillId="0" borderId="0" xfId="7" applyNumberFormat="1" applyFont="1"/>
    <xf numFmtId="175" fontId="0" fillId="0" borderId="0" xfId="0" applyNumberFormat="1"/>
    <xf numFmtId="175" fontId="13" fillId="0" borderId="0" xfId="7" applyNumberFormat="1" applyFont="1"/>
    <xf numFmtId="175" fontId="43" fillId="0" borderId="0" xfId="7" applyNumberFormat="1" applyFont="1"/>
    <xf numFmtId="175" fontId="13" fillId="3" borderId="0" xfId="7" applyNumberFormat="1" applyFont="1" applyFill="1"/>
    <xf numFmtId="175" fontId="44" fillId="0" borderId="0" xfId="7" applyNumberFormat="1" applyFont="1"/>
    <xf numFmtId="175" fontId="9" fillId="3" borderId="4" xfId="7" applyNumberFormat="1" applyFont="1" applyFill="1" applyBorder="1" applyAlignment="1">
      <alignment horizontal="right" vertical="top"/>
    </xf>
    <xf numFmtId="4" fontId="13" fillId="56" borderId="7" xfId="0" applyNumberFormat="1" applyFont="1" applyFill="1" applyBorder="1"/>
    <xf numFmtId="175" fontId="13" fillId="18" borderId="0" xfId="7" applyNumberFormat="1" applyFont="1" applyFill="1"/>
    <xf numFmtId="176" fontId="0" fillId="0" borderId="0" xfId="0" applyNumberFormat="1"/>
    <xf numFmtId="0" fontId="13" fillId="0" borderId="0" xfId="3"/>
    <xf numFmtId="0" fontId="13" fillId="0" borderId="0" xfId="3" applyFont="1"/>
    <xf numFmtId="0" fontId="14" fillId="0" borderId="7" xfId="3" applyFont="1" applyBorder="1"/>
    <xf numFmtId="0" fontId="13" fillId="18" borderId="0" xfId="3" applyFont="1" applyFill="1"/>
    <xf numFmtId="0" fontId="44" fillId="0" borderId="0" xfId="3" applyFont="1"/>
    <xf numFmtId="168" fontId="66" fillId="0" borderId="7" xfId="3" applyNumberFormat="1" applyFont="1" applyBorder="1"/>
    <xf numFmtId="168" fontId="67" fillId="0" borderId="7" xfId="3" applyNumberFormat="1" applyFont="1" applyBorder="1"/>
    <xf numFmtId="168" fontId="67" fillId="19" borderId="7" xfId="3" applyNumberFormat="1" applyFont="1" applyFill="1" applyBorder="1" applyAlignment="1">
      <alignment horizontal="right" vertical="center" wrapText="1"/>
    </xf>
    <xf numFmtId="0" fontId="74" fillId="59" borderId="7" xfId="3" applyFont="1" applyFill="1" applyBorder="1" applyAlignment="1"/>
    <xf numFmtId="0" fontId="74" fillId="59" borderId="7" xfId="3" applyFont="1" applyFill="1" applyBorder="1"/>
    <xf numFmtId="0" fontId="75" fillId="59" borderId="7" xfId="3" applyFont="1" applyFill="1" applyBorder="1" applyAlignment="1">
      <alignment horizontal="left" vertical="center" wrapText="1"/>
    </xf>
    <xf numFmtId="0" fontId="13" fillId="0" borderId="7" xfId="3" applyBorder="1" applyAlignment="1">
      <alignment horizontal="left"/>
    </xf>
    <xf numFmtId="0" fontId="14" fillId="0" borderId="0" xfId="3" applyFont="1"/>
    <xf numFmtId="0" fontId="74" fillId="59" borderId="7" xfId="3" applyFont="1" applyFill="1" applyBorder="1" applyAlignment="1">
      <alignment horizontal="left" vertical="center" wrapText="1"/>
    </xf>
    <xf numFmtId="0" fontId="13" fillId="16" borderId="7" xfId="3" applyFill="1" applyBorder="1" applyAlignment="1">
      <alignment horizontal="left"/>
    </xf>
    <xf numFmtId="0" fontId="13" fillId="64" borderId="7" xfId="3" applyFill="1" applyBorder="1" applyAlignment="1">
      <alignment horizontal="left"/>
    </xf>
    <xf numFmtId="0" fontId="14" fillId="61" borderId="34" xfId="3" applyFont="1" applyFill="1" applyBorder="1" applyAlignment="1">
      <alignment vertical="center"/>
    </xf>
    <xf numFmtId="0" fontId="74" fillId="0" borderId="7" xfId="3" applyFont="1" applyBorder="1" applyAlignment="1">
      <alignment horizontal="left"/>
    </xf>
    <xf numFmtId="0" fontId="84" fillId="0" borderId="0" xfId="3" applyFont="1"/>
    <xf numFmtId="0" fontId="13" fillId="7" borderId="7" xfId="3" applyFill="1" applyBorder="1" applyAlignment="1">
      <alignment horizontal="left"/>
    </xf>
    <xf numFmtId="0" fontId="85" fillId="0" borderId="0" xfId="3" applyFont="1"/>
    <xf numFmtId="0" fontId="74" fillId="59" borderId="11" xfId="3" applyFont="1" applyFill="1" applyBorder="1" applyAlignment="1">
      <alignment horizontal="left" vertical="center" wrapText="1"/>
    </xf>
    <xf numFmtId="0" fontId="75" fillId="7" borderId="7" xfId="3" applyFont="1" applyFill="1" applyBorder="1" applyAlignment="1">
      <alignment horizontal="left" vertical="center" wrapText="1"/>
    </xf>
    <xf numFmtId="0" fontId="74" fillId="59" borderId="11" xfId="3" applyFont="1" applyFill="1" applyBorder="1" applyAlignment="1"/>
    <xf numFmtId="0" fontId="14" fillId="61" borderId="0" xfId="3" applyFont="1" applyFill="1" applyBorder="1" applyAlignment="1">
      <alignment vertical="center"/>
    </xf>
    <xf numFmtId="0" fontId="74" fillId="16" borderId="33" xfId="3" applyFont="1" applyFill="1" applyBorder="1"/>
    <xf numFmtId="0" fontId="74" fillId="7" borderId="7" xfId="3" applyFont="1" applyFill="1" applyBorder="1" applyAlignment="1">
      <alignment horizontal="left" vertical="center" wrapText="1"/>
    </xf>
    <xf numFmtId="0" fontId="13" fillId="0" borderId="11" xfId="3" applyBorder="1" applyAlignment="1">
      <alignment horizontal="left"/>
    </xf>
    <xf numFmtId="0" fontId="13" fillId="16" borderId="11" xfId="3" applyFill="1" applyBorder="1" applyAlignment="1">
      <alignment horizontal="left"/>
    </xf>
    <xf numFmtId="0" fontId="74" fillId="7" borderId="7" xfId="3" applyFont="1" applyFill="1" applyBorder="1"/>
    <xf numFmtId="10" fontId="13" fillId="0" borderId="0" xfId="6" applyNumberFormat="1" applyFont="1"/>
    <xf numFmtId="0" fontId="13" fillId="0" borderId="12" xfId="3" applyBorder="1" applyAlignment="1">
      <alignment horizontal="left"/>
    </xf>
    <xf numFmtId="0" fontId="74" fillId="59" borderId="12" xfId="3" applyFont="1" applyFill="1" applyBorder="1"/>
    <xf numFmtId="175" fontId="13" fillId="0" borderId="0" xfId="374" applyNumberFormat="1" applyFont="1"/>
    <xf numFmtId="167" fontId="84" fillId="0" borderId="0" xfId="3" applyNumberFormat="1" applyFont="1"/>
    <xf numFmtId="176" fontId="13" fillId="0" borderId="0" xfId="3" applyNumberFormat="1"/>
    <xf numFmtId="0" fontId="65" fillId="0" borderId="31" xfId="3" applyFont="1" applyBorder="1"/>
    <xf numFmtId="0" fontId="64" fillId="0" borderId="15" xfId="3" applyFont="1" applyBorder="1"/>
    <xf numFmtId="0" fontId="74" fillId="0" borderId="0" xfId="3" applyFont="1" applyFill="1" applyBorder="1" applyAlignment="1"/>
    <xf numFmtId="0" fontId="74" fillId="0" borderId="0" xfId="3" applyFont="1" applyFill="1" applyBorder="1"/>
    <xf numFmtId="0" fontId="75" fillId="0" borderId="0" xfId="3" applyFont="1" applyFill="1" applyBorder="1" applyAlignment="1">
      <alignment horizontal="left" vertical="center" wrapText="1"/>
    </xf>
    <xf numFmtId="0" fontId="87" fillId="0" borderId="0" xfId="3" applyFont="1"/>
    <xf numFmtId="177" fontId="13" fillId="0" borderId="0" xfId="3" applyNumberFormat="1"/>
    <xf numFmtId="178" fontId="13" fillId="0" borderId="0" xfId="3" applyNumberFormat="1"/>
    <xf numFmtId="173" fontId="13" fillId="0" borderId="0" xfId="3" applyNumberFormat="1"/>
    <xf numFmtId="179" fontId="13" fillId="0" borderId="0" xfId="3" applyNumberFormat="1"/>
    <xf numFmtId="180" fontId="13" fillId="0" borderId="0" xfId="3" applyNumberFormat="1"/>
    <xf numFmtId="0" fontId="10" fillId="3" borderId="0" xfId="3" applyFont="1" applyFill="1" applyAlignment="1">
      <alignment horizontal="left" vertical="top" wrapText="1"/>
    </xf>
    <xf numFmtId="0" fontId="13" fillId="3" borderId="0" xfId="3" applyFill="1"/>
    <xf numFmtId="0" fontId="82" fillId="16" borderId="0" xfId="0" applyFont="1" applyFill="1" applyBorder="1" applyAlignment="1">
      <alignment horizontal="center"/>
    </xf>
    <xf numFmtId="0" fontId="82" fillId="16" borderId="8" xfId="0" applyFont="1" applyFill="1" applyBorder="1" applyAlignment="1">
      <alignment horizontal="center"/>
    </xf>
    <xf numFmtId="0" fontId="14" fillId="13" borderId="12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3" borderId="0" xfId="0" applyFont="1" applyFill="1" applyAlignment="1">
      <alignment horizontal="left" vertical="top" wrapText="1"/>
    </xf>
    <xf numFmtId="0" fontId="0" fillId="3" borderId="0" xfId="0" applyFill="1"/>
    <xf numFmtId="0" fontId="14" fillId="6" borderId="14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14" fillId="6" borderId="15" xfId="0" applyFont="1" applyFill="1" applyBorder="1" applyAlignment="1">
      <alignment horizontal="center"/>
    </xf>
    <xf numFmtId="0" fontId="14" fillId="6" borderId="12" xfId="0" applyFont="1" applyFill="1" applyBorder="1" applyAlignment="1">
      <alignment horizontal="center"/>
    </xf>
    <xf numFmtId="0" fontId="21" fillId="65" borderId="14" xfId="0" applyFont="1" applyFill="1" applyBorder="1" applyAlignment="1">
      <alignment horizontal="center"/>
    </xf>
    <xf numFmtId="0" fontId="21" fillId="65" borderId="8" xfId="0" applyFont="1" applyFill="1" applyBorder="1" applyAlignment="1">
      <alignment horizontal="center"/>
    </xf>
    <xf numFmtId="0" fontId="21" fillId="12" borderId="8" xfId="0" applyFont="1" applyFill="1" applyBorder="1" applyAlignment="1">
      <alignment horizontal="center"/>
    </xf>
    <xf numFmtId="0" fontId="14" fillId="9" borderId="38" xfId="0" applyFont="1" applyFill="1" applyBorder="1" applyAlignment="1">
      <alignment horizontal="center" vertical="center"/>
    </xf>
    <xf numFmtId="0" fontId="14" fillId="9" borderId="34" xfId="0" applyFont="1" applyFill="1" applyBorder="1" applyAlignment="1">
      <alignment horizontal="center" vertical="center"/>
    </xf>
    <xf numFmtId="0" fontId="14" fillId="9" borderId="35" xfId="0" applyFont="1" applyFill="1" applyBorder="1" applyAlignment="1">
      <alignment horizontal="center" vertical="center"/>
    </xf>
    <xf numFmtId="0" fontId="14" fillId="9" borderId="14" xfId="0" applyFont="1" applyFill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0" fontId="14" fillId="9" borderId="15" xfId="0" applyFont="1" applyFill="1" applyBorder="1" applyAlignment="1">
      <alignment horizontal="center" vertical="center"/>
    </xf>
    <xf numFmtId="0" fontId="14" fillId="62" borderId="10" xfId="0" applyFont="1" applyFill="1" applyBorder="1" applyAlignment="1">
      <alignment horizontal="center"/>
    </xf>
    <xf numFmtId="0" fontId="14" fillId="62" borderId="33" xfId="0" applyFont="1" applyFill="1" applyBorder="1" applyAlignment="1">
      <alignment horizontal="center"/>
    </xf>
    <xf numFmtId="0" fontId="14" fillId="62" borderId="31" xfId="0" applyFont="1" applyFill="1" applyBorder="1" applyAlignment="1">
      <alignment horizontal="center"/>
    </xf>
    <xf numFmtId="0" fontId="14" fillId="6" borderId="7" xfId="0" applyFont="1" applyFill="1" applyBorder="1" applyAlignment="1">
      <alignment horizontal="center"/>
    </xf>
    <xf numFmtId="0" fontId="14" fillId="8" borderId="7" xfId="0" applyFont="1" applyFill="1" applyBorder="1" applyAlignment="1">
      <alignment horizontal="center"/>
    </xf>
    <xf numFmtId="0" fontId="14" fillId="10" borderId="7" xfId="0" applyFont="1" applyFill="1" applyBorder="1" applyAlignment="1">
      <alignment horizontal="center"/>
    </xf>
    <xf numFmtId="0" fontId="14" fillId="13" borderId="7" xfId="0" applyFont="1" applyFill="1" applyBorder="1" applyAlignment="1">
      <alignment horizontal="center"/>
    </xf>
    <xf numFmtId="0" fontId="14" fillId="9" borderId="7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14" fillId="8" borderId="8" xfId="0" applyFont="1" applyFill="1" applyBorder="1" applyAlignment="1">
      <alignment horizontal="center"/>
    </xf>
    <xf numFmtId="0" fontId="21" fillId="9" borderId="8" xfId="0" applyFont="1" applyFill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/>
    </xf>
    <xf numFmtId="0" fontId="14" fillId="6" borderId="37" xfId="0" applyFont="1" applyFill="1" applyBorder="1" applyAlignment="1">
      <alignment horizontal="center"/>
    </xf>
    <xf numFmtId="0" fontId="14" fillId="11" borderId="7" xfId="0" applyFon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21" fillId="10" borderId="8" xfId="0" applyFont="1" applyFill="1" applyBorder="1" applyAlignment="1">
      <alignment horizontal="center"/>
    </xf>
    <xf numFmtId="0" fontId="14" fillId="13" borderId="10" xfId="0" applyFont="1" applyFill="1" applyBorder="1" applyAlignment="1">
      <alignment horizontal="center"/>
    </xf>
    <xf numFmtId="0" fontId="14" fillId="13" borderId="33" xfId="0" applyFont="1" applyFill="1" applyBorder="1" applyAlignment="1">
      <alignment horizontal="center"/>
    </xf>
    <xf numFmtId="0" fontId="14" fillId="13" borderId="31" xfId="0" applyFont="1" applyFill="1" applyBorder="1" applyAlignment="1">
      <alignment horizontal="center"/>
    </xf>
    <xf numFmtId="0" fontId="14" fillId="59" borderId="7" xfId="0" applyFont="1" applyFill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60" borderId="7" xfId="0" applyFont="1" applyFill="1" applyBorder="1" applyAlignment="1">
      <alignment horizontal="center"/>
    </xf>
    <xf numFmtId="0" fontId="14" fillId="59" borderId="7" xfId="3" applyFont="1" applyFill="1" applyBorder="1" applyAlignment="1">
      <alignment horizontal="center"/>
    </xf>
    <xf numFmtId="0" fontId="21" fillId="62" borderId="10" xfId="0" applyFont="1" applyFill="1" applyBorder="1" applyAlignment="1">
      <alignment horizontal="center"/>
    </xf>
    <xf numFmtId="0" fontId="21" fillId="62" borderId="31" xfId="0" applyFont="1" applyFill="1" applyBorder="1" applyAlignment="1">
      <alignment horizontal="center"/>
    </xf>
    <xf numFmtId="0" fontId="21" fillId="11" borderId="10" xfId="0" applyFont="1" applyFill="1" applyBorder="1" applyAlignment="1">
      <alignment horizontal="center"/>
    </xf>
    <xf numFmtId="0" fontId="21" fillId="11" borderId="31" xfId="0" applyFont="1" applyFill="1" applyBorder="1" applyAlignment="1">
      <alignment horizontal="center"/>
    </xf>
    <xf numFmtId="0" fontId="14" fillId="11" borderId="10" xfId="0" applyFont="1" applyFill="1" applyBorder="1" applyAlignment="1">
      <alignment horizontal="center"/>
    </xf>
    <xf numFmtId="0" fontId="14" fillId="11" borderId="31" xfId="0" applyFont="1" applyFill="1" applyBorder="1" applyAlignment="1">
      <alignment horizontal="center"/>
    </xf>
    <xf numFmtId="0" fontId="14" fillId="60" borderId="10" xfId="0" applyFont="1" applyFill="1" applyBorder="1" applyAlignment="1">
      <alignment horizontal="center"/>
    </xf>
    <xf numFmtId="0" fontId="14" fillId="60" borderId="31" xfId="0" applyFont="1" applyFill="1" applyBorder="1" applyAlignment="1">
      <alignment horizontal="center"/>
    </xf>
    <xf numFmtId="0" fontId="59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913">
    <cellStyle name="20 % – uthevingsfarge 1" xfId="26" builtinId="30" customBuiltin="1"/>
    <cellStyle name="20 % – uthevingsfarge 1 2" xfId="60" xr:uid="{8F4310FC-4856-43A8-B6D5-2FC30ED9CB69}"/>
    <cellStyle name="20 % – uthevingsfarge 1 2 2" xfId="106" xr:uid="{40C86C39-C910-4EDE-B592-EC5C9924C68E}"/>
    <cellStyle name="20 % – uthevingsfarge 1 2 2 2" xfId="197" xr:uid="{40C86C39-C910-4EDE-B592-EC5C9924C68E}"/>
    <cellStyle name="20 % – uthevingsfarge 1 2 2 2 2" xfId="378" xr:uid="{48C9B602-56D9-47F4-B975-1417F309093C}"/>
    <cellStyle name="20 % – uthevingsfarge 1 2 2 2 2 2" xfId="783" xr:uid="{DF714734-9F3A-491E-8A43-61577764D454}"/>
    <cellStyle name="20 % – uthevingsfarge 1 2 2 2 3" xfId="494" xr:uid="{91D0AAED-72DF-4DA4-93AD-B64DB9CCB91A}"/>
    <cellStyle name="20 % – uthevingsfarge 1 2 2 2 3 2" xfId="899" xr:uid="{8B1E0B6F-DA6D-4A64-ADB3-82FAA091F841}"/>
    <cellStyle name="20 % – uthevingsfarge 1 2 2 2 4" xfId="606" xr:uid="{65292C46-84B9-4093-82F4-3659FB2DBDC0}"/>
    <cellStyle name="20 % – uthevingsfarge 1 2 2 3" xfId="288" xr:uid="{29F3017E-A8DA-4956-82C4-524EE700C85E}"/>
    <cellStyle name="20 % – uthevingsfarge 1 2 2 3 2" xfId="693" xr:uid="{CE7B80DB-E100-48F8-8642-A21E7C330406}"/>
    <cellStyle name="20 % – uthevingsfarge 1 2 2 4" xfId="438" xr:uid="{DCE3AE74-D10B-4C43-B153-B7259582AB3F}"/>
    <cellStyle name="20 % – uthevingsfarge 1 2 2 4 2" xfId="843" xr:uid="{2793119D-3C2C-40E3-B21E-0923EA8F899B}"/>
    <cellStyle name="20 % – uthevingsfarge 1 2 2 5" xfId="550" xr:uid="{16496C9B-41CA-418B-BEAA-68422BC97A70}"/>
    <cellStyle name="20 % – uthevingsfarge 1 2 3" xfId="152" xr:uid="{8F4310FC-4856-43A8-B6D5-2FC30ED9CB69}"/>
    <cellStyle name="20 % – uthevingsfarge 1 2 3 2" xfId="333" xr:uid="{1D17E9DC-DECF-479A-B4B8-3C2A4B143289}"/>
    <cellStyle name="20 % – uthevingsfarge 1 2 3 2 2" xfId="738" xr:uid="{172F3110-9DD1-4A05-979C-7DD1B3ED8090}"/>
    <cellStyle name="20 % – uthevingsfarge 1 2 3 3" xfId="466" xr:uid="{97C06F2A-C62A-48AD-96B3-0A7FF10472B1}"/>
    <cellStyle name="20 % – uthevingsfarge 1 2 3 3 2" xfId="871" xr:uid="{7728C14A-1865-4DE5-A694-D822111B5FCF}"/>
    <cellStyle name="20 % – uthevingsfarge 1 2 3 4" xfId="578" xr:uid="{32161D65-4C8F-45EB-947C-32C0CA817CAF}"/>
    <cellStyle name="20 % – uthevingsfarge 1 2 4" xfId="243" xr:uid="{0AA052B7-E123-450F-B3F6-8B115B8A24B8}"/>
    <cellStyle name="20 % – uthevingsfarge 1 2 4 2" xfId="648" xr:uid="{C8FFB484-DB52-41DA-843E-1D2E5A064F8E}"/>
    <cellStyle name="20 % – uthevingsfarge 1 2 5" xfId="410" xr:uid="{EA724CFE-BC0D-4FE3-86A4-BF40436BA3E1}"/>
    <cellStyle name="20 % – uthevingsfarge 1 2 5 2" xfId="815" xr:uid="{563B73E5-9C94-4D87-B570-F74F8EDD3C84}"/>
    <cellStyle name="20 % – uthevingsfarge 1 2 6" xfId="522" xr:uid="{59CD35A8-A45A-456A-B81D-C15F050F2C6B}"/>
    <cellStyle name="20 % – uthevingsfarge 1 3" xfId="84" xr:uid="{54F7C306-4321-41A5-B3AE-CB5ACBAB9B7E}"/>
    <cellStyle name="20 % – uthevingsfarge 1 3 2" xfId="175" xr:uid="{54F7C306-4321-41A5-B3AE-CB5ACBAB9B7E}"/>
    <cellStyle name="20 % – uthevingsfarge 1 3 2 2" xfId="356" xr:uid="{2CF4B1C3-E677-4B6B-8162-B99E8B267F2D}"/>
    <cellStyle name="20 % – uthevingsfarge 1 3 2 2 2" xfId="761" xr:uid="{B4CCF926-4FD8-441C-84BD-0B757B47262E}"/>
    <cellStyle name="20 % – uthevingsfarge 1 3 2 3" xfId="480" xr:uid="{375164A3-355C-40AF-B060-07C3930076A5}"/>
    <cellStyle name="20 % – uthevingsfarge 1 3 2 3 2" xfId="885" xr:uid="{56F61566-EBB1-4FCE-9E1E-991CB7667395}"/>
    <cellStyle name="20 % – uthevingsfarge 1 3 2 4" xfId="592" xr:uid="{4D9DD460-4F60-4D30-A817-F7D8702229F2}"/>
    <cellStyle name="20 % – uthevingsfarge 1 3 3" xfId="266" xr:uid="{80ABDAC3-A99B-4542-92DF-5CC375EE37CA}"/>
    <cellStyle name="20 % – uthevingsfarge 1 3 3 2" xfId="671" xr:uid="{1D440A68-DA5F-4BFA-91C0-E28009456E37}"/>
    <cellStyle name="20 % – uthevingsfarge 1 3 4" xfId="424" xr:uid="{C8A1E9A9-C9C7-478C-8BD3-A652F612CE5A}"/>
    <cellStyle name="20 % – uthevingsfarge 1 3 4 2" xfId="829" xr:uid="{AB933795-D0F7-451B-B62D-EB14CC591A88}"/>
    <cellStyle name="20 % – uthevingsfarge 1 3 5" xfId="536" xr:uid="{78E09253-86C7-4963-800F-5B1EF6276A57}"/>
    <cellStyle name="20 % – uthevingsfarge 1 4" xfId="221" xr:uid="{61E6D934-5E3E-4040-A4B0-468369EAD61D}"/>
    <cellStyle name="20 % – uthevingsfarge 1 4 2" xfId="626" xr:uid="{3335F141-0414-4894-91D7-20FA141A6857}"/>
    <cellStyle name="20 % – uthevingsfarge 1 5" xfId="396" xr:uid="{5C614A48-ED74-4CF1-83DA-EE6448089BCA}"/>
    <cellStyle name="20 % – uthevingsfarge 1 5 2" xfId="801" xr:uid="{090AC6EC-D8D7-41CF-8EB7-DBC3F6081ECD}"/>
    <cellStyle name="20 % – uthevingsfarge 1 6" xfId="508" xr:uid="{4EB548DF-721B-47A3-8707-CFE01092A375}"/>
    <cellStyle name="20 % – uthevingsfarge 2" xfId="29" builtinId="34" customBuiltin="1"/>
    <cellStyle name="20 % – uthevingsfarge 2 2" xfId="62" xr:uid="{B3AED9AC-766F-4B1C-B328-4E68B918AB56}"/>
    <cellStyle name="20 % – uthevingsfarge 2 2 2" xfId="108" xr:uid="{5029FBC6-F022-4A98-A600-39D6B7E083F2}"/>
    <cellStyle name="20 % – uthevingsfarge 2 2 2 2" xfId="199" xr:uid="{5029FBC6-F022-4A98-A600-39D6B7E083F2}"/>
    <cellStyle name="20 % – uthevingsfarge 2 2 2 2 2" xfId="380" xr:uid="{2497E092-78F7-4E0B-9395-939ADF0A0AD5}"/>
    <cellStyle name="20 % – uthevingsfarge 2 2 2 2 2 2" xfId="785" xr:uid="{93ECB606-A208-4975-8414-04369E3A82D6}"/>
    <cellStyle name="20 % – uthevingsfarge 2 2 2 2 3" xfId="496" xr:uid="{DEEBF914-4CF3-41A0-AAF6-4AFD4C2A6CB9}"/>
    <cellStyle name="20 % – uthevingsfarge 2 2 2 2 3 2" xfId="901" xr:uid="{6130303D-65A1-475E-91DE-68B89892F90B}"/>
    <cellStyle name="20 % – uthevingsfarge 2 2 2 2 4" xfId="608" xr:uid="{BC84B6CA-0D3C-4805-9BE0-881977B537C0}"/>
    <cellStyle name="20 % – uthevingsfarge 2 2 2 3" xfId="290" xr:uid="{56A945FC-E2D6-4362-B8FF-19866E7D7A3A}"/>
    <cellStyle name="20 % – uthevingsfarge 2 2 2 3 2" xfId="695" xr:uid="{0E0C810B-87A8-40BF-BDB5-E24496EBFD71}"/>
    <cellStyle name="20 % – uthevingsfarge 2 2 2 4" xfId="440" xr:uid="{D8F3B62C-E3E4-406D-9815-A57A215A3DE9}"/>
    <cellStyle name="20 % – uthevingsfarge 2 2 2 4 2" xfId="845" xr:uid="{CD4A0815-7DAD-464F-962F-8F7E1E674960}"/>
    <cellStyle name="20 % – uthevingsfarge 2 2 2 5" xfId="552" xr:uid="{5A6A1817-B5D3-4CCF-8CB5-364C046E9286}"/>
    <cellStyle name="20 % – uthevingsfarge 2 2 3" xfId="154" xr:uid="{B3AED9AC-766F-4B1C-B328-4E68B918AB56}"/>
    <cellStyle name="20 % – uthevingsfarge 2 2 3 2" xfId="335" xr:uid="{45D92C96-571B-41F7-AB16-D4F9820BFE94}"/>
    <cellStyle name="20 % – uthevingsfarge 2 2 3 2 2" xfId="740" xr:uid="{F2DEABDF-F93C-40CD-A781-896BFF9118E8}"/>
    <cellStyle name="20 % – uthevingsfarge 2 2 3 3" xfId="468" xr:uid="{A7C1F317-3A3A-4C28-A963-60A4C97B0147}"/>
    <cellStyle name="20 % – uthevingsfarge 2 2 3 3 2" xfId="873" xr:uid="{9DC3B878-D5B2-4FB0-9B8A-BB5995D345D6}"/>
    <cellStyle name="20 % – uthevingsfarge 2 2 3 4" xfId="580" xr:uid="{8337460E-6324-4BC2-A532-C42458116834}"/>
    <cellStyle name="20 % – uthevingsfarge 2 2 4" xfId="245" xr:uid="{D01918E5-A292-4BAA-A2A6-44D7DD0F45CE}"/>
    <cellStyle name="20 % – uthevingsfarge 2 2 4 2" xfId="650" xr:uid="{5FCF83A1-A3C6-4D16-A7F9-545C3B73DA36}"/>
    <cellStyle name="20 % – uthevingsfarge 2 2 5" xfId="412" xr:uid="{6DDA16EB-3A2C-49CA-A1CD-3F0B4917CE78}"/>
    <cellStyle name="20 % – uthevingsfarge 2 2 5 2" xfId="817" xr:uid="{4E68BA2A-B40D-4A5E-B2D7-DEF4F227D812}"/>
    <cellStyle name="20 % – uthevingsfarge 2 2 6" xfId="524" xr:uid="{FAA12D45-254B-441A-B622-23EE06A9C7C2}"/>
    <cellStyle name="20 % – uthevingsfarge 2 3" xfId="86" xr:uid="{B15B0194-24CC-4301-8681-A1238F665FAE}"/>
    <cellStyle name="20 % – uthevingsfarge 2 3 2" xfId="177" xr:uid="{B15B0194-24CC-4301-8681-A1238F665FAE}"/>
    <cellStyle name="20 % – uthevingsfarge 2 3 2 2" xfId="358" xr:uid="{5D235B23-0DF2-47C0-80BB-D7CFEEF4912B}"/>
    <cellStyle name="20 % – uthevingsfarge 2 3 2 2 2" xfId="763" xr:uid="{CC6EF88B-03EF-4334-B81E-65A3E1E0A2F0}"/>
    <cellStyle name="20 % – uthevingsfarge 2 3 2 3" xfId="482" xr:uid="{E38AB96E-10B6-45F8-9DDB-7087DC43755E}"/>
    <cellStyle name="20 % – uthevingsfarge 2 3 2 3 2" xfId="887" xr:uid="{93F7AC90-2753-4745-9328-4BADD944390B}"/>
    <cellStyle name="20 % – uthevingsfarge 2 3 2 4" xfId="594" xr:uid="{8A3BF455-1BE8-4580-842E-923499626372}"/>
    <cellStyle name="20 % – uthevingsfarge 2 3 3" xfId="268" xr:uid="{A56C0A47-0A74-493E-AF7E-7DE403CB34EB}"/>
    <cellStyle name="20 % – uthevingsfarge 2 3 3 2" xfId="673" xr:uid="{2B8E9D24-03A9-4D7C-9A72-C118887C6986}"/>
    <cellStyle name="20 % – uthevingsfarge 2 3 4" xfId="426" xr:uid="{C6C484D6-5E95-486A-B98D-31E3F0680E15}"/>
    <cellStyle name="20 % – uthevingsfarge 2 3 4 2" xfId="831" xr:uid="{195CD905-8B05-446A-AF40-199B15322FDF}"/>
    <cellStyle name="20 % – uthevingsfarge 2 3 5" xfId="538" xr:uid="{A4F1DFFA-39F7-4A86-9F94-73DAA08740CE}"/>
    <cellStyle name="20 % – uthevingsfarge 2 4" xfId="223" xr:uid="{A190024C-BAF2-458D-B33C-3527DC30306A}"/>
    <cellStyle name="20 % – uthevingsfarge 2 4 2" xfId="628" xr:uid="{621F0075-CE3D-47C9-B93D-28360B91F0F8}"/>
    <cellStyle name="20 % – uthevingsfarge 2 5" xfId="398" xr:uid="{C6D262E2-18FC-4F94-9210-02AF4CD52CE3}"/>
    <cellStyle name="20 % – uthevingsfarge 2 5 2" xfId="803" xr:uid="{752A1572-A3EE-45F4-8CC6-4EAEE0D82746}"/>
    <cellStyle name="20 % – uthevingsfarge 2 6" xfId="510" xr:uid="{5C6282FD-410F-4783-B9FE-B9FEC141A55F}"/>
    <cellStyle name="20 % – uthevingsfarge 3" xfId="32" builtinId="38" customBuiltin="1"/>
    <cellStyle name="20 % – uthevingsfarge 3 2" xfId="64" xr:uid="{F3A8A4CC-6C3C-4B28-8DB1-3DD8AECEF808}"/>
    <cellStyle name="20 % – uthevingsfarge 3 2 2" xfId="110" xr:uid="{9DC43277-9B3D-4B3B-AB45-AB787189314D}"/>
    <cellStyle name="20 % – uthevingsfarge 3 2 2 2" xfId="201" xr:uid="{9DC43277-9B3D-4B3B-AB45-AB787189314D}"/>
    <cellStyle name="20 % – uthevingsfarge 3 2 2 2 2" xfId="382" xr:uid="{A2FD05BA-E1CC-41DA-9C4A-946E590B7A98}"/>
    <cellStyle name="20 % – uthevingsfarge 3 2 2 2 2 2" xfId="787" xr:uid="{BB0EFF1D-9141-46DF-97E5-05521E78481E}"/>
    <cellStyle name="20 % – uthevingsfarge 3 2 2 2 3" xfId="498" xr:uid="{86209662-65DD-4EBA-9C6E-A018076082E1}"/>
    <cellStyle name="20 % – uthevingsfarge 3 2 2 2 3 2" xfId="903" xr:uid="{1E831EAD-379C-486E-A126-4FE9B268CD22}"/>
    <cellStyle name="20 % – uthevingsfarge 3 2 2 2 4" xfId="610" xr:uid="{745E6F5E-7560-4C4D-B79A-785D4E89AAED}"/>
    <cellStyle name="20 % – uthevingsfarge 3 2 2 3" xfId="292" xr:uid="{3717DDEF-0A0E-4AF3-B130-27A1785A13DB}"/>
    <cellStyle name="20 % – uthevingsfarge 3 2 2 3 2" xfId="697" xr:uid="{4009659B-5944-4E2F-BC7E-2B477DE2E7A3}"/>
    <cellStyle name="20 % – uthevingsfarge 3 2 2 4" xfId="442" xr:uid="{148D7767-3339-40E1-9284-27B3B1E1BC78}"/>
    <cellStyle name="20 % – uthevingsfarge 3 2 2 4 2" xfId="847" xr:uid="{65ECF4C7-A01A-4303-8192-9F955F78B87C}"/>
    <cellStyle name="20 % – uthevingsfarge 3 2 2 5" xfId="554" xr:uid="{B938DF9B-9BCA-44B5-BB64-9B6EA41EE7B7}"/>
    <cellStyle name="20 % – uthevingsfarge 3 2 3" xfId="156" xr:uid="{F3A8A4CC-6C3C-4B28-8DB1-3DD8AECEF808}"/>
    <cellStyle name="20 % – uthevingsfarge 3 2 3 2" xfId="337" xr:uid="{CC04835A-D27C-4545-81CD-FE6B1F711E9C}"/>
    <cellStyle name="20 % – uthevingsfarge 3 2 3 2 2" xfId="742" xr:uid="{3C5DE9D2-29DB-462D-8091-B4814366ADC1}"/>
    <cellStyle name="20 % – uthevingsfarge 3 2 3 3" xfId="470" xr:uid="{0F229BDF-36AB-46E7-AD9B-902166EADD6B}"/>
    <cellStyle name="20 % – uthevingsfarge 3 2 3 3 2" xfId="875" xr:uid="{222C66E9-D1BA-4F00-9210-73CFC9AAD2EB}"/>
    <cellStyle name="20 % – uthevingsfarge 3 2 3 4" xfId="582" xr:uid="{C9BC637B-BF12-4689-8FDC-FDBAF4405188}"/>
    <cellStyle name="20 % – uthevingsfarge 3 2 4" xfId="247" xr:uid="{72E17FD6-6B5C-4EFD-8192-6026195BCE3D}"/>
    <cellStyle name="20 % – uthevingsfarge 3 2 4 2" xfId="652" xr:uid="{3CDF487A-8AD9-4DD2-A17A-F338955A3F63}"/>
    <cellStyle name="20 % – uthevingsfarge 3 2 5" xfId="414" xr:uid="{A19CE4C6-97E2-4AA2-A7A9-07FDA4F880C3}"/>
    <cellStyle name="20 % – uthevingsfarge 3 2 5 2" xfId="819" xr:uid="{000A474A-FD5A-42B4-BD03-02374832948B}"/>
    <cellStyle name="20 % – uthevingsfarge 3 2 6" xfId="526" xr:uid="{1DBFCAB3-332A-4FCF-8814-5D0D053B330D}"/>
    <cellStyle name="20 % – uthevingsfarge 3 3" xfId="88" xr:uid="{5F6BB9A2-1001-494C-AF90-3B2A714B8466}"/>
    <cellStyle name="20 % – uthevingsfarge 3 3 2" xfId="179" xr:uid="{5F6BB9A2-1001-494C-AF90-3B2A714B8466}"/>
    <cellStyle name="20 % – uthevingsfarge 3 3 2 2" xfId="360" xr:uid="{A2C5D3FD-5E34-4D99-AAA5-17320E6679CB}"/>
    <cellStyle name="20 % – uthevingsfarge 3 3 2 2 2" xfId="765" xr:uid="{81A4150E-0BCD-4100-B03E-E20C720F001E}"/>
    <cellStyle name="20 % – uthevingsfarge 3 3 2 3" xfId="484" xr:uid="{77A18B2E-50EB-423C-84BA-DBD56E123E94}"/>
    <cellStyle name="20 % – uthevingsfarge 3 3 2 3 2" xfId="889" xr:uid="{A786B1DF-D5E9-49E7-B4F0-CDAE8285EEAB}"/>
    <cellStyle name="20 % – uthevingsfarge 3 3 2 4" xfId="596" xr:uid="{1669ADDC-7A7D-4AA5-B6DC-262F07AF6C96}"/>
    <cellStyle name="20 % – uthevingsfarge 3 3 3" xfId="270" xr:uid="{AD854C61-501B-4745-92E5-79D32B38EB4D}"/>
    <cellStyle name="20 % – uthevingsfarge 3 3 3 2" xfId="675" xr:uid="{5D18AE9F-A630-4E6C-95B0-9E8496D4C01F}"/>
    <cellStyle name="20 % – uthevingsfarge 3 3 4" xfId="428" xr:uid="{1B5668B7-4A11-412A-8294-8737ADBE8AFC}"/>
    <cellStyle name="20 % – uthevingsfarge 3 3 4 2" xfId="833" xr:uid="{01859415-65ED-466A-B859-A12E1256124F}"/>
    <cellStyle name="20 % – uthevingsfarge 3 3 5" xfId="540" xr:uid="{5B6CFD60-C276-47CC-8E40-724A8FE24A88}"/>
    <cellStyle name="20 % – uthevingsfarge 3 4" xfId="225" xr:uid="{0F3426D1-2CDC-4433-9F85-6AB794518780}"/>
    <cellStyle name="20 % – uthevingsfarge 3 4 2" xfId="630" xr:uid="{D13FA40B-1E4E-49E7-91A7-83EA1B17D89C}"/>
    <cellStyle name="20 % – uthevingsfarge 3 5" xfId="400" xr:uid="{D4262C8B-5CFA-42A5-8C9D-14B08E10E555}"/>
    <cellStyle name="20 % – uthevingsfarge 3 5 2" xfId="805" xr:uid="{BC10C951-98CC-4A85-8345-52E5513C2A5E}"/>
    <cellStyle name="20 % – uthevingsfarge 3 6" xfId="512" xr:uid="{6B2B8680-3D9D-49CB-B8E1-C1542D4A6C11}"/>
    <cellStyle name="20 % – uthevingsfarge 4" xfId="35" builtinId="42" customBuiltin="1"/>
    <cellStyle name="20 % – uthevingsfarge 4 2" xfId="66" xr:uid="{A901FB86-3FD4-4900-9599-969E6EB31188}"/>
    <cellStyle name="20 % – uthevingsfarge 4 2 2" xfId="112" xr:uid="{FD53EB3D-43D6-4633-BE96-1E6D942C25EE}"/>
    <cellStyle name="20 % – uthevingsfarge 4 2 2 2" xfId="203" xr:uid="{FD53EB3D-43D6-4633-BE96-1E6D942C25EE}"/>
    <cellStyle name="20 % – uthevingsfarge 4 2 2 2 2" xfId="384" xr:uid="{C8BAB297-1753-440B-B77F-033938D0B533}"/>
    <cellStyle name="20 % – uthevingsfarge 4 2 2 2 2 2" xfId="789" xr:uid="{368E0E87-3F70-4631-A279-2D386B3B3D63}"/>
    <cellStyle name="20 % – uthevingsfarge 4 2 2 2 3" xfId="500" xr:uid="{94CB9D99-46ED-493B-B825-992645158A66}"/>
    <cellStyle name="20 % – uthevingsfarge 4 2 2 2 3 2" xfId="905" xr:uid="{557BB0FB-2816-43BF-BC81-5706615CF6B4}"/>
    <cellStyle name="20 % – uthevingsfarge 4 2 2 2 4" xfId="612" xr:uid="{3FAA1F35-112E-4D7C-9F25-692C9610F1A9}"/>
    <cellStyle name="20 % – uthevingsfarge 4 2 2 3" xfId="294" xr:uid="{3FB09976-A0A4-4BC3-A310-961D2A6DF713}"/>
    <cellStyle name="20 % – uthevingsfarge 4 2 2 3 2" xfId="699" xr:uid="{48F27AD8-453D-44FA-B765-680914226802}"/>
    <cellStyle name="20 % – uthevingsfarge 4 2 2 4" xfId="444" xr:uid="{93478C39-EB44-45B2-B8CA-0B935D064B5B}"/>
    <cellStyle name="20 % – uthevingsfarge 4 2 2 4 2" xfId="849" xr:uid="{9BAC2651-44D2-4A66-86B6-D1CF774D3758}"/>
    <cellStyle name="20 % – uthevingsfarge 4 2 2 5" xfId="556" xr:uid="{FB850073-5EB8-450F-9A4D-36717D6E3AA2}"/>
    <cellStyle name="20 % – uthevingsfarge 4 2 3" xfId="158" xr:uid="{A901FB86-3FD4-4900-9599-969E6EB31188}"/>
    <cellStyle name="20 % – uthevingsfarge 4 2 3 2" xfId="339" xr:uid="{6D5FD79D-D7B8-4E9A-98D9-73EC030DAFEC}"/>
    <cellStyle name="20 % – uthevingsfarge 4 2 3 2 2" xfId="744" xr:uid="{F53AEFC5-32CB-413A-8F60-3F4119423D37}"/>
    <cellStyle name="20 % – uthevingsfarge 4 2 3 3" xfId="472" xr:uid="{066C572F-34CA-4DF9-99CD-02602A3C82BE}"/>
    <cellStyle name="20 % – uthevingsfarge 4 2 3 3 2" xfId="877" xr:uid="{D38AB384-6ABE-42C0-92D3-AF18A9BD2968}"/>
    <cellStyle name="20 % – uthevingsfarge 4 2 3 4" xfId="584" xr:uid="{5E48C433-7977-4747-A0C1-E5C32B432E6A}"/>
    <cellStyle name="20 % – uthevingsfarge 4 2 4" xfId="249" xr:uid="{CA9977C2-45B1-4460-AD4C-34CD969203F6}"/>
    <cellStyle name="20 % – uthevingsfarge 4 2 4 2" xfId="654" xr:uid="{7248A951-0597-48E1-80D3-79B2C75F2B55}"/>
    <cellStyle name="20 % – uthevingsfarge 4 2 5" xfId="416" xr:uid="{9D715BA1-1589-4236-9E5F-04FE0531AD9B}"/>
    <cellStyle name="20 % – uthevingsfarge 4 2 5 2" xfId="821" xr:uid="{21A93B1D-4D40-4D9F-8DD4-06C091D8D2D1}"/>
    <cellStyle name="20 % – uthevingsfarge 4 2 6" xfId="528" xr:uid="{F3B3133D-4E1B-4A96-A23D-D6CC15BF94E3}"/>
    <cellStyle name="20 % – uthevingsfarge 4 3" xfId="90" xr:uid="{8823D115-013A-4AAA-9A00-B0AA669BE327}"/>
    <cellStyle name="20 % – uthevingsfarge 4 3 2" xfId="181" xr:uid="{8823D115-013A-4AAA-9A00-B0AA669BE327}"/>
    <cellStyle name="20 % – uthevingsfarge 4 3 2 2" xfId="362" xr:uid="{F12B88A8-42F4-46FD-B9B7-EA6E22B46DE9}"/>
    <cellStyle name="20 % – uthevingsfarge 4 3 2 2 2" xfId="767" xr:uid="{DFC9D687-7F0F-4ED5-B747-DDD559D4A99A}"/>
    <cellStyle name="20 % – uthevingsfarge 4 3 2 3" xfId="486" xr:uid="{5FB5F2B3-3F4E-42AF-9C9B-380836F1409D}"/>
    <cellStyle name="20 % – uthevingsfarge 4 3 2 3 2" xfId="891" xr:uid="{B86D9DB8-D73F-42E7-A1D2-C33218152F26}"/>
    <cellStyle name="20 % – uthevingsfarge 4 3 2 4" xfId="598" xr:uid="{4EF2AC48-6FC8-4AB7-AE3E-956158B345C4}"/>
    <cellStyle name="20 % – uthevingsfarge 4 3 3" xfId="272" xr:uid="{D46547B8-1E40-4138-84F7-1EF746626682}"/>
    <cellStyle name="20 % – uthevingsfarge 4 3 3 2" xfId="677" xr:uid="{194E8A27-4633-481E-9CEB-4DB8A3FA45FF}"/>
    <cellStyle name="20 % – uthevingsfarge 4 3 4" xfId="430" xr:uid="{E4D357FE-80BC-4D30-82C9-60798233DEFE}"/>
    <cellStyle name="20 % – uthevingsfarge 4 3 4 2" xfId="835" xr:uid="{0EEE2A4C-093F-40DF-B541-FB651A4A5245}"/>
    <cellStyle name="20 % – uthevingsfarge 4 3 5" xfId="542" xr:uid="{C65A631F-7F66-4C86-AFD7-3AB2D60AB5A8}"/>
    <cellStyle name="20 % – uthevingsfarge 4 4" xfId="227" xr:uid="{66F1566B-B9CF-4A66-BEB2-72452316683D}"/>
    <cellStyle name="20 % – uthevingsfarge 4 4 2" xfId="632" xr:uid="{4658A909-56FD-4AAC-8991-3A653AC8EB8D}"/>
    <cellStyle name="20 % – uthevingsfarge 4 5" xfId="402" xr:uid="{705E6E3C-206B-4014-B9CB-FAFB218CFDE0}"/>
    <cellStyle name="20 % – uthevingsfarge 4 5 2" xfId="807" xr:uid="{4BDCDD17-9813-428B-8AD8-807FADAB1E02}"/>
    <cellStyle name="20 % – uthevingsfarge 4 6" xfId="514" xr:uid="{38EF348B-A759-46D9-A70B-021FA8CA5B2D}"/>
    <cellStyle name="20 % – uthevingsfarge 5" xfId="38" builtinId="46" customBuiltin="1"/>
    <cellStyle name="20 % – uthevingsfarge 5 2" xfId="68" xr:uid="{D4CDCD75-7D40-4E9C-A780-897188E7D28C}"/>
    <cellStyle name="20 % – uthevingsfarge 5 2 2" xfId="114" xr:uid="{97E4EAA4-3596-4E76-BCEE-013842DAC568}"/>
    <cellStyle name="20 % – uthevingsfarge 5 2 2 2" xfId="205" xr:uid="{97E4EAA4-3596-4E76-BCEE-013842DAC568}"/>
    <cellStyle name="20 % – uthevingsfarge 5 2 2 2 2" xfId="386" xr:uid="{4D5294BC-D2EF-430F-9A57-1FABCAD0A69C}"/>
    <cellStyle name="20 % – uthevingsfarge 5 2 2 2 2 2" xfId="791" xr:uid="{B694ECA4-40C8-492F-90FA-CD54C967BBFE}"/>
    <cellStyle name="20 % – uthevingsfarge 5 2 2 2 3" xfId="502" xr:uid="{83264C8A-C7D7-43E3-9038-4EE24858216B}"/>
    <cellStyle name="20 % – uthevingsfarge 5 2 2 2 3 2" xfId="907" xr:uid="{FA7F750A-0746-433D-B402-13D8CF5E4A20}"/>
    <cellStyle name="20 % – uthevingsfarge 5 2 2 2 4" xfId="614" xr:uid="{5C0B862A-8462-48B8-B937-7F4F91A00CD2}"/>
    <cellStyle name="20 % – uthevingsfarge 5 2 2 3" xfId="296" xr:uid="{5097D8F9-F3E5-42E9-8BE5-8CCC46C6343F}"/>
    <cellStyle name="20 % – uthevingsfarge 5 2 2 3 2" xfId="701" xr:uid="{A5BB48F1-347B-4A37-851C-4877CAB26111}"/>
    <cellStyle name="20 % – uthevingsfarge 5 2 2 4" xfId="446" xr:uid="{10B5018B-534A-4CF1-89A6-CC9BDA1CEDB8}"/>
    <cellStyle name="20 % – uthevingsfarge 5 2 2 4 2" xfId="851" xr:uid="{003B331A-C4B9-459E-97B2-2F9A3C2BEDBB}"/>
    <cellStyle name="20 % – uthevingsfarge 5 2 2 5" xfId="558" xr:uid="{3EBCE29C-5BB3-4AC7-AF7E-C6A11EA89401}"/>
    <cellStyle name="20 % – uthevingsfarge 5 2 3" xfId="160" xr:uid="{D4CDCD75-7D40-4E9C-A780-897188E7D28C}"/>
    <cellStyle name="20 % – uthevingsfarge 5 2 3 2" xfId="341" xr:uid="{F0BE77E3-F65B-4527-9907-7EA41BE72E44}"/>
    <cellStyle name="20 % – uthevingsfarge 5 2 3 2 2" xfId="746" xr:uid="{8D32128D-CD35-4806-9C54-EE9EA457A44C}"/>
    <cellStyle name="20 % – uthevingsfarge 5 2 3 3" xfId="474" xr:uid="{D692160E-8F8B-480F-8232-99D9A989316E}"/>
    <cellStyle name="20 % – uthevingsfarge 5 2 3 3 2" xfId="879" xr:uid="{B23F338C-EF59-4843-9AEB-374B363E00AC}"/>
    <cellStyle name="20 % – uthevingsfarge 5 2 3 4" xfId="586" xr:uid="{4F6A0F58-107B-4535-81C3-92B51ABBAD3F}"/>
    <cellStyle name="20 % – uthevingsfarge 5 2 4" xfId="251" xr:uid="{8E08921A-9E6C-48EF-9E73-98ED9964BEEC}"/>
    <cellStyle name="20 % – uthevingsfarge 5 2 4 2" xfId="656" xr:uid="{1CD13724-C52C-405E-989C-B7D752DC7CD9}"/>
    <cellStyle name="20 % – uthevingsfarge 5 2 5" xfId="418" xr:uid="{EDA97413-84F1-444C-BC77-F5E7E89FDA22}"/>
    <cellStyle name="20 % – uthevingsfarge 5 2 5 2" xfId="823" xr:uid="{B563E7F9-AAA8-4006-A242-DF3E6428DF65}"/>
    <cellStyle name="20 % – uthevingsfarge 5 2 6" xfId="530" xr:uid="{745D3E20-C97F-466D-92E6-B44995D874A1}"/>
    <cellStyle name="20 % – uthevingsfarge 5 3" xfId="92" xr:uid="{7BF354A8-1F9B-479C-BCA8-D573A849AF23}"/>
    <cellStyle name="20 % – uthevingsfarge 5 3 2" xfId="183" xr:uid="{7BF354A8-1F9B-479C-BCA8-D573A849AF23}"/>
    <cellStyle name="20 % – uthevingsfarge 5 3 2 2" xfId="364" xr:uid="{361D4C08-8B6D-4A37-8C4D-7B46124D4215}"/>
    <cellStyle name="20 % – uthevingsfarge 5 3 2 2 2" xfId="769" xr:uid="{E667F0F3-350C-444A-98D3-34307052070D}"/>
    <cellStyle name="20 % – uthevingsfarge 5 3 2 3" xfId="488" xr:uid="{0D9AE378-857F-4988-9F1D-F77B015B5456}"/>
    <cellStyle name="20 % – uthevingsfarge 5 3 2 3 2" xfId="893" xr:uid="{590191EF-3563-4F93-85FE-54DC83135157}"/>
    <cellStyle name="20 % – uthevingsfarge 5 3 2 4" xfId="600" xr:uid="{EA642DED-5F65-4E7A-A504-16B49F4D2EF5}"/>
    <cellStyle name="20 % – uthevingsfarge 5 3 3" xfId="274" xr:uid="{02BF8B48-1FF3-43A4-AC97-D2FFD581ABB2}"/>
    <cellStyle name="20 % – uthevingsfarge 5 3 3 2" xfId="679" xr:uid="{0E8A1A2D-024D-495B-8815-DA43E8FBE3E3}"/>
    <cellStyle name="20 % – uthevingsfarge 5 3 4" xfId="432" xr:uid="{A9AA6944-7231-4269-B692-CC6F84B41FCF}"/>
    <cellStyle name="20 % – uthevingsfarge 5 3 4 2" xfId="837" xr:uid="{9EF1FCEC-0624-4791-9113-CDBBF6D098AD}"/>
    <cellStyle name="20 % – uthevingsfarge 5 3 5" xfId="544" xr:uid="{8501D032-D465-4F75-9A62-5F54E5FFE665}"/>
    <cellStyle name="20 % – uthevingsfarge 5 4" xfId="229" xr:uid="{E611E65A-B025-459F-B6F5-EADA062BAF18}"/>
    <cellStyle name="20 % – uthevingsfarge 5 4 2" xfId="634" xr:uid="{84036C6B-170E-4C0A-8BC6-6F25F5AF6FFD}"/>
    <cellStyle name="20 % – uthevingsfarge 5 5" xfId="404" xr:uid="{7E4C9E5C-A176-4D5A-9439-2BAB0F35E28B}"/>
    <cellStyle name="20 % – uthevingsfarge 5 5 2" xfId="809" xr:uid="{34D668AB-61D0-46C3-BAF6-996691FB5244}"/>
    <cellStyle name="20 % – uthevingsfarge 5 6" xfId="516" xr:uid="{C3A02276-426A-404F-8F86-90D98A2C429A}"/>
    <cellStyle name="20 % – uthevingsfarge 6" xfId="41" builtinId="50" customBuiltin="1"/>
    <cellStyle name="20 % – uthevingsfarge 6 2" xfId="70" xr:uid="{B718F0AB-5A1D-4E94-92D4-3DBD7030E1B7}"/>
    <cellStyle name="20 % – uthevingsfarge 6 2 2" xfId="116" xr:uid="{7DB3CD0A-5220-4512-839D-BC6FD007D250}"/>
    <cellStyle name="20 % – uthevingsfarge 6 2 2 2" xfId="207" xr:uid="{7DB3CD0A-5220-4512-839D-BC6FD007D250}"/>
    <cellStyle name="20 % – uthevingsfarge 6 2 2 2 2" xfId="388" xr:uid="{BD1423DF-8764-447B-8E37-5A94FD21D533}"/>
    <cellStyle name="20 % – uthevingsfarge 6 2 2 2 2 2" xfId="793" xr:uid="{8428B751-77D6-499E-A012-F16358F98E8D}"/>
    <cellStyle name="20 % – uthevingsfarge 6 2 2 2 3" xfId="504" xr:uid="{78292BDB-1021-435C-9908-706CA8E67093}"/>
    <cellStyle name="20 % – uthevingsfarge 6 2 2 2 3 2" xfId="909" xr:uid="{F75130DE-A098-4AE9-9C55-3070D0C59971}"/>
    <cellStyle name="20 % – uthevingsfarge 6 2 2 2 4" xfId="616" xr:uid="{0322B883-A50E-45BB-8015-BBF7A463CABC}"/>
    <cellStyle name="20 % – uthevingsfarge 6 2 2 3" xfId="298" xr:uid="{71CD3400-6BC7-4A06-9253-C7617EFFB0CE}"/>
    <cellStyle name="20 % – uthevingsfarge 6 2 2 3 2" xfId="703" xr:uid="{796A4140-164B-4AA3-97A7-266A26C4FEF5}"/>
    <cellStyle name="20 % – uthevingsfarge 6 2 2 4" xfId="448" xr:uid="{9E140C96-75C4-48A7-982B-F41A0F67A221}"/>
    <cellStyle name="20 % – uthevingsfarge 6 2 2 4 2" xfId="853" xr:uid="{3E8BA1B4-6D50-402A-83A0-95B2F0263051}"/>
    <cellStyle name="20 % – uthevingsfarge 6 2 2 5" xfId="560" xr:uid="{E57A4C86-6E6E-4127-9754-6881E73AAD17}"/>
    <cellStyle name="20 % – uthevingsfarge 6 2 3" xfId="162" xr:uid="{B718F0AB-5A1D-4E94-92D4-3DBD7030E1B7}"/>
    <cellStyle name="20 % – uthevingsfarge 6 2 3 2" xfId="343" xr:uid="{814A65CF-90BE-4979-A0FA-078CC0CE1FE6}"/>
    <cellStyle name="20 % – uthevingsfarge 6 2 3 2 2" xfId="748" xr:uid="{B27A2046-557C-4D9E-9830-BF9DB62C9E33}"/>
    <cellStyle name="20 % – uthevingsfarge 6 2 3 3" xfId="476" xr:uid="{7AF8B795-5D4A-4AFC-9707-54201860690D}"/>
    <cellStyle name="20 % – uthevingsfarge 6 2 3 3 2" xfId="881" xr:uid="{2940555C-6420-4983-A6A2-B13A0B7BB190}"/>
    <cellStyle name="20 % – uthevingsfarge 6 2 3 4" xfId="588" xr:uid="{AABFBA82-0F78-49D2-9952-CD053A7EAC11}"/>
    <cellStyle name="20 % – uthevingsfarge 6 2 4" xfId="253" xr:uid="{A1FA93B0-F94E-4B46-99C9-9BEB6AA09976}"/>
    <cellStyle name="20 % – uthevingsfarge 6 2 4 2" xfId="658" xr:uid="{932AF0FF-D49B-47DC-92B2-0E86B34DE462}"/>
    <cellStyle name="20 % – uthevingsfarge 6 2 5" xfId="420" xr:uid="{6157BEA8-7BAF-4B91-B33B-5405E58E5F42}"/>
    <cellStyle name="20 % – uthevingsfarge 6 2 5 2" xfId="825" xr:uid="{8DE6366E-8FC6-43DC-9310-5267A9D3848D}"/>
    <cellStyle name="20 % – uthevingsfarge 6 2 6" xfId="532" xr:uid="{80E0B846-B0B1-4887-9661-AD6FC8A24377}"/>
    <cellStyle name="20 % – uthevingsfarge 6 3" xfId="94" xr:uid="{F42C7247-19A2-4899-8C46-09046A90FEBB}"/>
    <cellStyle name="20 % – uthevingsfarge 6 3 2" xfId="185" xr:uid="{F42C7247-19A2-4899-8C46-09046A90FEBB}"/>
    <cellStyle name="20 % – uthevingsfarge 6 3 2 2" xfId="366" xr:uid="{6C6A99E7-80BC-4195-8CAD-02B54880906C}"/>
    <cellStyle name="20 % – uthevingsfarge 6 3 2 2 2" xfId="771" xr:uid="{B2ADBDF0-1B07-49F0-97A3-5611CE9DC564}"/>
    <cellStyle name="20 % – uthevingsfarge 6 3 2 3" xfId="490" xr:uid="{07864ACB-CD31-4981-A607-B391024D870F}"/>
    <cellStyle name="20 % – uthevingsfarge 6 3 2 3 2" xfId="895" xr:uid="{9A2A5CAE-BD9C-48D5-A080-018F0650B9CD}"/>
    <cellStyle name="20 % – uthevingsfarge 6 3 2 4" xfId="602" xr:uid="{5409C441-D77F-417B-BE5B-13D17B822413}"/>
    <cellStyle name="20 % – uthevingsfarge 6 3 3" xfId="276" xr:uid="{BDEA70C0-28D0-4E33-B458-862F7B6609CD}"/>
    <cellStyle name="20 % – uthevingsfarge 6 3 3 2" xfId="681" xr:uid="{223A7650-9EE5-4CFB-AEAE-EEC3C47031F1}"/>
    <cellStyle name="20 % – uthevingsfarge 6 3 4" xfId="434" xr:uid="{7C37B0B0-6DEF-4DB2-8240-FCD6B67257C1}"/>
    <cellStyle name="20 % – uthevingsfarge 6 3 4 2" xfId="839" xr:uid="{80574BAD-A454-4C14-9B09-EDA8E5C9B63F}"/>
    <cellStyle name="20 % – uthevingsfarge 6 3 5" xfId="546" xr:uid="{8E5B1793-35FD-4E7C-94DA-A7113A4F8C15}"/>
    <cellStyle name="20 % – uthevingsfarge 6 4" xfId="231" xr:uid="{0235E1BB-6D8D-4E87-B637-8BA5395581DC}"/>
    <cellStyle name="20 % – uthevingsfarge 6 4 2" xfId="636" xr:uid="{39CC3A52-50E4-49D6-B504-96115EF8B218}"/>
    <cellStyle name="20 % – uthevingsfarge 6 5" xfId="406" xr:uid="{B0EF155E-5857-4707-9078-61C529D12BC7}"/>
    <cellStyle name="20 % – uthevingsfarge 6 5 2" xfId="811" xr:uid="{A1B6DDB0-72C7-40B8-AA76-1B2AEFF303A8}"/>
    <cellStyle name="20 % – uthevingsfarge 6 6" xfId="518" xr:uid="{BED02215-98F2-4A8D-9F28-4A256A30A14A}"/>
    <cellStyle name="20% - Accent1 2" xfId="130" xr:uid="{00000000-0005-0000-0000-000099000000}"/>
    <cellStyle name="20% - Accent1 2 2" xfId="311" xr:uid="{9280D452-9F3A-40BA-9030-BE4DC7A53B51}"/>
    <cellStyle name="20% - Accent1 2 2 2" xfId="716" xr:uid="{756A8EB0-C3FB-47D2-8472-295996BC53D8}"/>
    <cellStyle name="20% - Accent1 2 3" xfId="452" xr:uid="{4906DF80-57B7-49F4-B3BD-CC8F80146591}"/>
    <cellStyle name="20% - Accent1 2 3 2" xfId="857" xr:uid="{67693564-EDC7-4C2B-8B5D-D8B9A54FB220}"/>
    <cellStyle name="20% - Accent1 2 4" xfId="564" xr:uid="{FC3A4AA7-C850-439D-B8A2-FAA96BEE7BA0}"/>
    <cellStyle name="20% - Accent2 2" xfId="132" xr:uid="{00000000-0005-0000-0000-00009A000000}"/>
    <cellStyle name="20% - Accent2 2 2" xfId="313" xr:uid="{B80AEE06-766F-4E1C-88D4-80CBAB371A1D}"/>
    <cellStyle name="20% - Accent2 2 2 2" xfId="718" xr:uid="{8A67F6E6-20BF-44FB-9671-2FD8962D5388}"/>
    <cellStyle name="20% - Accent2 2 3" xfId="454" xr:uid="{3F0BE568-CE84-475C-8065-3FC1CA8FF89F}"/>
    <cellStyle name="20% - Accent2 2 3 2" xfId="859" xr:uid="{622C0513-9243-4F5A-9E68-F93927FAF8D6}"/>
    <cellStyle name="20% - Accent2 2 4" xfId="566" xr:uid="{31DA094D-73A2-4327-8AB9-86794EFD53CD}"/>
    <cellStyle name="20% - Accent3 2" xfId="134" xr:uid="{00000000-0005-0000-0000-00009B000000}"/>
    <cellStyle name="20% - Accent3 2 2" xfId="315" xr:uid="{0E850853-F99C-4850-8C29-104FFFBAD2EC}"/>
    <cellStyle name="20% - Accent3 2 2 2" xfId="720" xr:uid="{9AC8BF42-7E75-4989-86CB-BF8C2625BD5E}"/>
    <cellStyle name="20% - Accent3 2 3" xfId="456" xr:uid="{9B430FA2-BC8B-42D3-AC23-1F8EA101379A}"/>
    <cellStyle name="20% - Accent3 2 3 2" xfId="861" xr:uid="{6BB6719E-A3B4-497A-A6D7-D3D1DA167BBA}"/>
    <cellStyle name="20% - Accent3 2 4" xfId="568" xr:uid="{56DB9939-B876-4673-841A-5B5C6A9D79F3}"/>
    <cellStyle name="20% - Accent4 2" xfId="136" xr:uid="{00000000-0005-0000-0000-00009C000000}"/>
    <cellStyle name="20% - Accent4 2 2" xfId="317" xr:uid="{471F73F7-A1EC-4151-B0A5-69EF0ED3A90B}"/>
    <cellStyle name="20% - Accent4 2 2 2" xfId="722" xr:uid="{091FB267-09C0-41C6-9798-1B6C8964DBC7}"/>
    <cellStyle name="20% - Accent4 2 3" xfId="458" xr:uid="{1DFE2379-F212-44AD-A6D0-86B4D2A472DE}"/>
    <cellStyle name="20% - Accent4 2 3 2" xfId="863" xr:uid="{833B9C03-92A9-45D3-A11A-6B21864D8C2A}"/>
    <cellStyle name="20% - Accent4 2 4" xfId="570" xr:uid="{863B5ADB-1455-4AF8-B2D5-71F40C8834D4}"/>
    <cellStyle name="20% - Accent5 2" xfId="138" xr:uid="{00000000-0005-0000-0000-00009D000000}"/>
    <cellStyle name="20% - Accent5 2 2" xfId="319" xr:uid="{6591855D-0A57-4D6B-96B1-13447A0680A2}"/>
    <cellStyle name="20% - Accent5 2 2 2" xfId="724" xr:uid="{DBBF0BDF-0DAA-4099-B482-CCEE34DDB142}"/>
    <cellStyle name="20% - Accent5 2 3" xfId="460" xr:uid="{45161D8F-3EF3-4D99-8098-0EBF1EFD2424}"/>
    <cellStyle name="20% - Accent5 2 3 2" xfId="865" xr:uid="{F9BB1560-398F-43B0-815D-D3661C92DC16}"/>
    <cellStyle name="20% - Accent5 2 4" xfId="572" xr:uid="{FE014B5A-FB3B-43D5-8FE2-405030809C82}"/>
    <cellStyle name="20% - Accent6 2" xfId="140" xr:uid="{00000000-0005-0000-0000-00009E000000}"/>
    <cellStyle name="20% - Accent6 2 2" xfId="321" xr:uid="{AB0219C1-4B50-4E3E-B71B-FE0D54823F0A}"/>
    <cellStyle name="20% - Accent6 2 2 2" xfId="726" xr:uid="{A3A8528F-5E94-47FA-B93C-B211DF9F5A6F}"/>
    <cellStyle name="20% - Accent6 2 3" xfId="462" xr:uid="{F65B5C14-6BFC-4794-B2A4-6945A0234841}"/>
    <cellStyle name="20% - Accent6 2 3 2" xfId="867" xr:uid="{5D43A64C-1992-485F-884B-DDAD8626E626}"/>
    <cellStyle name="20% - Accent6 2 4" xfId="574" xr:uid="{104214D3-BD82-407B-93DA-FAEBF5727DED}"/>
    <cellStyle name="40 % – uthevingsfarge 1" xfId="27" builtinId="31" customBuiltin="1"/>
    <cellStyle name="40 % – uthevingsfarge 1 2" xfId="61" xr:uid="{FB53C555-2B1E-4157-90F9-EE36D3A18D1E}"/>
    <cellStyle name="40 % – uthevingsfarge 1 2 2" xfId="107" xr:uid="{00FDCFB9-0E02-4DB7-B3A7-85D58DCFF822}"/>
    <cellStyle name="40 % – uthevingsfarge 1 2 2 2" xfId="198" xr:uid="{00FDCFB9-0E02-4DB7-B3A7-85D58DCFF822}"/>
    <cellStyle name="40 % – uthevingsfarge 1 2 2 2 2" xfId="379" xr:uid="{0FB243FF-68EC-4BD9-A087-F86FAAEBB217}"/>
    <cellStyle name="40 % – uthevingsfarge 1 2 2 2 2 2" xfId="784" xr:uid="{5700CD15-C2D4-448F-8EAB-59F76AA3CE85}"/>
    <cellStyle name="40 % – uthevingsfarge 1 2 2 2 3" xfId="495" xr:uid="{5B741DA0-AECD-47BF-8718-BFC60A4B4CC6}"/>
    <cellStyle name="40 % – uthevingsfarge 1 2 2 2 3 2" xfId="900" xr:uid="{A10AC802-A3C8-4947-B4F9-EBC284FD2D43}"/>
    <cellStyle name="40 % – uthevingsfarge 1 2 2 2 4" xfId="607" xr:uid="{6DBE1CE5-AB2F-48CF-BE92-5448A8B5AE92}"/>
    <cellStyle name="40 % – uthevingsfarge 1 2 2 3" xfId="289" xr:uid="{96ACE7F1-4DB9-4553-96CF-D84F97FF5280}"/>
    <cellStyle name="40 % – uthevingsfarge 1 2 2 3 2" xfId="694" xr:uid="{4A3C6729-09E3-4B4C-BA60-1C9D0CE3D6DB}"/>
    <cellStyle name="40 % – uthevingsfarge 1 2 2 4" xfId="439" xr:uid="{B8718B7D-9CB5-49D4-B9A9-733ADEE28858}"/>
    <cellStyle name="40 % – uthevingsfarge 1 2 2 4 2" xfId="844" xr:uid="{EC157F4B-0B28-423C-9F2D-64ED54F9548A}"/>
    <cellStyle name="40 % – uthevingsfarge 1 2 2 5" xfId="551" xr:uid="{1903D712-7EA6-4245-9705-4C6B33059516}"/>
    <cellStyle name="40 % – uthevingsfarge 1 2 3" xfId="153" xr:uid="{FB53C555-2B1E-4157-90F9-EE36D3A18D1E}"/>
    <cellStyle name="40 % – uthevingsfarge 1 2 3 2" xfId="334" xr:uid="{C5D8F667-6FAF-47D3-8EDB-CABB5F87C277}"/>
    <cellStyle name="40 % – uthevingsfarge 1 2 3 2 2" xfId="739" xr:uid="{350380DA-769F-453B-A1B7-4881F2B12B2D}"/>
    <cellStyle name="40 % – uthevingsfarge 1 2 3 3" xfId="467" xr:uid="{3A977A91-57B8-47FE-87EB-A815A7B9291E}"/>
    <cellStyle name="40 % – uthevingsfarge 1 2 3 3 2" xfId="872" xr:uid="{65730F67-61DF-49F8-8220-A216B45C375C}"/>
    <cellStyle name="40 % – uthevingsfarge 1 2 3 4" xfId="579" xr:uid="{5B76C393-146E-4C81-8633-A34CC5A067E0}"/>
    <cellStyle name="40 % – uthevingsfarge 1 2 4" xfId="244" xr:uid="{EFBC2496-1D5B-44A7-A5FD-3A5047F7FFD7}"/>
    <cellStyle name="40 % – uthevingsfarge 1 2 4 2" xfId="649" xr:uid="{C73570FD-1190-46C7-8E2B-7EB5EB21EBCC}"/>
    <cellStyle name="40 % – uthevingsfarge 1 2 5" xfId="411" xr:uid="{B4660811-D28D-4933-B96A-CFEB9B3158B5}"/>
    <cellStyle name="40 % – uthevingsfarge 1 2 5 2" xfId="816" xr:uid="{76196089-FDC7-485F-8A2F-EDED31C6B695}"/>
    <cellStyle name="40 % – uthevingsfarge 1 2 6" xfId="523" xr:uid="{CB11DB7A-2AFD-461C-B554-346A3E6AE440}"/>
    <cellStyle name="40 % – uthevingsfarge 1 3" xfId="85" xr:uid="{8342596C-C822-4EDF-A008-93A2917CA306}"/>
    <cellStyle name="40 % – uthevingsfarge 1 3 2" xfId="176" xr:uid="{8342596C-C822-4EDF-A008-93A2917CA306}"/>
    <cellStyle name="40 % – uthevingsfarge 1 3 2 2" xfId="357" xr:uid="{E3B23566-12CE-4EC0-A060-4B4E868EBF4C}"/>
    <cellStyle name="40 % – uthevingsfarge 1 3 2 2 2" xfId="762" xr:uid="{A6E3553B-B0F2-43E9-BDDA-C9A7BCACB6CF}"/>
    <cellStyle name="40 % – uthevingsfarge 1 3 2 3" xfId="481" xr:uid="{CB1437E5-D57F-4D00-9556-AB7F2126E412}"/>
    <cellStyle name="40 % – uthevingsfarge 1 3 2 3 2" xfId="886" xr:uid="{5A1E052B-7E56-4CA9-9A9C-0BFD2F94018B}"/>
    <cellStyle name="40 % – uthevingsfarge 1 3 2 4" xfId="593" xr:uid="{F474357D-24BC-470C-84B2-3D3A97A21B65}"/>
    <cellStyle name="40 % – uthevingsfarge 1 3 3" xfId="267" xr:uid="{5C1C8360-82BB-49C7-952C-807365C7EF65}"/>
    <cellStyle name="40 % – uthevingsfarge 1 3 3 2" xfId="672" xr:uid="{707CA50D-4EFB-49E7-9C80-7FB8FEBBE039}"/>
    <cellStyle name="40 % – uthevingsfarge 1 3 4" xfId="425" xr:uid="{59694D94-DD16-4DD1-A6CF-6AFE01B78724}"/>
    <cellStyle name="40 % – uthevingsfarge 1 3 4 2" xfId="830" xr:uid="{289C7BCF-0BF4-46DD-A7DB-0D20AA827AA9}"/>
    <cellStyle name="40 % – uthevingsfarge 1 3 5" xfId="537" xr:uid="{7C64BBF6-BA1B-4027-AAD2-31BCBE0E2A99}"/>
    <cellStyle name="40 % – uthevingsfarge 1 4" xfId="222" xr:uid="{44DC11C9-9518-483B-9A7F-8FAC416DD48B}"/>
    <cellStyle name="40 % – uthevingsfarge 1 4 2" xfId="627" xr:uid="{0DCADD2C-9AB9-4256-BA3A-58299ACE2C68}"/>
    <cellStyle name="40 % – uthevingsfarge 1 5" xfId="397" xr:uid="{03795536-A6F3-410E-A501-B9D8FB7D0B69}"/>
    <cellStyle name="40 % – uthevingsfarge 1 5 2" xfId="802" xr:uid="{D94367AF-84FF-401A-A423-42D31CAECC56}"/>
    <cellStyle name="40 % – uthevingsfarge 1 6" xfId="509" xr:uid="{A443DBB6-9574-4B8F-8010-A3BB81417BD9}"/>
    <cellStyle name="40 % – uthevingsfarge 2" xfId="30" builtinId="35" customBuiltin="1"/>
    <cellStyle name="40 % – uthevingsfarge 2 2" xfId="63" xr:uid="{F144FC26-666F-48B5-9D58-E329703D9846}"/>
    <cellStyle name="40 % – uthevingsfarge 2 2 2" xfId="109" xr:uid="{55182C27-CA3A-49EF-A8B3-8EF545344245}"/>
    <cellStyle name="40 % – uthevingsfarge 2 2 2 2" xfId="200" xr:uid="{55182C27-CA3A-49EF-A8B3-8EF545344245}"/>
    <cellStyle name="40 % – uthevingsfarge 2 2 2 2 2" xfId="381" xr:uid="{2B05C5ED-62D2-48F2-97AB-AEA57E93A982}"/>
    <cellStyle name="40 % – uthevingsfarge 2 2 2 2 2 2" xfId="786" xr:uid="{B4DAB093-3EAD-4F9C-9446-DE264FBBF19B}"/>
    <cellStyle name="40 % – uthevingsfarge 2 2 2 2 3" xfId="497" xr:uid="{079BC92F-A794-4482-874B-7CF015E4837C}"/>
    <cellStyle name="40 % – uthevingsfarge 2 2 2 2 3 2" xfId="902" xr:uid="{ECB62CE5-4F12-456B-AEF6-688D59BC2EAA}"/>
    <cellStyle name="40 % – uthevingsfarge 2 2 2 2 4" xfId="609" xr:uid="{660CB775-3685-448C-9E08-5725FEF26E8C}"/>
    <cellStyle name="40 % – uthevingsfarge 2 2 2 3" xfId="291" xr:uid="{61F00D32-906F-477A-815A-EA05AAA18DDC}"/>
    <cellStyle name="40 % – uthevingsfarge 2 2 2 3 2" xfId="696" xr:uid="{C01BF0C3-F199-4FD5-A694-571D3ABEEFAC}"/>
    <cellStyle name="40 % – uthevingsfarge 2 2 2 4" xfId="441" xr:uid="{40D35C18-9652-4855-B22E-F556407CAE30}"/>
    <cellStyle name="40 % – uthevingsfarge 2 2 2 4 2" xfId="846" xr:uid="{24BB6CA4-8700-46B8-8A53-A5EF4035A3E9}"/>
    <cellStyle name="40 % – uthevingsfarge 2 2 2 5" xfId="553" xr:uid="{BE5511B2-9104-4E42-9FEE-37681279C8B1}"/>
    <cellStyle name="40 % – uthevingsfarge 2 2 3" xfId="155" xr:uid="{F144FC26-666F-48B5-9D58-E329703D9846}"/>
    <cellStyle name="40 % – uthevingsfarge 2 2 3 2" xfId="336" xr:uid="{695EC8E4-0DA1-4ABE-82CD-52268A6A370F}"/>
    <cellStyle name="40 % – uthevingsfarge 2 2 3 2 2" xfId="741" xr:uid="{3B58D431-BC5D-46CD-B22A-DA8354CE5FA8}"/>
    <cellStyle name="40 % – uthevingsfarge 2 2 3 3" xfId="469" xr:uid="{94D5C779-AA03-4BD4-AA6A-7ECE048D5787}"/>
    <cellStyle name="40 % – uthevingsfarge 2 2 3 3 2" xfId="874" xr:uid="{5973789D-1E17-41BD-9126-D269414A34C1}"/>
    <cellStyle name="40 % – uthevingsfarge 2 2 3 4" xfId="581" xr:uid="{FF83B808-E1BD-4063-98F0-B63EAEB56856}"/>
    <cellStyle name="40 % – uthevingsfarge 2 2 4" xfId="246" xr:uid="{4D787EFC-B4BF-4DC0-8F98-429CC42EEB24}"/>
    <cellStyle name="40 % – uthevingsfarge 2 2 4 2" xfId="651" xr:uid="{00DAFBB3-D72A-400D-B738-8DEE1496AA4F}"/>
    <cellStyle name="40 % – uthevingsfarge 2 2 5" xfId="413" xr:uid="{7AC7B978-00AC-4798-908D-A2FEDC44B35B}"/>
    <cellStyle name="40 % – uthevingsfarge 2 2 5 2" xfId="818" xr:uid="{063AF914-5EF2-43D4-BBAC-A3035DF98687}"/>
    <cellStyle name="40 % – uthevingsfarge 2 2 6" xfId="525" xr:uid="{1379A864-4EEE-4B1A-9C06-9008F364DD1B}"/>
    <cellStyle name="40 % – uthevingsfarge 2 3" xfId="87" xr:uid="{F4F0D39A-DDE9-4510-A9B3-10A641FE684E}"/>
    <cellStyle name="40 % – uthevingsfarge 2 3 2" xfId="178" xr:uid="{F4F0D39A-DDE9-4510-A9B3-10A641FE684E}"/>
    <cellStyle name="40 % – uthevingsfarge 2 3 2 2" xfId="359" xr:uid="{F44661C9-D803-4E1A-85D0-DAC1BD563272}"/>
    <cellStyle name="40 % – uthevingsfarge 2 3 2 2 2" xfId="764" xr:uid="{22878767-CA98-4D8E-8BEC-3F0007B9838B}"/>
    <cellStyle name="40 % – uthevingsfarge 2 3 2 3" xfId="483" xr:uid="{3F177C7A-8CFF-458A-BE28-A58F64C81170}"/>
    <cellStyle name="40 % – uthevingsfarge 2 3 2 3 2" xfId="888" xr:uid="{C1D5BE68-7D1E-408D-A29F-B6E86D1E5473}"/>
    <cellStyle name="40 % – uthevingsfarge 2 3 2 4" xfId="595" xr:uid="{2C77BC6E-AD51-4CA1-AFAA-EDE5D458D852}"/>
    <cellStyle name="40 % – uthevingsfarge 2 3 3" xfId="269" xr:uid="{06E51972-DCFB-42F9-A396-7F013DA801D0}"/>
    <cellStyle name="40 % – uthevingsfarge 2 3 3 2" xfId="674" xr:uid="{E02A7165-03B7-4F83-9AAA-6A7277214EEF}"/>
    <cellStyle name="40 % – uthevingsfarge 2 3 4" xfId="427" xr:uid="{82F0864D-6D5D-41EC-ABB1-8D68C4862B88}"/>
    <cellStyle name="40 % – uthevingsfarge 2 3 4 2" xfId="832" xr:uid="{29BE20BF-D2EB-4795-9F17-5CB4A7CB2769}"/>
    <cellStyle name="40 % – uthevingsfarge 2 3 5" xfId="539" xr:uid="{854FEC16-D999-44C2-8C1F-B0D8174C2656}"/>
    <cellStyle name="40 % – uthevingsfarge 2 4" xfId="224" xr:uid="{6CE36587-6A61-46F6-891E-7B9C6FC6B43F}"/>
    <cellStyle name="40 % – uthevingsfarge 2 4 2" xfId="629" xr:uid="{D003757F-C8D1-4A86-929C-69A9253B7A64}"/>
    <cellStyle name="40 % – uthevingsfarge 2 5" xfId="399" xr:uid="{C09355D4-5146-42F5-8C6F-68B284845B32}"/>
    <cellStyle name="40 % – uthevingsfarge 2 5 2" xfId="804" xr:uid="{D66589B3-5A5A-4BBF-88D6-723C2B7CF351}"/>
    <cellStyle name="40 % – uthevingsfarge 2 6" xfId="511" xr:uid="{2B330074-5609-434E-8CB5-9CED29262E19}"/>
    <cellStyle name="40 % – uthevingsfarge 3" xfId="33" builtinId="39" customBuiltin="1"/>
    <cellStyle name="40 % – uthevingsfarge 3 2" xfId="65" xr:uid="{38787A9E-70AB-4517-9BFC-A1CE54F242FF}"/>
    <cellStyle name="40 % – uthevingsfarge 3 2 2" xfId="111" xr:uid="{0150346F-640C-4DAF-8ED3-B2E9AE2A53DD}"/>
    <cellStyle name="40 % – uthevingsfarge 3 2 2 2" xfId="202" xr:uid="{0150346F-640C-4DAF-8ED3-B2E9AE2A53DD}"/>
    <cellStyle name="40 % – uthevingsfarge 3 2 2 2 2" xfId="383" xr:uid="{71930AEB-0583-41CF-B95F-39E70A490780}"/>
    <cellStyle name="40 % – uthevingsfarge 3 2 2 2 2 2" xfId="788" xr:uid="{557B7687-114B-4CE1-9421-F93300872A9F}"/>
    <cellStyle name="40 % – uthevingsfarge 3 2 2 2 3" xfId="499" xr:uid="{FE7E4994-99A4-4C37-A6DF-ACEA20F92D7F}"/>
    <cellStyle name="40 % – uthevingsfarge 3 2 2 2 3 2" xfId="904" xr:uid="{755CBBDE-FA95-4D61-97F8-4AB3B910208A}"/>
    <cellStyle name="40 % – uthevingsfarge 3 2 2 2 4" xfId="611" xr:uid="{9FEDF6F9-B68B-4D87-92A6-4A2CC0876C88}"/>
    <cellStyle name="40 % – uthevingsfarge 3 2 2 3" xfId="293" xr:uid="{BE9F4CF9-98F0-4D28-90DE-885CC9B6107F}"/>
    <cellStyle name="40 % – uthevingsfarge 3 2 2 3 2" xfId="698" xr:uid="{5B27B35B-CE86-4855-A879-100004024443}"/>
    <cellStyle name="40 % – uthevingsfarge 3 2 2 4" xfId="443" xr:uid="{B22E3C50-CBB8-4E04-9F13-12D5AF0DA644}"/>
    <cellStyle name="40 % – uthevingsfarge 3 2 2 4 2" xfId="848" xr:uid="{A6F7B8E2-2E1F-45EA-AEC4-84B120C9EA56}"/>
    <cellStyle name="40 % – uthevingsfarge 3 2 2 5" xfId="555" xr:uid="{5E0C8BDB-67C6-49FA-A27E-CB8AAC618F33}"/>
    <cellStyle name="40 % – uthevingsfarge 3 2 3" xfId="157" xr:uid="{38787A9E-70AB-4517-9BFC-A1CE54F242FF}"/>
    <cellStyle name="40 % – uthevingsfarge 3 2 3 2" xfId="338" xr:uid="{FF8DB627-035A-41DB-8A51-752227165517}"/>
    <cellStyle name="40 % – uthevingsfarge 3 2 3 2 2" xfId="743" xr:uid="{1635F199-7276-40E3-A401-445EB986D816}"/>
    <cellStyle name="40 % – uthevingsfarge 3 2 3 3" xfId="471" xr:uid="{AD1EF54D-CA75-4D86-B7CD-6383DCE1C739}"/>
    <cellStyle name="40 % – uthevingsfarge 3 2 3 3 2" xfId="876" xr:uid="{62C07565-1F24-4136-966A-D6D965F80128}"/>
    <cellStyle name="40 % – uthevingsfarge 3 2 3 4" xfId="583" xr:uid="{2E4E7CE9-96EB-488B-9C48-3173F51C0C09}"/>
    <cellStyle name="40 % – uthevingsfarge 3 2 4" xfId="248" xr:uid="{EB5CEF9E-C3EE-4E38-81A6-F1C3CBC25DE2}"/>
    <cellStyle name="40 % – uthevingsfarge 3 2 4 2" xfId="653" xr:uid="{DF19AC04-0F41-4F39-A565-9C41DF2D9A3F}"/>
    <cellStyle name="40 % – uthevingsfarge 3 2 5" xfId="415" xr:uid="{9C0DBBEA-AD6B-4799-9146-5087D27290BB}"/>
    <cellStyle name="40 % – uthevingsfarge 3 2 5 2" xfId="820" xr:uid="{A1BA067B-F7DA-428B-A294-FFCA38881FE3}"/>
    <cellStyle name="40 % – uthevingsfarge 3 2 6" xfId="527" xr:uid="{B23EDD1F-9957-4BAF-8952-717B65AF8FC4}"/>
    <cellStyle name="40 % – uthevingsfarge 3 3" xfId="89" xr:uid="{9B0A4A5D-5025-474E-AC8A-597641520CE6}"/>
    <cellStyle name="40 % – uthevingsfarge 3 3 2" xfId="180" xr:uid="{9B0A4A5D-5025-474E-AC8A-597641520CE6}"/>
    <cellStyle name="40 % – uthevingsfarge 3 3 2 2" xfId="361" xr:uid="{C062D961-948F-44FC-8FAD-594D7DD9B43B}"/>
    <cellStyle name="40 % – uthevingsfarge 3 3 2 2 2" xfId="766" xr:uid="{C36B171C-FB9E-4494-B159-18D371BADFA6}"/>
    <cellStyle name="40 % – uthevingsfarge 3 3 2 3" xfId="485" xr:uid="{1C8DA301-4B22-4B24-9F70-07703EC76DD3}"/>
    <cellStyle name="40 % – uthevingsfarge 3 3 2 3 2" xfId="890" xr:uid="{7D63E0D1-C097-4785-9573-548514706AFC}"/>
    <cellStyle name="40 % – uthevingsfarge 3 3 2 4" xfId="597" xr:uid="{D5F6962C-9B8A-4E07-87C0-CD5DD0B07823}"/>
    <cellStyle name="40 % – uthevingsfarge 3 3 3" xfId="271" xr:uid="{6F3401DB-33C2-4184-BC06-301965242069}"/>
    <cellStyle name="40 % – uthevingsfarge 3 3 3 2" xfId="676" xr:uid="{5C7CFD23-19A2-4F67-B64C-F4C9EEC1432C}"/>
    <cellStyle name="40 % – uthevingsfarge 3 3 4" xfId="429" xr:uid="{5AF0C6D1-A7C8-4C7C-AF26-B124F9C1DF85}"/>
    <cellStyle name="40 % – uthevingsfarge 3 3 4 2" xfId="834" xr:uid="{F09C34FE-8ACF-4A62-A80E-054508828724}"/>
    <cellStyle name="40 % – uthevingsfarge 3 3 5" xfId="541" xr:uid="{12DD668A-33B4-4765-80A2-6A511D125D9D}"/>
    <cellStyle name="40 % – uthevingsfarge 3 4" xfId="226" xr:uid="{E79C7838-D3FB-4D54-BFF8-DDF86F3854BA}"/>
    <cellStyle name="40 % – uthevingsfarge 3 4 2" xfId="631" xr:uid="{D019E331-A41D-47D8-85F1-F48DD4884815}"/>
    <cellStyle name="40 % – uthevingsfarge 3 5" xfId="401" xr:uid="{F957FE70-A1A6-4502-A779-D1B09E0EFB0F}"/>
    <cellStyle name="40 % – uthevingsfarge 3 5 2" xfId="806" xr:uid="{467FEE54-16EB-4545-8B61-1611AA8D1ABF}"/>
    <cellStyle name="40 % – uthevingsfarge 3 6" xfId="513" xr:uid="{755820E2-8506-48D0-B310-FB70D3EF1A6F}"/>
    <cellStyle name="40 % – uthevingsfarge 4" xfId="36" builtinId="43" customBuiltin="1"/>
    <cellStyle name="40 % – uthevingsfarge 4 2" xfId="67" xr:uid="{3E0EF6DF-1178-42E1-B0B3-90A36039CFD8}"/>
    <cellStyle name="40 % – uthevingsfarge 4 2 2" xfId="113" xr:uid="{9330791D-F006-40E8-B397-1AEB7D423884}"/>
    <cellStyle name="40 % – uthevingsfarge 4 2 2 2" xfId="204" xr:uid="{9330791D-F006-40E8-B397-1AEB7D423884}"/>
    <cellStyle name="40 % – uthevingsfarge 4 2 2 2 2" xfId="385" xr:uid="{72F30452-943C-4768-9071-9132BF2B99ED}"/>
    <cellStyle name="40 % – uthevingsfarge 4 2 2 2 2 2" xfId="790" xr:uid="{AA61F3E1-433D-4B4A-801C-E1A77C706485}"/>
    <cellStyle name="40 % – uthevingsfarge 4 2 2 2 3" xfId="501" xr:uid="{6A69EC18-B226-462E-B0CE-09802A6AE966}"/>
    <cellStyle name="40 % – uthevingsfarge 4 2 2 2 3 2" xfId="906" xr:uid="{B082BD17-BB2B-4C03-8593-044173A334E0}"/>
    <cellStyle name="40 % – uthevingsfarge 4 2 2 2 4" xfId="613" xr:uid="{4FDD3A56-45A0-49FF-918C-551135A958A7}"/>
    <cellStyle name="40 % – uthevingsfarge 4 2 2 3" xfId="295" xr:uid="{71AA3157-9724-4ADB-A5D0-3B1A359C256A}"/>
    <cellStyle name="40 % – uthevingsfarge 4 2 2 3 2" xfId="700" xr:uid="{B8884568-D83B-4932-BF8B-6A847F3A1287}"/>
    <cellStyle name="40 % – uthevingsfarge 4 2 2 4" xfId="445" xr:uid="{E03DA7A1-7429-45DE-A5B7-55D6DC577B7D}"/>
    <cellStyle name="40 % – uthevingsfarge 4 2 2 4 2" xfId="850" xr:uid="{7E27EC6A-948C-4702-9BD5-4AA7CE5E6351}"/>
    <cellStyle name="40 % – uthevingsfarge 4 2 2 5" xfId="557" xr:uid="{B2015F35-89AF-4C19-864B-617DD5D47BE1}"/>
    <cellStyle name="40 % – uthevingsfarge 4 2 3" xfId="159" xr:uid="{3E0EF6DF-1178-42E1-B0B3-90A36039CFD8}"/>
    <cellStyle name="40 % – uthevingsfarge 4 2 3 2" xfId="340" xr:uid="{BA5513DD-9638-4A70-81F9-5E7F600AA162}"/>
    <cellStyle name="40 % – uthevingsfarge 4 2 3 2 2" xfId="745" xr:uid="{039E1918-92ED-4C9D-A1E1-B82E32F1F9B3}"/>
    <cellStyle name="40 % – uthevingsfarge 4 2 3 3" xfId="473" xr:uid="{4F2B9721-062A-4D57-84F4-5D8EA8800478}"/>
    <cellStyle name="40 % – uthevingsfarge 4 2 3 3 2" xfId="878" xr:uid="{E17751D1-F85B-4857-94A5-982FBF87D5D0}"/>
    <cellStyle name="40 % – uthevingsfarge 4 2 3 4" xfId="585" xr:uid="{98EF9EE4-D1E9-4B6C-9C65-54BD9EFDFABA}"/>
    <cellStyle name="40 % – uthevingsfarge 4 2 4" xfId="250" xr:uid="{604A9748-6EAE-468A-AF35-9D4C56D20F77}"/>
    <cellStyle name="40 % – uthevingsfarge 4 2 4 2" xfId="655" xr:uid="{E65D6FC6-4CDC-461B-9837-C3B9DB9F7B4B}"/>
    <cellStyle name="40 % – uthevingsfarge 4 2 5" xfId="417" xr:uid="{2E14F100-4F26-4D9D-A48E-BAAE4809F05A}"/>
    <cellStyle name="40 % – uthevingsfarge 4 2 5 2" xfId="822" xr:uid="{CE18CDEE-FC81-4050-8CEC-F5B90A816B60}"/>
    <cellStyle name="40 % – uthevingsfarge 4 2 6" xfId="529" xr:uid="{F7835582-47C3-46AB-A4B5-3CE69A03E511}"/>
    <cellStyle name="40 % – uthevingsfarge 4 3" xfId="91" xr:uid="{337C672E-6F7A-4F48-BDA4-7851CF197E26}"/>
    <cellStyle name="40 % – uthevingsfarge 4 3 2" xfId="182" xr:uid="{337C672E-6F7A-4F48-BDA4-7851CF197E26}"/>
    <cellStyle name="40 % – uthevingsfarge 4 3 2 2" xfId="363" xr:uid="{41E8F423-1D15-4E1A-9290-A6923463ECB9}"/>
    <cellStyle name="40 % – uthevingsfarge 4 3 2 2 2" xfId="768" xr:uid="{19E92D73-8533-47F3-AC58-FFF086E0F2F3}"/>
    <cellStyle name="40 % – uthevingsfarge 4 3 2 3" xfId="487" xr:uid="{A9C6D1BD-E098-4430-A7CA-C1F8A5FC192A}"/>
    <cellStyle name="40 % – uthevingsfarge 4 3 2 3 2" xfId="892" xr:uid="{6FE6E666-407F-4C87-AF70-9C6346EB79BC}"/>
    <cellStyle name="40 % – uthevingsfarge 4 3 2 4" xfId="599" xr:uid="{D594E73E-A5F0-415C-B3E5-ABBF30209405}"/>
    <cellStyle name="40 % – uthevingsfarge 4 3 3" xfId="273" xr:uid="{5DDA0BEC-07D8-4EE6-BFCA-2526041B242C}"/>
    <cellStyle name="40 % – uthevingsfarge 4 3 3 2" xfId="678" xr:uid="{DB7452AC-9784-4623-BC13-862A313B6F42}"/>
    <cellStyle name="40 % – uthevingsfarge 4 3 4" xfId="431" xr:uid="{58657943-7083-4211-BC10-B18815C8E642}"/>
    <cellStyle name="40 % – uthevingsfarge 4 3 4 2" xfId="836" xr:uid="{902DE2B7-F044-4CA4-9CFA-4959B3AA1DEF}"/>
    <cellStyle name="40 % – uthevingsfarge 4 3 5" xfId="543" xr:uid="{1CE3B1D1-6F7A-4F1A-8F5D-3A831CAA9A90}"/>
    <cellStyle name="40 % – uthevingsfarge 4 4" xfId="228" xr:uid="{E948CFEE-63A8-4274-8EA1-E953C07DF345}"/>
    <cellStyle name="40 % – uthevingsfarge 4 4 2" xfId="633" xr:uid="{E75A9358-D349-47D2-83BF-0ACB1E9379F3}"/>
    <cellStyle name="40 % – uthevingsfarge 4 5" xfId="403" xr:uid="{4598BC46-56CE-457A-AB2C-007A5EECD1C7}"/>
    <cellStyle name="40 % – uthevingsfarge 4 5 2" xfId="808" xr:uid="{4208AAB2-773F-4AC1-8815-940E7F47CABB}"/>
    <cellStyle name="40 % – uthevingsfarge 4 6" xfId="515" xr:uid="{774663DB-9E0F-4172-9C43-B92A29340F22}"/>
    <cellStyle name="40 % – uthevingsfarge 5" xfId="39" builtinId="47" customBuiltin="1"/>
    <cellStyle name="40 % – uthevingsfarge 5 2" xfId="69" xr:uid="{19913755-34D2-44B9-A144-E77AB8E4D2A7}"/>
    <cellStyle name="40 % – uthevingsfarge 5 2 2" xfId="115" xr:uid="{C4EC613C-DADF-4F71-8A82-0B222FDC35B3}"/>
    <cellStyle name="40 % – uthevingsfarge 5 2 2 2" xfId="206" xr:uid="{C4EC613C-DADF-4F71-8A82-0B222FDC35B3}"/>
    <cellStyle name="40 % – uthevingsfarge 5 2 2 2 2" xfId="387" xr:uid="{2C0738A5-E5F3-47A0-B443-F880D9BCD0A1}"/>
    <cellStyle name="40 % – uthevingsfarge 5 2 2 2 2 2" xfId="792" xr:uid="{7F47F603-C7A8-4E46-AA7B-9F91385BA4B7}"/>
    <cellStyle name="40 % – uthevingsfarge 5 2 2 2 3" xfId="503" xr:uid="{E33337DF-D478-4923-8E7F-6FEC41BA391E}"/>
    <cellStyle name="40 % – uthevingsfarge 5 2 2 2 3 2" xfId="908" xr:uid="{5A61972A-3B9E-4843-8628-28675C12F4A2}"/>
    <cellStyle name="40 % – uthevingsfarge 5 2 2 2 4" xfId="615" xr:uid="{DC61974A-64DF-4436-AFB1-03DA963A165A}"/>
    <cellStyle name="40 % – uthevingsfarge 5 2 2 3" xfId="297" xr:uid="{C537CF23-1075-486D-868B-718B3711E0CD}"/>
    <cellStyle name="40 % – uthevingsfarge 5 2 2 3 2" xfId="702" xr:uid="{46580C62-7B06-41A6-9A84-06D19DFBF6C8}"/>
    <cellStyle name="40 % – uthevingsfarge 5 2 2 4" xfId="447" xr:uid="{A4D90833-7D78-46A8-86D6-D2259DB5DC62}"/>
    <cellStyle name="40 % – uthevingsfarge 5 2 2 4 2" xfId="852" xr:uid="{EAF1D712-F47E-4F21-94E3-317471606748}"/>
    <cellStyle name="40 % – uthevingsfarge 5 2 2 5" xfId="559" xr:uid="{0E3CFF86-B795-46CE-ACB7-3E66A391FEA3}"/>
    <cellStyle name="40 % – uthevingsfarge 5 2 3" xfId="161" xr:uid="{19913755-34D2-44B9-A144-E77AB8E4D2A7}"/>
    <cellStyle name="40 % – uthevingsfarge 5 2 3 2" xfId="342" xr:uid="{7BC277FD-274F-424F-A06B-CC53D09A59FE}"/>
    <cellStyle name="40 % – uthevingsfarge 5 2 3 2 2" xfId="747" xr:uid="{B4C88D81-5B64-459E-8382-DDB7459FE28B}"/>
    <cellStyle name="40 % – uthevingsfarge 5 2 3 3" xfId="475" xr:uid="{734E60DA-997A-41E1-B5FC-8961846AB79B}"/>
    <cellStyle name="40 % – uthevingsfarge 5 2 3 3 2" xfId="880" xr:uid="{F3A967AD-A086-4C26-87E0-EA12C9424A5A}"/>
    <cellStyle name="40 % – uthevingsfarge 5 2 3 4" xfId="587" xr:uid="{A0189987-1149-469A-A21F-0E50497532C6}"/>
    <cellStyle name="40 % – uthevingsfarge 5 2 4" xfId="252" xr:uid="{1B8F5359-9847-4003-A228-5D7C96E3DC72}"/>
    <cellStyle name="40 % – uthevingsfarge 5 2 4 2" xfId="657" xr:uid="{E13B10BA-7C23-4E26-9E31-52C965C690CA}"/>
    <cellStyle name="40 % – uthevingsfarge 5 2 5" xfId="419" xr:uid="{F1D45EB7-60E6-4FD0-8AC1-D6C44DBDD8D7}"/>
    <cellStyle name="40 % – uthevingsfarge 5 2 5 2" xfId="824" xr:uid="{4C514D03-6AD0-4F46-8446-0730B9412D34}"/>
    <cellStyle name="40 % – uthevingsfarge 5 2 6" xfId="531" xr:uid="{DA757C43-33C2-4716-9381-3511BF1BAF39}"/>
    <cellStyle name="40 % – uthevingsfarge 5 3" xfId="93" xr:uid="{760D6A0D-A674-4298-AA10-AE4E127C3BB6}"/>
    <cellStyle name="40 % – uthevingsfarge 5 3 2" xfId="184" xr:uid="{760D6A0D-A674-4298-AA10-AE4E127C3BB6}"/>
    <cellStyle name="40 % – uthevingsfarge 5 3 2 2" xfId="365" xr:uid="{EE5B20D8-0CE8-4442-B2F0-1CDD8E47AA01}"/>
    <cellStyle name="40 % – uthevingsfarge 5 3 2 2 2" xfId="770" xr:uid="{9BE240AA-E8BF-4CBA-8D1A-03FB8A72C907}"/>
    <cellStyle name="40 % – uthevingsfarge 5 3 2 3" xfId="489" xr:uid="{A9752373-5DD8-4C2F-B4FD-4C5BE70CD5A7}"/>
    <cellStyle name="40 % – uthevingsfarge 5 3 2 3 2" xfId="894" xr:uid="{5E489636-5A5D-4C31-B1C6-B0BE78EF01C7}"/>
    <cellStyle name="40 % – uthevingsfarge 5 3 2 4" xfId="601" xr:uid="{65811FCF-3ABC-4008-8F1A-D1423B4ED08A}"/>
    <cellStyle name="40 % – uthevingsfarge 5 3 3" xfId="275" xr:uid="{A20E5BB5-494C-473F-981E-18700DF47B93}"/>
    <cellStyle name="40 % – uthevingsfarge 5 3 3 2" xfId="680" xr:uid="{AB941151-2486-4229-A5A6-888C44FEA51E}"/>
    <cellStyle name="40 % – uthevingsfarge 5 3 4" xfId="433" xr:uid="{D139BABD-8369-4839-8B4E-32CDDB85E2E3}"/>
    <cellStyle name="40 % – uthevingsfarge 5 3 4 2" xfId="838" xr:uid="{CFE95F33-EBF6-448C-A41C-03DF090DDE3C}"/>
    <cellStyle name="40 % – uthevingsfarge 5 3 5" xfId="545" xr:uid="{02B1702C-B3EA-4395-806C-50114D5CEBA6}"/>
    <cellStyle name="40 % – uthevingsfarge 5 4" xfId="230" xr:uid="{8C4E649B-003D-4FDE-86DA-86F55A221E7D}"/>
    <cellStyle name="40 % – uthevingsfarge 5 4 2" xfId="635" xr:uid="{EA6AE916-73FB-4A8B-9E47-057D6B076334}"/>
    <cellStyle name="40 % – uthevingsfarge 5 5" xfId="405" xr:uid="{9A90C61E-41F7-462A-828C-ED5912A8506C}"/>
    <cellStyle name="40 % – uthevingsfarge 5 5 2" xfId="810" xr:uid="{0028163E-EAB4-4A71-B7FA-7A0B22119CA5}"/>
    <cellStyle name="40 % – uthevingsfarge 5 6" xfId="517" xr:uid="{3ED97CB4-F768-4445-8B28-0B1E5A982984}"/>
    <cellStyle name="40 % – uthevingsfarge 6" xfId="42" builtinId="51" customBuiltin="1"/>
    <cellStyle name="40 % – uthevingsfarge 6 2" xfId="71" xr:uid="{EB21AD00-9A06-4578-BE99-E19C924CCA66}"/>
    <cellStyle name="40 % – uthevingsfarge 6 2 2" xfId="117" xr:uid="{9C18CEC3-0E1A-4EC0-AB3F-607849715BC9}"/>
    <cellStyle name="40 % – uthevingsfarge 6 2 2 2" xfId="208" xr:uid="{9C18CEC3-0E1A-4EC0-AB3F-607849715BC9}"/>
    <cellStyle name="40 % – uthevingsfarge 6 2 2 2 2" xfId="389" xr:uid="{860CBFA4-9CCC-4A7C-B5D0-F46DCAC189E5}"/>
    <cellStyle name="40 % – uthevingsfarge 6 2 2 2 2 2" xfId="794" xr:uid="{8C21CFB2-857E-41CC-B8F1-129089410882}"/>
    <cellStyle name="40 % – uthevingsfarge 6 2 2 2 3" xfId="505" xr:uid="{3C96A969-89FF-4BFB-94C3-EF1ABD83CDFA}"/>
    <cellStyle name="40 % – uthevingsfarge 6 2 2 2 3 2" xfId="910" xr:uid="{33BEF756-04C7-4A38-A358-0DC3261309BA}"/>
    <cellStyle name="40 % – uthevingsfarge 6 2 2 2 4" xfId="617" xr:uid="{97EEF2C4-19E8-44FA-B807-4D3563692F05}"/>
    <cellStyle name="40 % – uthevingsfarge 6 2 2 3" xfId="299" xr:uid="{C55DD70E-DCAA-423A-888A-52EBE4E86822}"/>
    <cellStyle name="40 % – uthevingsfarge 6 2 2 3 2" xfId="704" xr:uid="{F305E7DC-9763-48A9-818C-6D3FFC3908E5}"/>
    <cellStyle name="40 % – uthevingsfarge 6 2 2 4" xfId="449" xr:uid="{A9222379-7D6D-4BAF-96D8-5FDBB640FB28}"/>
    <cellStyle name="40 % – uthevingsfarge 6 2 2 4 2" xfId="854" xr:uid="{E83D9C04-321B-435D-9D61-2718158D3DFC}"/>
    <cellStyle name="40 % – uthevingsfarge 6 2 2 5" xfId="561" xr:uid="{40AE7DC3-1D08-45DF-BF4B-95566F4DF75E}"/>
    <cellStyle name="40 % – uthevingsfarge 6 2 3" xfId="163" xr:uid="{EB21AD00-9A06-4578-BE99-E19C924CCA66}"/>
    <cellStyle name="40 % – uthevingsfarge 6 2 3 2" xfId="344" xr:uid="{ECAE8508-3B30-4034-A98A-E85C397F1299}"/>
    <cellStyle name="40 % – uthevingsfarge 6 2 3 2 2" xfId="749" xr:uid="{98C8445F-492B-421D-AF82-98F76A64AEE9}"/>
    <cellStyle name="40 % – uthevingsfarge 6 2 3 3" xfId="477" xr:uid="{AEED8A4B-3F32-44AE-8A5B-943E1465CB85}"/>
    <cellStyle name="40 % – uthevingsfarge 6 2 3 3 2" xfId="882" xr:uid="{3B2CD268-D6E6-4B8F-8A90-583CAF2AFD91}"/>
    <cellStyle name="40 % – uthevingsfarge 6 2 3 4" xfId="589" xr:uid="{E168DFE8-49A8-4813-9711-5470F315CD3D}"/>
    <cellStyle name="40 % – uthevingsfarge 6 2 4" xfId="254" xr:uid="{8F5D841E-DA12-4AC5-AD20-FCEBA605A20A}"/>
    <cellStyle name="40 % – uthevingsfarge 6 2 4 2" xfId="659" xr:uid="{CE16EF51-578E-4F55-9F4D-CF52B3411B9D}"/>
    <cellStyle name="40 % – uthevingsfarge 6 2 5" xfId="421" xr:uid="{3013B295-78FB-4EA2-8E7D-07B535B5AC34}"/>
    <cellStyle name="40 % – uthevingsfarge 6 2 5 2" xfId="826" xr:uid="{16008C57-B664-48F6-9C2C-75DE0FE29634}"/>
    <cellStyle name="40 % – uthevingsfarge 6 2 6" xfId="533" xr:uid="{86210677-3704-407F-A105-C0C584206AB7}"/>
    <cellStyle name="40 % – uthevingsfarge 6 3" xfId="95" xr:uid="{B24FEB38-C2C4-4ACB-8619-420D543B89E1}"/>
    <cellStyle name="40 % – uthevingsfarge 6 3 2" xfId="186" xr:uid="{B24FEB38-C2C4-4ACB-8619-420D543B89E1}"/>
    <cellStyle name="40 % – uthevingsfarge 6 3 2 2" xfId="367" xr:uid="{E33E8E9C-750E-4AF9-A110-9CA916F589F3}"/>
    <cellStyle name="40 % – uthevingsfarge 6 3 2 2 2" xfId="772" xr:uid="{59EE159F-8C2B-4960-87F5-D992C03404D8}"/>
    <cellStyle name="40 % – uthevingsfarge 6 3 2 3" xfId="491" xr:uid="{51329B75-D541-42B6-8F44-CAEF63B4D50F}"/>
    <cellStyle name="40 % – uthevingsfarge 6 3 2 3 2" xfId="896" xr:uid="{75421595-2802-4F4C-983C-549EEBE7C9F8}"/>
    <cellStyle name="40 % – uthevingsfarge 6 3 2 4" xfId="603" xr:uid="{DC1DC4F9-4831-4705-AEE6-23C5DE26785A}"/>
    <cellStyle name="40 % – uthevingsfarge 6 3 3" xfId="277" xr:uid="{B3EF56D4-E565-4B61-B517-0877D4C30F95}"/>
    <cellStyle name="40 % – uthevingsfarge 6 3 3 2" xfId="682" xr:uid="{009A2E23-F987-4850-BD4B-2F69BD270EE8}"/>
    <cellStyle name="40 % – uthevingsfarge 6 3 4" xfId="435" xr:uid="{C2373370-D4E5-49D2-B3CC-57A935303B40}"/>
    <cellStyle name="40 % – uthevingsfarge 6 3 4 2" xfId="840" xr:uid="{7F6CC467-C3BE-4392-AE00-9C54FF4A1822}"/>
    <cellStyle name="40 % – uthevingsfarge 6 3 5" xfId="547" xr:uid="{776FB5B5-25D9-4E12-9762-5B0A2AD61EC6}"/>
    <cellStyle name="40 % – uthevingsfarge 6 4" xfId="232" xr:uid="{F427C1F9-0ACC-4E9F-A641-06031C272EB0}"/>
    <cellStyle name="40 % – uthevingsfarge 6 4 2" xfId="637" xr:uid="{94D05338-BAF0-46DE-8610-027FEC4BCDC3}"/>
    <cellStyle name="40 % – uthevingsfarge 6 5" xfId="407" xr:uid="{72A35EC7-F4E0-4285-8D78-A1F2989FE02B}"/>
    <cellStyle name="40 % – uthevingsfarge 6 5 2" xfId="812" xr:uid="{AB883FD7-A5E4-43EE-BE80-6D77311D0825}"/>
    <cellStyle name="40 % – uthevingsfarge 6 6" xfId="519" xr:uid="{85DEE0F1-BA61-47BE-95FF-6C01CAD8F836}"/>
    <cellStyle name="40% - Accent1 2" xfId="131" xr:uid="{00000000-0005-0000-0000-0000B1000000}"/>
    <cellStyle name="40% - Accent1 2 2" xfId="312" xr:uid="{35CE7596-9701-40C1-862A-0BE5F7372B59}"/>
    <cellStyle name="40% - Accent1 2 2 2" xfId="717" xr:uid="{A6A0ECDB-6A0D-40D5-BF56-6B6610933D73}"/>
    <cellStyle name="40% - Accent1 2 3" xfId="453" xr:uid="{33C01EF0-8779-424E-B727-7FE9DBC9BB41}"/>
    <cellStyle name="40% - Accent1 2 3 2" xfId="858" xr:uid="{640AE831-752B-4825-B908-9CD857BA8393}"/>
    <cellStyle name="40% - Accent1 2 4" xfId="565" xr:uid="{BCEF5756-9268-4586-9787-B93BFD9A65A7}"/>
    <cellStyle name="40% - Accent2 2" xfId="133" xr:uid="{00000000-0005-0000-0000-0000B2000000}"/>
    <cellStyle name="40% - Accent2 2 2" xfId="314" xr:uid="{4172D639-8AA3-4789-B8A4-F8CE01A60779}"/>
    <cellStyle name="40% - Accent2 2 2 2" xfId="719" xr:uid="{4D7353CE-4601-471B-A004-1A0CD9E4AB05}"/>
    <cellStyle name="40% - Accent2 2 3" xfId="455" xr:uid="{E15F9D98-4617-4A1A-82B9-3F44D37A9401}"/>
    <cellStyle name="40% - Accent2 2 3 2" xfId="860" xr:uid="{E2E88602-ACE9-421C-96C6-3A43BBE44075}"/>
    <cellStyle name="40% - Accent2 2 4" xfId="567" xr:uid="{CE87CC6E-03A6-4B3A-92A7-230CE364C0A1}"/>
    <cellStyle name="40% - Accent3 2" xfId="135" xr:uid="{00000000-0005-0000-0000-0000B3000000}"/>
    <cellStyle name="40% - Accent3 2 2" xfId="316" xr:uid="{B4670847-653B-4F53-B7E8-4A013400F6C1}"/>
    <cellStyle name="40% - Accent3 2 2 2" xfId="721" xr:uid="{037ACEFD-749A-46C9-BDA8-1C5B30CD9039}"/>
    <cellStyle name="40% - Accent3 2 3" xfId="457" xr:uid="{368296E0-638B-4593-944D-E6835CB1962E}"/>
    <cellStyle name="40% - Accent3 2 3 2" xfId="862" xr:uid="{FD9751CC-28D9-4161-92ED-886B9417CA22}"/>
    <cellStyle name="40% - Accent3 2 4" xfId="569" xr:uid="{C1A5B36D-FAF7-4A12-84AA-DA81527CD23C}"/>
    <cellStyle name="40% - Accent4 2" xfId="137" xr:uid="{00000000-0005-0000-0000-0000B4000000}"/>
    <cellStyle name="40% - Accent4 2 2" xfId="318" xr:uid="{915CB8B8-0FFE-44AC-96C0-F2CE72E8A53E}"/>
    <cellStyle name="40% - Accent4 2 2 2" xfId="723" xr:uid="{31C7455B-1537-43E2-8357-05FB0EAC1330}"/>
    <cellStyle name="40% - Accent4 2 3" xfId="459" xr:uid="{9DB27359-066B-4213-833C-5A240AA794DF}"/>
    <cellStyle name="40% - Accent4 2 3 2" xfId="864" xr:uid="{450B06C6-3434-48C3-9588-07C94A5799B2}"/>
    <cellStyle name="40% - Accent4 2 4" xfId="571" xr:uid="{7905B675-1522-464F-B792-A2C7DCD1BC13}"/>
    <cellStyle name="40% - Accent5 2" xfId="139" xr:uid="{00000000-0005-0000-0000-0000B5000000}"/>
    <cellStyle name="40% - Accent5 2 2" xfId="320" xr:uid="{240E823F-C0B8-4758-9527-B142FD58A71B}"/>
    <cellStyle name="40% - Accent5 2 2 2" xfId="725" xr:uid="{3AB0C45C-7764-4F3C-94BA-00C639750723}"/>
    <cellStyle name="40% - Accent5 2 3" xfId="461" xr:uid="{1B47CAC5-6D8B-4332-8F9F-8464D0C66611}"/>
    <cellStyle name="40% - Accent5 2 3 2" xfId="866" xr:uid="{5EE7DB16-4486-4490-A1BD-112616D53C90}"/>
    <cellStyle name="40% - Accent5 2 4" xfId="573" xr:uid="{8D5B6C2B-27BD-4955-AF16-574B027C4DC4}"/>
    <cellStyle name="40% - Accent6 2" xfId="141" xr:uid="{00000000-0005-0000-0000-0000B6000000}"/>
    <cellStyle name="40% - Accent6 2 2" xfId="322" xr:uid="{2CC6C6A1-4E25-4FF0-BC73-E58BD3D1DFB3}"/>
    <cellStyle name="40% - Accent6 2 2 2" xfId="727" xr:uid="{DD81E4FB-8EF6-4416-B427-63C01A4EBF4D}"/>
    <cellStyle name="40% - Accent6 2 3" xfId="463" xr:uid="{C2B28251-80F4-4F7D-AE72-14DB3B75ACEC}"/>
    <cellStyle name="40% - Accent6 2 3 2" xfId="868" xr:uid="{78EC97C8-23D0-4FEE-B523-CD15D26FA370}"/>
    <cellStyle name="40% - Accent6 2 4" xfId="575" xr:uid="{193B5B2B-F202-4085-A8CD-085BE04F048F}"/>
    <cellStyle name="60 % – uthevingsfarge 1 2" xfId="46" xr:uid="{CA66A721-7B85-4E84-92D3-721205B0305D}"/>
    <cellStyle name="60 % – uthevingsfarge 2 2" xfId="47" xr:uid="{EB03CD9C-E609-4A01-8812-4E1A7633DA4B}"/>
    <cellStyle name="60 % – uthevingsfarge 3 2" xfId="48" xr:uid="{19382C80-FD1C-432F-B33F-F98DC392A017}"/>
    <cellStyle name="60 % – uthevingsfarge 4 2" xfId="50" xr:uid="{5F6AE2BB-B463-4DF3-A4F1-2DB92BAB476B}"/>
    <cellStyle name="60 % – uthevingsfarge 5 2" xfId="52" xr:uid="{5411ECA9-DFB6-478B-881C-354001420866}"/>
    <cellStyle name="60 % – uthevingsfarge 6 2" xfId="53" xr:uid="{935CE0AC-AA78-4D55-99BF-40D6A78EA777}"/>
    <cellStyle name="Beregning" xfId="19" builtinId="22" customBuiltin="1"/>
    <cellStyle name="Comma 2" xfId="127" xr:uid="{00000000-0005-0000-0000-0000B7000000}"/>
    <cellStyle name="Comma 2 2" xfId="308" xr:uid="{3A859CBF-6C91-4FC4-9D51-035FF851B66E}"/>
    <cellStyle name="Comma 2 2 2" xfId="713" xr:uid="{05A3FEBA-A3D1-44B9-9BDB-7B763C2C992A}"/>
    <cellStyle name="Dårlig" xfId="16" builtinId="27" customBuiltin="1"/>
    <cellStyle name="Forklarende tekst" xfId="23" builtinId="53" customBuiltin="1"/>
    <cellStyle name="God" xfId="15" builtinId="26" customBuiltin="1"/>
    <cellStyle name="Hyperkobling" xfId="2" builtinId="8"/>
    <cellStyle name="Inndata" xfId="17" builtinId="20" customBuiltin="1"/>
    <cellStyle name="Koblet celle" xfId="20" builtinId="24" customBuiltin="1"/>
    <cellStyle name="Komma" xfId="7" builtinId="3"/>
    <cellStyle name="Komma 2" xfId="4" xr:uid="{6C404BA0-F02A-45D2-8B20-FE7515CA85EC}"/>
    <cellStyle name="Komma 2 2" xfId="56" xr:uid="{A1D91EEF-2887-4F3F-BAAD-6C4ACBA79053}"/>
    <cellStyle name="Komma 2 2 2" xfId="102" xr:uid="{B83B78AA-E408-4843-93ED-0A0EB99D04D0}"/>
    <cellStyle name="Komma 2 2 2 2" xfId="193" xr:uid="{B83B78AA-E408-4843-93ED-0A0EB99D04D0}"/>
    <cellStyle name="Komma 2 2 2 2 2" xfId="374" xr:uid="{C2FF7181-9360-458F-9DE6-E930031B670F}"/>
    <cellStyle name="Komma 2 2 2 2 2 2" xfId="779" xr:uid="{50AF3C72-7884-41B2-B921-03590F255D5A}"/>
    <cellStyle name="Komma 2 2 2 3" xfId="284" xr:uid="{534E07E3-4376-4B92-AE66-283F7E51D85D}"/>
    <cellStyle name="Komma 2 2 2 3 2" xfId="689" xr:uid="{43E7834C-1CE6-4326-81EA-62A288C8E9B0}"/>
    <cellStyle name="Komma 2 2 3" xfId="148" xr:uid="{A1D91EEF-2887-4F3F-BAAD-6C4ACBA79053}"/>
    <cellStyle name="Komma 2 2 3 2" xfId="329" xr:uid="{DB7889E2-2A1F-43C7-A3C9-FBD9ECB9AA54}"/>
    <cellStyle name="Komma 2 2 3 2 2" xfId="734" xr:uid="{A49FD61B-A269-4A30-A77B-700736AA4920}"/>
    <cellStyle name="Komma 2 2 4" xfId="239" xr:uid="{BD50ACDD-5729-4F71-8A41-75DAD9EB326B}"/>
    <cellStyle name="Komma 2 2 4 2" xfId="644" xr:uid="{DCFCF5ED-5127-4440-988C-4BFD7ABA2164}"/>
    <cellStyle name="Komma 2 3" xfId="79" xr:uid="{FD2994FE-D0A2-4D39-AD17-2A2143D79C0A}"/>
    <cellStyle name="Komma 2 3 2" xfId="170" xr:uid="{FD2994FE-D0A2-4D39-AD17-2A2143D79C0A}"/>
    <cellStyle name="Komma 2 3 2 2" xfId="351" xr:uid="{05DA9AEC-A5EB-44D4-8BF7-A81A4265078D}"/>
    <cellStyle name="Komma 2 3 2 2 2" xfId="756" xr:uid="{BB406186-C880-4FA0-9D9A-65FD2AD78A3D}"/>
    <cellStyle name="Komma 2 3 3" xfId="261" xr:uid="{15D1B147-7964-4AB2-BB2A-755B3ECF2870}"/>
    <cellStyle name="Komma 2 3 3 2" xfId="666" xr:uid="{F2A8C49B-FE5B-4585-9C99-4B24440C75C0}"/>
    <cellStyle name="Komma 2 4" xfId="125" xr:uid="{6C404BA0-F02A-45D2-8B20-FE7515CA85EC}"/>
    <cellStyle name="Komma 2 4 2" xfId="306" xr:uid="{F603E3B7-91E4-466E-9699-81B9C7516D8E}"/>
    <cellStyle name="Komma 2 4 2 2" xfId="711" xr:uid="{0D699BB2-9BDC-4ACB-B71B-8D83B0E31147}"/>
    <cellStyle name="Komma 2 5" xfId="216" xr:uid="{DFA84018-28F3-445E-8312-810A3396E0E4}"/>
    <cellStyle name="Komma 2 5 2" xfId="621" xr:uid="{27D3556F-85BE-4490-B0D8-B8C82880F1AA}"/>
    <cellStyle name="Komma 3" xfId="8" xr:uid="{D9765878-8EF4-4ECF-AC3B-3A2A55020E01}"/>
    <cellStyle name="Komma 3 2" xfId="58" xr:uid="{3CBEE41D-A53D-42B3-A7F4-58717351686D}"/>
    <cellStyle name="Komma 3 2 2" xfId="104" xr:uid="{52F9D151-30E5-4D63-B020-0A8C38339A72}"/>
    <cellStyle name="Komma 3 2 2 2" xfId="195" xr:uid="{52F9D151-30E5-4D63-B020-0A8C38339A72}"/>
    <cellStyle name="Komma 3 2 2 2 2" xfId="376" xr:uid="{FB16312A-9ABA-428A-B856-09535E44335A}"/>
    <cellStyle name="Komma 3 2 2 2 2 2" xfId="781" xr:uid="{94695769-5E93-4EE6-B76E-2C2C308AA26B}"/>
    <cellStyle name="Komma 3 2 2 3" xfId="286" xr:uid="{A3F228CB-924A-4F2E-91AB-11F77054C7BB}"/>
    <cellStyle name="Komma 3 2 2 3 2" xfId="691" xr:uid="{3988C25D-B2E1-4B4E-9301-60A3BBEF2BC6}"/>
    <cellStyle name="Komma 3 2 3" xfId="150" xr:uid="{3CBEE41D-A53D-42B3-A7F4-58717351686D}"/>
    <cellStyle name="Komma 3 2 3 2" xfId="331" xr:uid="{EFFE52DF-B513-4453-8A0B-32C7FFC88C1F}"/>
    <cellStyle name="Komma 3 2 3 2 2" xfId="736" xr:uid="{BD72BDC1-74FB-40D8-9590-4F7F38B6D1E0}"/>
    <cellStyle name="Komma 3 2 4" xfId="241" xr:uid="{FD0E000E-3737-4FF7-93F7-8D910FDFFA86}"/>
    <cellStyle name="Komma 3 2 4 2" xfId="646" xr:uid="{7BF9D5BB-86D5-4C2F-88AC-403FCCECA15F}"/>
    <cellStyle name="Komma 3 3" xfId="82" xr:uid="{1719251E-4F82-435C-A74C-23E437B7B834}"/>
    <cellStyle name="Komma 3 3 2" xfId="173" xr:uid="{1719251E-4F82-435C-A74C-23E437B7B834}"/>
    <cellStyle name="Komma 3 3 2 2" xfId="354" xr:uid="{D33C76AB-0C62-4694-9185-3CCFB9F4D18C}"/>
    <cellStyle name="Komma 3 3 2 2 2" xfId="759" xr:uid="{9CB88DDD-C64B-4B48-AF7B-12CA1CDE4C11}"/>
    <cellStyle name="Komma 3 3 3" xfId="264" xr:uid="{2619F922-C072-47E1-890A-82A821F4B26B}"/>
    <cellStyle name="Komma 3 3 3 2" xfId="669" xr:uid="{D638F0DE-DB0A-4911-9298-201EEC893A53}"/>
    <cellStyle name="Komma 3 4" xfId="128" xr:uid="{D9765878-8EF4-4ECF-AC3B-3A2A55020E01}"/>
    <cellStyle name="Komma 3 4 2" xfId="309" xr:uid="{B3089783-AFA0-413E-89D4-6482D4B636E3}"/>
    <cellStyle name="Komma 3 4 2 2" xfId="714" xr:uid="{AC9313F2-ADB6-4FE4-A0FE-FA094C42E55D}"/>
    <cellStyle name="Komma 3 5" xfId="219" xr:uid="{39C06C36-7371-4278-8F23-06971D4C8A53}"/>
    <cellStyle name="Komma 3 5 2" xfId="624" xr:uid="{EA35F40E-F9B4-4D54-9BCE-A567B37FD1D9}"/>
    <cellStyle name="Komma 4" xfId="51" xr:uid="{607FEAEB-4E5B-44EC-81EE-5E0F92684580}"/>
    <cellStyle name="Komma 4 2" xfId="75" xr:uid="{D23379E3-8255-4DED-ABE2-9F235AAC0C50}"/>
    <cellStyle name="Komma 4 2 2" xfId="121" xr:uid="{587E37AD-F928-4A11-8040-93F4B9238DE6}"/>
    <cellStyle name="Komma 4 2 2 2" xfId="212" xr:uid="{587E37AD-F928-4A11-8040-93F4B9238DE6}"/>
    <cellStyle name="Komma 4 2 2 2 2" xfId="393" xr:uid="{A115C6BC-D28B-46C7-8AD0-F36B8B32C011}"/>
    <cellStyle name="Komma 4 2 2 2 2 2" xfId="798" xr:uid="{30235ABF-0485-4D71-A80D-BF54C8FA4B41}"/>
    <cellStyle name="Komma 4 2 2 3" xfId="303" xr:uid="{0B48EAEB-7DBA-4A94-A128-FA1296F125F8}"/>
    <cellStyle name="Komma 4 2 2 3 2" xfId="708" xr:uid="{73494F67-004D-49B7-BDEA-C5736ACE8DF2}"/>
    <cellStyle name="Komma 4 2 3" xfId="167" xr:uid="{D23379E3-8255-4DED-ABE2-9F235AAC0C50}"/>
    <cellStyle name="Komma 4 2 3 2" xfId="348" xr:uid="{C6757F81-E551-4B9D-A07D-F7BB9A06CEDC}"/>
    <cellStyle name="Komma 4 2 3 2 2" xfId="753" xr:uid="{AC9352FA-21AB-47C9-8FEA-16B6186D9CB3}"/>
    <cellStyle name="Komma 4 2 4" xfId="258" xr:uid="{1217B96B-3DB1-48D1-B1BA-F28FF40A24B5}"/>
    <cellStyle name="Komma 4 2 4 2" xfId="663" xr:uid="{24A2E86B-F333-4148-B1C3-64D4DBA5E976}"/>
    <cellStyle name="Komma 4 3" xfId="99" xr:uid="{4B0E212C-0D04-43C5-BBB4-FFA58FCB583D}"/>
    <cellStyle name="Komma 4 3 2" xfId="190" xr:uid="{4B0E212C-0D04-43C5-BBB4-FFA58FCB583D}"/>
    <cellStyle name="Komma 4 3 2 2" xfId="371" xr:uid="{C2384310-974E-42A2-84D4-8C571370E0B8}"/>
    <cellStyle name="Komma 4 3 2 2 2" xfId="776" xr:uid="{155EE8B7-7C34-4451-837B-BEAAF1F055E9}"/>
    <cellStyle name="Komma 4 3 3" xfId="281" xr:uid="{34ABAD1A-E477-49C6-BF74-EA4EFB4E5572}"/>
    <cellStyle name="Komma 4 3 3 2" xfId="686" xr:uid="{DBB9FB31-63AE-4A8B-95FD-A5CE91449E31}"/>
    <cellStyle name="Komma 4 4" xfId="145" xr:uid="{607FEAEB-4E5B-44EC-81EE-5E0F92684580}"/>
    <cellStyle name="Komma 4 4 2" xfId="326" xr:uid="{48F84097-461C-4EFA-936E-F5F530643500}"/>
    <cellStyle name="Komma 4 4 2 2" xfId="731" xr:uid="{E3C47CEB-F8E8-43C1-B141-185BE1228AC1}"/>
    <cellStyle name="Komma 4 5" xfId="236" xr:uid="{D0B92FCE-1806-4731-B933-C5CA80140339}"/>
    <cellStyle name="Komma 4 5 2" xfId="641" xr:uid="{074B2091-2108-4C89-9409-4BA7A37CF780}"/>
    <cellStyle name="Komma 5" xfId="54" xr:uid="{8891C6B8-6716-4935-BDA1-02A7AB63E778}"/>
    <cellStyle name="Komma 5 2" xfId="100" xr:uid="{D486603E-B549-4C71-95AF-8D3720B19551}"/>
    <cellStyle name="Komma 5 2 2" xfId="191" xr:uid="{D486603E-B549-4C71-95AF-8D3720B19551}"/>
    <cellStyle name="Komma 5 2 2 2" xfId="372" xr:uid="{41419F09-8A7D-4C9A-9B19-CBA8F0B26E0B}"/>
    <cellStyle name="Komma 5 2 2 2 2" xfId="777" xr:uid="{A3EC0132-416E-4DA1-BD45-C0C0DDA8327D}"/>
    <cellStyle name="Komma 5 2 3" xfId="282" xr:uid="{6B765025-1106-495C-B2B4-BD9F50DDE9F5}"/>
    <cellStyle name="Komma 5 2 3 2" xfId="687" xr:uid="{97D15272-D481-4E45-9711-83E026A2FE60}"/>
    <cellStyle name="Komma 5 3" xfId="146" xr:uid="{8891C6B8-6716-4935-BDA1-02A7AB63E778}"/>
    <cellStyle name="Komma 5 3 2" xfId="327" xr:uid="{D587DE17-2074-4554-9EDB-AF9286C35F5D}"/>
    <cellStyle name="Komma 5 3 2 2" xfId="732" xr:uid="{1BBCED73-42D0-449B-8710-B65F1EBE050F}"/>
    <cellStyle name="Komma 5 4" xfId="237" xr:uid="{A3F2FC72-12FD-41FF-B53F-8B8A885A61C2}"/>
    <cellStyle name="Komma 5 4 2" xfId="642" xr:uid="{898B6127-9E82-4D16-8526-B7671C7D2969}"/>
    <cellStyle name="Komma 6" xfId="77" xr:uid="{CBEBE29A-374C-4B59-9B12-8CBFAEC4E66D}"/>
    <cellStyle name="Komma 6 2" xfId="122" xr:uid="{DFE30700-9A48-4431-A667-71C48828CBB7}"/>
    <cellStyle name="Komma 6 2 2" xfId="213" xr:uid="{DFE30700-9A48-4431-A667-71C48828CBB7}"/>
    <cellStyle name="Komma 6 2 2 2" xfId="394" xr:uid="{2A901B9F-756B-416A-AFCE-E73F8BD84C0C}"/>
    <cellStyle name="Komma 6 2 2 2 2" xfId="799" xr:uid="{E16FFA60-666E-4E49-8D0D-2116AEBFA1D7}"/>
    <cellStyle name="Komma 6 2 3" xfId="304" xr:uid="{8515CA0C-D551-48A0-A016-A2534BC6E931}"/>
    <cellStyle name="Komma 6 2 3 2" xfId="709" xr:uid="{B0E725BD-A788-4C5A-8CC6-93F862613D1E}"/>
    <cellStyle name="Komma 6 3" xfId="168" xr:uid="{CBEBE29A-374C-4B59-9B12-8CBFAEC4E66D}"/>
    <cellStyle name="Komma 6 3 2" xfId="349" xr:uid="{5E77A21E-E1C8-4857-A471-E55A30B5F835}"/>
    <cellStyle name="Komma 6 3 2 2" xfId="754" xr:uid="{537C3033-AC1C-49A2-8845-96EE2F89157B}"/>
    <cellStyle name="Komma 6 4" xfId="259" xr:uid="{428B211D-2D31-461B-B734-DDD1D2A1B437}"/>
    <cellStyle name="Komma 6 4 2" xfId="664" xr:uid="{33CBF501-EFE3-4C5E-824C-6790BC101E8E}"/>
    <cellStyle name="Komma 7" xfId="81" xr:uid="{332F31EE-3C6A-4B46-BDFA-6210DA8BA6BA}"/>
    <cellStyle name="Komma 7 2" xfId="172" xr:uid="{332F31EE-3C6A-4B46-BDFA-6210DA8BA6BA}"/>
    <cellStyle name="Komma 7 2 2" xfId="353" xr:uid="{2DDD5A1D-28B8-4712-BEDC-AD2A8619157A}"/>
    <cellStyle name="Komma 7 2 2 2" xfId="758" xr:uid="{6E49EA08-10E9-464D-8D83-1C32447A877D}"/>
    <cellStyle name="Komma 7 3" xfId="263" xr:uid="{DE85E409-0A96-4984-BF03-9D513F1E1841}"/>
    <cellStyle name="Komma 7 3 2" xfId="668" xr:uid="{DABC71DA-F9FB-4D1B-86D3-FD705FDFD583}"/>
    <cellStyle name="Komma 8" xfId="218" xr:uid="{EBCFC3ED-77B2-40B3-A26A-670AD2A8BFF3}"/>
    <cellStyle name="Komma 8 2" xfId="623" xr:uid="{70302613-349B-4834-A42C-7DAE385CB774}"/>
    <cellStyle name="Kontrollcelle" xfId="21" builtinId="23" customBuiltin="1"/>
    <cellStyle name="Merknad 2" xfId="45" xr:uid="{9DD2A4B7-10F9-470F-AC26-41B2F648F97E}"/>
    <cellStyle name="Merknad 2 2" xfId="73" xr:uid="{906D1087-64EC-4E18-8141-8E5209E13568}"/>
    <cellStyle name="Merknad 2 2 2" xfId="119" xr:uid="{A43F17C6-598A-4431-ABD8-CF5CD18F5AC8}"/>
    <cellStyle name="Merknad 2 2 2 2" xfId="210" xr:uid="{A43F17C6-598A-4431-ABD8-CF5CD18F5AC8}"/>
    <cellStyle name="Merknad 2 2 2 2 2" xfId="391" xr:uid="{3A6A3CCB-E9AE-4892-84D7-FE318DBE3571}"/>
    <cellStyle name="Merknad 2 2 2 2 2 2" xfId="796" xr:uid="{F1C8EA12-7471-4364-BD00-91BC69740AC7}"/>
    <cellStyle name="Merknad 2 2 2 2 3" xfId="507" xr:uid="{C516C155-BF51-4A65-B182-1473947BE5DD}"/>
    <cellStyle name="Merknad 2 2 2 2 3 2" xfId="912" xr:uid="{F179D228-3629-46C3-991B-0575408D3EE8}"/>
    <cellStyle name="Merknad 2 2 2 2 4" xfId="619" xr:uid="{00B52F61-E4A4-4EE5-91CC-18750E5F43EC}"/>
    <cellStyle name="Merknad 2 2 2 3" xfId="301" xr:uid="{F68EFE20-9373-48C7-ACC6-1BDE540C9A47}"/>
    <cellStyle name="Merknad 2 2 2 3 2" xfId="706" xr:uid="{AB83965C-4ACE-40F8-AC99-35D972318FCE}"/>
    <cellStyle name="Merknad 2 2 2 4" xfId="451" xr:uid="{5C9825A4-1A56-468A-B91F-EBB106127913}"/>
    <cellStyle name="Merknad 2 2 2 4 2" xfId="856" xr:uid="{DDBD4183-F446-4753-BEBC-3211B2034D20}"/>
    <cellStyle name="Merknad 2 2 2 5" xfId="563" xr:uid="{17B63A82-ECBD-499C-BEA9-D3DD207429FB}"/>
    <cellStyle name="Merknad 2 2 3" xfId="165" xr:uid="{906D1087-64EC-4E18-8141-8E5209E13568}"/>
    <cellStyle name="Merknad 2 2 3 2" xfId="346" xr:uid="{E927F4E3-E4BE-4EED-805E-A5E7DB063654}"/>
    <cellStyle name="Merknad 2 2 3 2 2" xfId="751" xr:uid="{F04C507F-B469-46C6-BB9B-AA1A1FB7C153}"/>
    <cellStyle name="Merknad 2 2 3 3" xfId="479" xr:uid="{B338D65C-1E27-455E-ABA9-4C8EB87F3BE9}"/>
    <cellStyle name="Merknad 2 2 3 3 2" xfId="884" xr:uid="{7649F677-2D82-48A4-A216-3DBDDA3AB7F3}"/>
    <cellStyle name="Merknad 2 2 3 4" xfId="591" xr:uid="{729872A5-AC0A-476E-B6DC-82FCFB865C4A}"/>
    <cellStyle name="Merknad 2 2 4" xfId="256" xr:uid="{6DE733A5-2EF0-4F07-AE5B-54F53BDEAD31}"/>
    <cellStyle name="Merknad 2 2 4 2" xfId="661" xr:uid="{93969C78-2134-421D-A058-F9C7FD59AA28}"/>
    <cellStyle name="Merknad 2 2 5" xfId="423" xr:uid="{9DE8FEAF-AD32-495E-BF5C-422FD9060B27}"/>
    <cellStyle name="Merknad 2 2 5 2" xfId="828" xr:uid="{323A548F-A19D-4655-9462-32B85DD52658}"/>
    <cellStyle name="Merknad 2 2 6" xfId="535" xr:uid="{BA35FE28-AB3A-4261-A650-F3701F9E2161}"/>
    <cellStyle name="Merknad 2 3" xfId="97" xr:uid="{E6C926EF-A4C4-48BD-B69C-8CE77B7B206E}"/>
    <cellStyle name="Merknad 2 3 2" xfId="188" xr:uid="{E6C926EF-A4C4-48BD-B69C-8CE77B7B206E}"/>
    <cellStyle name="Merknad 2 3 2 2" xfId="369" xr:uid="{B0A289B7-2077-453F-95A4-B4D4C7CEC7EE}"/>
    <cellStyle name="Merknad 2 3 2 2 2" xfId="774" xr:uid="{8AC7EFE7-EE12-4D39-80CB-06929797870E}"/>
    <cellStyle name="Merknad 2 3 2 3" xfId="493" xr:uid="{4443E1B8-0A57-4E6B-A215-03C4F57E0DAB}"/>
    <cellStyle name="Merknad 2 3 2 3 2" xfId="898" xr:uid="{1809CC7F-2D02-4B2A-B8DE-20AD0C205DD5}"/>
    <cellStyle name="Merknad 2 3 2 4" xfId="605" xr:uid="{1E23968E-46F8-4570-8757-4C8F3A932144}"/>
    <cellStyle name="Merknad 2 3 3" xfId="279" xr:uid="{6FE70065-2016-4D5A-910A-2028D1FA4350}"/>
    <cellStyle name="Merknad 2 3 3 2" xfId="684" xr:uid="{1B4F6573-576E-4BCA-97E7-DFA363810F80}"/>
    <cellStyle name="Merknad 2 3 4" xfId="437" xr:uid="{8ADB95F6-3570-4EBD-916C-110C2B9B24E0}"/>
    <cellStyle name="Merknad 2 3 4 2" xfId="842" xr:uid="{1CCC1913-788A-4FF0-A92E-05A3F514C44D}"/>
    <cellStyle name="Merknad 2 3 5" xfId="549" xr:uid="{F3830178-4AE2-477C-8FD9-25799321F142}"/>
    <cellStyle name="Merknad 2 4" xfId="143" xr:uid="{9DD2A4B7-10F9-470F-AC26-41B2F648F97E}"/>
    <cellStyle name="Merknad 2 4 2" xfId="324" xr:uid="{C04AAD00-F977-4C30-9CDA-A3936C2FD52C}"/>
    <cellStyle name="Merknad 2 4 2 2" xfId="729" xr:uid="{C0566913-3CD3-4AF1-B68B-F2047B275B08}"/>
    <cellStyle name="Merknad 2 4 3" xfId="465" xr:uid="{FA5865AF-4100-4B38-8D19-079E78808360}"/>
    <cellStyle name="Merknad 2 4 3 2" xfId="870" xr:uid="{2C7AEE04-F121-4BCE-9D80-273F0002A0B5}"/>
    <cellStyle name="Merknad 2 4 4" xfId="577" xr:uid="{18714DF2-F9A4-4579-A68D-F2F3B5D73745}"/>
    <cellStyle name="Merknad 2 5" xfId="234" xr:uid="{C553F490-0EC7-4900-8215-D0EF90106D84}"/>
    <cellStyle name="Merknad 2 5 2" xfId="639" xr:uid="{10AAF1AF-97FF-4DF8-851E-2F15C5998363}"/>
    <cellStyle name="Merknad 2 6" xfId="409" xr:uid="{67F3618D-43DE-444B-AC7B-15B246A86D77}"/>
    <cellStyle name="Merknad 2 6 2" xfId="814" xr:uid="{520A2B58-721C-4B08-83E9-13B7196BBE48}"/>
    <cellStyle name="Merknad 2 7" xfId="521" xr:uid="{2C24EF80-B2DD-42CC-AFFF-8597B57D8695}"/>
    <cellStyle name="Normal" xfId="0" builtinId="0"/>
    <cellStyle name="Normal 2" xfId="3" xr:uid="{F602EDB9-E223-4070-AD32-E0041B5BFA45}"/>
    <cellStyle name="Normal 3" xfId="43" xr:uid="{D7A8BE39-2CC9-4F31-919B-39B316E50CCE}"/>
    <cellStyle name="Normal 3 2" xfId="72" xr:uid="{9DB33B25-75B5-44CF-9BF7-D7CD1BDD8845}"/>
    <cellStyle name="Normal 3 2 2" xfId="118" xr:uid="{80BE6F31-5C29-4AC8-A384-186885903D3B}"/>
    <cellStyle name="Normal 3 2 2 2" xfId="209" xr:uid="{80BE6F31-5C29-4AC8-A384-186885903D3B}"/>
    <cellStyle name="Normal 3 2 2 2 2" xfId="390" xr:uid="{515CA2EA-729E-48A3-B08F-D1FE2B22CB8E}"/>
    <cellStyle name="Normal 3 2 2 2 2 2" xfId="795" xr:uid="{502FD968-B90C-45E9-A3A0-B7C525D47E1C}"/>
    <cellStyle name="Normal 3 2 2 2 3" xfId="506" xr:uid="{E940377C-FF37-4305-BC53-37C78C759F7C}"/>
    <cellStyle name="Normal 3 2 2 2 3 2" xfId="911" xr:uid="{97811052-B5D4-4849-B031-22F074FEBA87}"/>
    <cellStyle name="Normal 3 2 2 2 4" xfId="618" xr:uid="{A8390881-CCD8-40CA-8775-B93316532FB3}"/>
    <cellStyle name="Normal 3 2 2 3" xfId="300" xr:uid="{5C399141-DD00-4B9F-8300-59F17CB7678F}"/>
    <cellStyle name="Normal 3 2 2 3 2" xfId="705" xr:uid="{411F36C4-5E4C-4F78-9A61-77F5F2A3ECB8}"/>
    <cellStyle name="Normal 3 2 2 4" xfId="450" xr:uid="{5EC5A867-06F2-4030-B84A-FDA36F3AFE53}"/>
    <cellStyle name="Normal 3 2 2 4 2" xfId="855" xr:uid="{E399D338-E1DB-4938-BEFE-3AA7D28FFC27}"/>
    <cellStyle name="Normal 3 2 2 5" xfId="562" xr:uid="{C152E8E8-D536-466F-8F3E-0FE492B60CDF}"/>
    <cellStyle name="Normal 3 2 3" xfId="164" xr:uid="{9DB33B25-75B5-44CF-9BF7-D7CD1BDD8845}"/>
    <cellStyle name="Normal 3 2 3 2" xfId="345" xr:uid="{626A2193-0394-42AA-871E-AE30BC245C66}"/>
    <cellStyle name="Normal 3 2 3 2 2" xfId="750" xr:uid="{4CF9FC2C-3439-4330-AE9D-FD360765662C}"/>
    <cellStyle name="Normal 3 2 3 3" xfId="478" xr:uid="{A39DD60D-7435-44C9-8901-5F7C5C7ED825}"/>
    <cellStyle name="Normal 3 2 3 3 2" xfId="883" xr:uid="{3FFF042E-6611-47E5-BB90-0FEDECDB91B5}"/>
    <cellStyle name="Normal 3 2 3 4" xfId="590" xr:uid="{8A49D201-E116-4D89-A72D-80FAEC043711}"/>
    <cellStyle name="Normal 3 2 4" xfId="255" xr:uid="{FABA4055-1341-4C10-BAFA-82A7BE3E6673}"/>
    <cellStyle name="Normal 3 2 4 2" xfId="660" xr:uid="{D810C57F-9305-439D-9057-68A25013033E}"/>
    <cellStyle name="Normal 3 2 5" xfId="422" xr:uid="{E10639C1-BE83-4A08-A94C-0FB00B3CDC8F}"/>
    <cellStyle name="Normal 3 2 5 2" xfId="827" xr:uid="{D86BED4B-9F53-4A7D-94AC-96D7D4378CF5}"/>
    <cellStyle name="Normal 3 2 6" xfId="534" xr:uid="{88D6B194-C872-4D36-8AB1-7A735F5D3F45}"/>
    <cellStyle name="Normal 3 3" xfId="96" xr:uid="{2A5D6DC4-AD06-433B-B2F2-7DA90BB86AC5}"/>
    <cellStyle name="Normal 3 3 2" xfId="187" xr:uid="{2A5D6DC4-AD06-433B-B2F2-7DA90BB86AC5}"/>
    <cellStyle name="Normal 3 3 2 2" xfId="368" xr:uid="{4A474E99-B133-4E63-BA8B-D1A89C61D93C}"/>
    <cellStyle name="Normal 3 3 2 2 2" xfId="773" xr:uid="{95B568E8-2812-457A-A76E-4CB5BF571EB5}"/>
    <cellStyle name="Normal 3 3 2 3" xfId="492" xr:uid="{D6BB8751-FA7F-4374-A630-707BBE772080}"/>
    <cellStyle name="Normal 3 3 2 3 2" xfId="897" xr:uid="{A903BCFF-1CEB-4843-AC2A-5CBA693891D8}"/>
    <cellStyle name="Normal 3 3 2 4" xfId="604" xr:uid="{E850C7F9-ABEB-4B90-9AC1-01715484EFBE}"/>
    <cellStyle name="Normal 3 3 3" xfId="278" xr:uid="{9D09029D-7AC7-45D3-9C46-E788AFFE3D96}"/>
    <cellStyle name="Normal 3 3 3 2" xfId="683" xr:uid="{1FCEFBA2-7971-438C-ABFF-4E131CD190C2}"/>
    <cellStyle name="Normal 3 3 4" xfId="436" xr:uid="{03E13495-7B5A-4354-8A33-55932DAFBEF7}"/>
    <cellStyle name="Normal 3 3 4 2" xfId="841" xr:uid="{34A00D94-7AA9-4A84-A7B7-634A1BF50E3E}"/>
    <cellStyle name="Normal 3 3 5" xfId="548" xr:uid="{266389A2-057D-4524-92C9-86EF35DE23F3}"/>
    <cellStyle name="Normal 3 4" xfId="142" xr:uid="{D7A8BE39-2CC9-4F31-919B-39B316E50CCE}"/>
    <cellStyle name="Normal 3 4 2" xfId="323" xr:uid="{FEA2E169-045B-47AA-B291-684EBAC10067}"/>
    <cellStyle name="Normal 3 4 2 2" xfId="728" xr:uid="{5FE94B0F-63F1-453A-8868-40E06F091CBA}"/>
    <cellStyle name="Normal 3 4 3" xfId="464" xr:uid="{6A3146DD-4094-4556-A2F3-306B86440651}"/>
    <cellStyle name="Normal 3 4 3 2" xfId="869" xr:uid="{9059D1EA-0BBB-4BAF-B6CA-C265F053465D}"/>
    <cellStyle name="Normal 3 4 4" xfId="576" xr:uid="{930E1210-7977-459D-8008-1C9706346A40}"/>
    <cellStyle name="Normal 3 5" xfId="233" xr:uid="{CA1A4C6D-C073-4081-BE1F-6AC741E92FA7}"/>
    <cellStyle name="Normal 3 5 2" xfId="638" xr:uid="{1DABFA38-62BF-4027-8123-11CEF993A06E}"/>
    <cellStyle name="Normal 3 6" xfId="408" xr:uid="{61B5E9E7-F230-4209-BFD6-009853EC84D9}"/>
    <cellStyle name="Normal 3 6 2" xfId="813" xr:uid="{B6640083-09E5-4D3A-AEFA-AD96FE9CA857}"/>
    <cellStyle name="Normal 3 7" xfId="520" xr:uid="{755455AD-0463-4382-917E-08FEDB8031D0}"/>
    <cellStyle name="Normal 4" xfId="76" xr:uid="{E57F4859-E8FB-4425-A235-8709480A496F}"/>
    <cellStyle name="Nøytral 2" xfId="44" xr:uid="{A27C2004-2496-4FA4-A63C-EE42DAF244E9}"/>
    <cellStyle name="Overskrift 1" xfId="11" builtinId="16" customBuiltin="1"/>
    <cellStyle name="Overskrift 2" xfId="12" builtinId="17" customBuiltin="1"/>
    <cellStyle name="Overskrift 3" xfId="13" builtinId="18" customBuiltin="1"/>
    <cellStyle name="Overskrift 4" xfId="14" builtinId="19" customBuiltin="1"/>
    <cellStyle name="Percent 2" xfId="124" xr:uid="{00000000-0005-0000-0000-0000D1000000}"/>
    <cellStyle name="Prosent" xfId="1" builtinId="5"/>
    <cellStyle name="Prosent 2" xfId="6" xr:uid="{8FE78340-C1D1-4AA3-8022-0FAC59481BF9}"/>
    <cellStyle name="Tittel" xfId="10" builtinId="15" customBuiltin="1"/>
    <cellStyle name="Totalt" xfId="24" builtinId="25" customBuiltin="1"/>
    <cellStyle name="Utdata" xfId="18" builtinId="21" customBuiltin="1"/>
    <cellStyle name="Uthevingsfarge1" xfId="25" builtinId="29" customBuiltin="1"/>
    <cellStyle name="Uthevingsfarge2" xfId="28" builtinId="33" customBuiltin="1"/>
    <cellStyle name="Uthevingsfarge3" xfId="31" builtinId="37" customBuiltin="1"/>
    <cellStyle name="Uthevingsfarge4" xfId="34" builtinId="41" customBuiltin="1"/>
    <cellStyle name="Uthevingsfarge5" xfId="37" builtinId="45" customBuiltin="1"/>
    <cellStyle name="Uthevingsfarge6" xfId="40" builtinId="49" customBuiltin="1"/>
    <cellStyle name="Valuta" xfId="215" builtinId="4"/>
    <cellStyle name="Valuta 2" xfId="5" xr:uid="{CDAA16CC-915B-4516-98AD-6DEFDE821AF8}"/>
    <cellStyle name="Valuta 2 2" xfId="57" xr:uid="{FDEEC55E-1B38-4BB7-BF8D-B6D8590547B1}"/>
    <cellStyle name="Valuta 2 2 2" xfId="103" xr:uid="{5493FC46-C721-4715-BD1B-FCEB96F8098C}"/>
    <cellStyle name="Valuta 2 2 2 2" xfId="194" xr:uid="{5493FC46-C721-4715-BD1B-FCEB96F8098C}"/>
    <cellStyle name="Valuta 2 2 2 2 2" xfId="375" xr:uid="{E030E0D4-3A57-4BC3-97ED-D083BE7AE336}"/>
    <cellStyle name="Valuta 2 2 2 2 2 2" xfId="780" xr:uid="{1116C37A-36F8-4A9F-8EA7-9C99598296DE}"/>
    <cellStyle name="Valuta 2 2 2 3" xfId="285" xr:uid="{3AEB8C70-955B-4766-8642-8849C7A48AE5}"/>
    <cellStyle name="Valuta 2 2 2 3 2" xfId="690" xr:uid="{10809DD2-04DE-4019-98F8-8ABB17C439EF}"/>
    <cellStyle name="Valuta 2 2 3" xfId="149" xr:uid="{FDEEC55E-1B38-4BB7-BF8D-B6D8590547B1}"/>
    <cellStyle name="Valuta 2 2 3 2" xfId="330" xr:uid="{C16436D5-B1D6-450E-B09C-D0B0ACB64600}"/>
    <cellStyle name="Valuta 2 2 3 2 2" xfId="735" xr:uid="{A84287AB-7EC8-4791-B3F0-3C76849DE4B8}"/>
    <cellStyle name="Valuta 2 2 4" xfId="240" xr:uid="{85D9B2C6-8562-4FDF-95C7-FFDBBC0919EB}"/>
    <cellStyle name="Valuta 2 2 4 2" xfId="645" xr:uid="{2AEAA53A-3FD3-4DA7-A4EB-B79291096E22}"/>
    <cellStyle name="Valuta 2 3" xfId="80" xr:uid="{C143548F-E10E-4AE3-AF3E-1EAD75B9A9C1}"/>
    <cellStyle name="Valuta 2 3 2" xfId="171" xr:uid="{C143548F-E10E-4AE3-AF3E-1EAD75B9A9C1}"/>
    <cellStyle name="Valuta 2 3 2 2" xfId="352" xr:uid="{29881F1A-F296-47B6-8D22-A146A8D4A394}"/>
    <cellStyle name="Valuta 2 3 2 2 2" xfId="757" xr:uid="{B1E9B858-6A6C-4E8D-8598-1D5F3BA0368F}"/>
    <cellStyle name="Valuta 2 3 3" xfId="262" xr:uid="{937B92FC-3EF4-427E-B309-766A6FF27EF2}"/>
    <cellStyle name="Valuta 2 3 3 2" xfId="667" xr:uid="{F0C36557-3B33-45A3-8F3E-74A177EC1948}"/>
    <cellStyle name="Valuta 2 4" xfId="126" xr:uid="{CDAA16CC-915B-4516-98AD-6DEFDE821AF8}"/>
    <cellStyle name="Valuta 2 4 2" xfId="307" xr:uid="{51FB7B6C-5A76-42BF-9385-F919AC74B47E}"/>
    <cellStyle name="Valuta 2 4 2 2" xfId="712" xr:uid="{173D6BF3-8718-4F72-A06C-846FC56FD5DC}"/>
    <cellStyle name="Valuta 2 5" xfId="217" xr:uid="{72F1F778-2916-4483-8B69-AEE4E51902A4}"/>
    <cellStyle name="Valuta 2 5 2" xfId="622" xr:uid="{80C11AC1-E8DD-4881-9F3A-EC0445EAE35D}"/>
    <cellStyle name="Valuta 3" xfId="9" xr:uid="{92E85BE5-EDAB-498A-BA8D-C2E57D142009}"/>
    <cellStyle name="Valuta 3 2" xfId="59" xr:uid="{A864648C-425C-4E7F-8DB2-6C160BF074D5}"/>
    <cellStyle name="Valuta 3 2 2" xfId="105" xr:uid="{8C942141-1817-4FD8-B989-AC5C858DE808}"/>
    <cellStyle name="Valuta 3 2 2 2" xfId="196" xr:uid="{8C942141-1817-4FD8-B989-AC5C858DE808}"/>
    <cellStyle name="Valuta 3 2 2 2 2" xfId="377" xr:uid="{44A2D467-0945-4042-B1D3-12C7B6C7588F}"/>
    <cellStyle name="Valuta 3 2 2 2 2 2" xfId="782" xr:uid="{92145A15-6526-47B1-8EF4-C5F9C43B657F}"/>
    <cellStyle name="Valuta 3 2 2 3" xfId="287" xr:uid="{B08EAE75-7FC1-40E1-8C9B-430EB2525AEC}"/>
    <cellStyle name="Valuta 3 2 2 3 2" xfId="692" xr:uid="{EBDE490E-7294-4458-99AF-92F9E05119D2}"/>
    <cellStyle name="Valuta 3 2 3" xfId="151" xr:uid="{A864648C-425C-4E7F-8DB2-6C160BF074D5}"/>
    <cellStyle name="Valuta 3 2 3 2" xfId="332" xr:uid="{F73769AE-1AA8-4092-B5E7-A08EB0D1B24F}"/>
    <cellStyle name="Valuta 3 2 3 2 2" xfId="737" xr:uid="{B2A7314F-EF55-4A8F-AB21-A3FF7BC0B448}"/>
    <cellStyle name="Valuta 3 2 4" xfId="242" xr:uid="{1D5155AE-AB59-4693-B07A-E970C839EA38}"/>
    <cellStyle name="Valuta 3 2 4 2" xfId="647" xr:uid="{06121A54-58F1-4861-9B3D-4547211362D5}"/>
    <cellStyle name="Valuta 3 3" xfId="83" xr:uid="{1755F6D5-E998-46A7-B045-F5AFD2D26414}"/>
    <cellStyle name="Valuta 3 3 2" xfId="174" xr:uid="{1755F6D5-E998-46A7-B045-F5AFD2D26414}"/>
    <cellStyle name="Valuta 3 3 2 2" xfId="355" xr:uid="{5CF6DF23-7760-4411-8666-DB08B879779C}"/>
    <cellStyle name="Valuta 3 3 2 2 2" xfId="760" xr:uid="{51E72297-0135-455C-AF72-0DC11A605FED}"/>
    <cellStyle name="Valuta 3 3 3" xfId="265" xr:uid="{0F8185DD-AC5D-4AEC-B264-6D0027C0AB0B}"/>
    <cellStyle name="Valuta 3 3 3 2" xfId="670" xr:uid="{AAF402FA-0755-4965-A317-25C9D26E8FEB}"/>
    <cellStyle name="Valuta 3 4" xfId="129" xr:uid="{92E85BE5-EDAB-498A-BA8D-C2E57D142009}"/>
    <cellStyle name="Valuta 3 4 2" xfId="310" xr:uid="{E96CEF93-6207-4EE7-B122-89C0BEAA7ECD}"/>
    <cellStyle name="Valuta 3 4 2 2" xfId="715" xr:uid="{E810257F-3A0D-4B51-A256-8BF6190438E8}"/>
    <cellStyle name="Valuta 3 5" xfId="220" xr:uid="{FC430955-FA34-4EB1-AFC4-BB4CEAAA07C3}"/>
    <cellStyle name="Valuta 3 5 2" xfId="625" xr:uid="{C40A03C8-1D2A-4B6C-8188-EA3F4F42CC80}"/>
    <cellStyle name="Valuta 4" xfId="49" xr:uid="{848F2E1D-A4A1-40FE-8257-B5FFF40B3196}"/>
    <cellStyle name="Valuta 4 2" xfId="74" xr:uid="{28456ABE-5952-4D1E-88B2-0F6E2FA823F3}"/>
    <cellStyle name="Valuta 4 2 2" xfId="120" xr:uid="{BF9E7CCC-EFC9-4043-AD75-EAD6B741450A}"/>
    <cellStyle name="Valuta 4 2 2 2" xfId="211" xr:uid="{BF9E7CCC-EFC9-4043-AD75-EAD6B741450A}"/>
    <cellStyle name="Valuta 4 2 2 2 2" xfId="392" xr:uid="{6D90427E-1126-412C-8CA1-AC6307BC1F92}"/>
    <cellStyle name="Valuta 4 2 2 2 2 2" xfId="797" xr:uid="{5FD64634-BF01-4CDB-81F3-FC1731621FB6}"/>
    <cellStyle name="Valuta 4 2 2 3" xfId="302" xr:uid="{75073BE9-A0C5-4816-AD7D-5815D8C0E2A0}"/>
    <cellStyle name="Valuta 4 2 2 3 2" xfId="707" xr:uid="{8EFF2A2A-547F-4D14-A25A-9EDA734564CA}"/>
    <cellStyle name="Valuta 4 2 3" xfId="166" xr:uid="{28456ABE-5952-4D1E-88B2-0F6E2FA823F3}"/>
    <cellStyle name="Valuta 4 2 3 2" xfId="347" xr:uid="{BFDCC4ED-F6FA-453D-9F9E-4EA5FB80FFEC}"/>
    <cellStyle name="Valuta 4 2 3 2 2" xfId="752" xr:uid="{3595E66A-F7CE-4E6E-8EF1-9553DFF247E1}"/>
    <cellStyle name="Valuta 4 2 4" xfId="257" xr:uid="{8F427E97-2262-44F9-AEE8-D9A81B4D955C}"/>
    <cellStyle name="Valuta 4 2 4 2" xfId="662" xr:uid="{01D68AE6-E2BF-4E2F-A4D3-28B6565D0163}"/>
    <cellStyle name="Valuta 4 3" xfId="98" xr:uid="{3A2A651F-83D2-40C2-8275-ED5F7F50D5DB}"/>
    <cellStyle name="Valuta 4 3 2" xfId="189" xr:uid="{3A2A651F-83D2-40C2-8275-ED5F7F50D5DB}"/>
    <cellStyle name="Valuta 4 3 2 2" xfId="370" xr:uid="{12895EB6-AB38-49A0-861E-49FAD57A07EB}"/>
    <cellStyle name="Valuta 4 3 2 2 2" xfId="775" xr:uid="{E21FFCED-6D27-4E37-963E-700AA7B2277D}"/>
    <cellStyle name="Valuta 4 3 3" xfId="280" xr:uid="{BBD6E5D5-B6FF-4CDB-B8C4-6E877B4510F8}"/>
    <cellStyle name="Valuta 4 3 3 2" xfId="685" xr:uid="{AA95C130-2D0F-4876-998C-A963D9BB1CA8}"/>
    <cellStyle name="Valuta 4 4" xfId="144" xr:uid="{848F2E1D-A4A1-40FE-8257-B5FFF40B3196}"/>
    <cellStyle name="Valuta 4 4 2" xfId="325" xr:uid="{B58ACD7F-A131-4564-A6A7-302EE14B9BBA}"/>
    <cellStyle name="Valuta 4 4 2 2" xfId="730" xr:uid="{3975F8A8-8711-43A9-8116-67C7EC318AC5}"/>
    <cellStyle name="Valuta 4 5" xfId="235" xr:uid="{0A5C52B7-500B-4F60-A9BE-F89AD9FE4EF8}"/>
    <cellStyle name="Valuta 4 5 2" xfId="640" xr:uid="{963AA8D9-1820-416E-A1D9-639F5D5A3E8C}"/>
    <cellStyle name="Valuta 5" xfId="55" xr:uid="{5AC90510-387F-4B91-A3C6-445922D94F68}"/>
    <cellStyle name="Valuta 5 2" xfId="101" xr:uid="{8B59E01A-A1BE-49E8-8006-DA60F87D8D34}"/>
    <cellStyle name="Valuta 5 2 2" xfId="192" xr:uid="{8B59E01A-A1BE-49E8-8006-DA60F87D8D34}"/>
    <cellStyle name="Valuta 5 2 2 2" xfId="373" xr:uid="{8C2002CD-13CD-4D91-9D62-44C8F0BD7D99}"/>
    <cellStyle name="Valuta 5 2 2 2 2" xfId="778" xr:uid="{53D6238C-4831-48EF-87F6-7FB2DC7EAEB1}"/>
    <cellStyle name="Valuta 5 2 3" xfId="283" xr:uid="{931B988F-2804-480A-B7CC-5B73E6EFFD58}"/>
    <cellStyle name="Valuta 5 2 3 2" xfId="688" xr:uid="{69BA4CE0-A47A-4AC0-AD57-A772BA3BB0AB}"/>
    <cellStyle name="Valuta 5 3" xfId="147" xr:uid="{5AC90510-387F-4B91-A3C6-445922D94F68}"/>
    <cellStyle name="Valuta 5 3 2" xfId="328" xr:uid="{91C1E34C-DF70-4850-A407-92116EE5AB8B}"/>
    <cellStyle name="Valuta 5 3 2 2" xfId="733" xr:uid="{DF72BC65-1060-4FD7-92C5-3C10EC665240}"/>
    <cellStyle name="Valuta 5 4" xfId="238" xr:uid="{7BF4E55E-7D52-457F-8DB3-917C964F5C10}"/>
    <cellStyle name="Valuta 5 4 2" xfId="643" xr:uid="{B56321A1-9E1C-4A47-BAA5-CFF92079985B}"/>
    <cellStyle name="Valuta 6" xfId="78" xr:uid="{3E28094B-F114-4929-86F5-DF43924F5F6C}"/>
    <cellStyle name="Valuta 6 2" xfId="123" xr:uid="{4B50D68C-7CEC-4F19-8EB2-07A16DDA2425}"/>
    <cellStyle name="Valuta 6 2 2" xfId="214" xr:uid="{4B50D68C-7CEC-4F19-8EB2-07A16DDA2425}"/>
    <cellStyle name="Valuta 6 2 2 2" xfId="395" xr:uid="{CDC44F6F-2AFA-4CFE-8AB2-04F07F4F10E2}"/>
    <cellStyle name="Valuta 6 2 2 2 2" xfId="800" xr:uid="{B7D52298-D8A5-40FC-8DF2-48BDD6282F18}"/>
    <cellStyle name="Valuta 6 2 3" xfId="305" xr:uid="{78A08B70-7967-4469-B968-23F563D08819}"/>
    <cellStyle name="Valuta 6 2 3 2" xfId="710" xr:uid="{5EF4B1CE-CFB5-4572-A891-D9CDF8A94751}"/>
    <cellStyle name="Valuta 6 3" xfId="169" xr:uid="{3E28094B-F114-4929-86F5-DF43924F5F6C}"/>
    <cellStyle name="Valuta 6 3 2" xfId="350" xr:uid="{F06AE682-33A8-4FE7-9F29-F5CF3BCC62F9}"/>
    <cellStyle name="Valuta 6 3 2 2" xfId="755" xr:uid="{10136115-D775-4926-A1C6-CF41402BBFA3}"/>
    <cellStyle name="Valuta 6 4" xfId="260" xr:uid="{356C8362-B5C5-4EA9-B3F3-7E3B9DCB2F75}"/>
    <cellStyle name="Valuta 6 4 2" xfId="665" xr:uid="{4A38A9C4-4DF9-46E5-8F44-548174A652EF}"/>
    <cellStyle name="Valuta 7" xfId="620" xr:uid="{E9DD99B5-6420-4A96-8FF0-24550E033808}"/>
    <cellStyle name="Varseltekst" xfId="2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orbis-bvdinfo-com.ezproxy.library.bi.no/version-2022224/orbis/1/Companies/Navigator/Mark" TargetMode="External"/><Relationship Id="rId1" Type="http://schemas.openxmlformats.org/officeDocument/2006/relationships/hyperlink" Target="https://orbis-bvdinfo-com.ezproxy.library.bi.no/version-2022224/orbis/1/Companies/report/Index?backLabel=Back%20to%20Complete%20book&amp;format=_workSheet&amp;WorkSheetSection=PROFIT_LOSS_ACCOUNT&amp;seq=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745</xdr:row>
      <xdr:rowOff>0</xdr:rowOff>
    </xdr:from>
    <xdr:to>
      <xdr:col>11</xdr:col>
      <xdr:colOff>304800</xdr:colOff>
      <xdr:row>746</xdr:row>
      <xdr:rowOff>114300</xdr:rowOff>
    </xdr:to>
    <xdr:sp macro="" textlink="">
      <xdr:nvSpPr>
        <xdr:cNvPr id="3073" name="AutoShape 1">
          <a:extLst>
            <a:ext uri="{FF2B5EF4-FFF2-40B4-BE49-F238E27FC236}">
              <a16:creationId xmlns:a16="http://schemas.microsoft.com/office/drawing/2014/main" id="{2C9C8951-0CF7-427E-87CB-EF25D1CFA4B5}"/>
            </a:ext>
          </a:extLst>
        </xdr:cNvPr>
        <xdr:cNvSpPr>
          <a:spLocks noChangeAspect="1" noChangeArrowheads="1"/>
        </xdr:cNvSpPr>
      </xdr:nvSpPr>
      <xdr:spPr bwMode="auto">
        <a:xfrm>
          <a:off x="8001000" y="46043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746</xdr:row>
      <xdr:rowOff>0</xdr:rowOff>
    </xdr:from>
    <xdr:to>
      <xdr:col>11</xdr:col>
      <xdr:colOff>304800</xdr:colOff>
      <xdr:row>747</xdr:row>
      <xdr:rowOff>114300</xdr:rowOff>
    </xdr:to>
    <xdr:sp macro="" textlink="">
      <xdr:nvSpPr>
        <xdr:cNvPr id="307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128EF6-96CD-489B-A441-73BFB69D3185}"/>
            </a:ext>
          </a:extLst>
        </xdr:cNvPr>
        <xdr:cNvSpPr>
          <a:spLocks noChangeAspect="1" noChangeArrowheads="1"/>
        </xdr:cNvSpPr>
      </xdr:nvSpPr>
      <xdr:spPr bwMode="auto">
        <a:xfrm>
          <a:off x="8001000" y="4623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748</xdr:row>
      <xdr:rowOff>0</xdr:rowOff>
    </xdr:from>
    <xdr:to>
      <xdr:col>11</xdr:col>
      <xdr:colOff>304800</xdr:colOff>
      <xdr:row>749</xdr:row>
      <xdr:rowOff>114300</xdr:rowOff>
    </xdr:to>
    <xdr:sp macro="" textlink="">
      <xdr:nvSpPr>
        <xdr:cNvPr id="3075" name="AutoShape 3">
          <a:extLst>
            <a:ext uri="{FF2B5EF4-FFF2-40B4-BE49-F238E27FC236}">
              <a16:creationId xmlns:a16="http://schemas.microsoft.com/office/drawing/2014/main" id="{8A6DBCEA-279F-4DDC-B538-99BE8BD06E6A}"/>
            </a:ext>
          </a:extLst>
        </xdr:cNvPr>
        <xdr:cNvSpPr>
          <a:spLocks noChangeAspect="1" noChangeArrowheads="1"/>
        </xdr:cNvSpPr>
      </xdr:nvSpPr>
      <xdr:spPr bwMode="auto">
        <a:xfrm>
          <a:off x="8001000" y="4661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750</xdr:row>
      <xdr:rowOff>0</xdr:rowOff>
    </xdr:from>
    <xdr:to>
      <xdr:col>11</xdr:col>
      <xdr:colOff>304800</xdr:colOff>
      <xdr:row>751</xdr:row>
      <xdr:rowOff>114300</xdr:rowOff>
    </xdr:to>
    <xdr:sp macro="" textlink="">
      <xdr:nvSpPr>
        <xdr:cNvPr id="3076" name="AutoShape 4">
          <a:extLst>
            <a:ext uri="{FF2B5EF4-FFF2-40B4-BE49-F238E27FC236}">
              <a16:creationId xmlns:a16="http://schemas.microsoft.com/office/drawing/2014/main" id="{807A65D6-164E-478E-B312-5894BA664B68}"/>
            </a:ext>
          </a:extLst>
        </xdr:cNvPr>
        <xdr:cNvSpPr>
          <a:spLocks noChangeAspect="1" noChangeArrowheads="1"/>
        </xdr:cNvSpPr>
      </xdr:nvSpPr>
      <xdr:spPr bwMode="auto">
        <a:xfrm>
          <a:off x="8001000" y="46996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751</xdr:row>
      <xdr:rowOff>0</xdr:rowOff>
    </xdr:from>
    <xdr:to>
      <xdr:col>11</xdr:col>
      <xdr:colOff>304800</xdr:colOff>
      <xdr:row>752</xdr:row>
      <xdr:rowOff>114300</xdr:rowOff>
    </xdr:to>
    <xdr:sp macro="" textlink="">
      <xdr:nvSpPr>
        <xdr:cNvPr id="3077" name="AutoShape 5">
          <a:extLst>
            <a:ext uri="{FF2B5EF4-FFF2-40B4-BE49-F238E27FC236}">
              <a16:creationId xmlns:a16="http://schemas.microsoft.com/office/drawing/2014/main" id="{C3C6A932-0638-4727-B5E4-88F69654A6BD}"/>
            </a:ext>
          </a:extLst>
        </xdr:cNvPr>
        <xdr:cNvSpPr>
          <a:spLocks noChangeAspect="1" noChangeArrowheads="1"/>
        </xdr:cNvSpPr>
      </xdr:nvSpPr>
      <xdr:spPr bwMode="auto">
        <a:xfrm>
          <a:off x="8001000" y="4718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752</xdr:row>
      <xdr:rowOff>0</xdr:rowOff>
    </xdr:from>
    <xdr:to>
      <xdr:col>11</xdr:col>
      <xdr:colOff>304800</xdr:colOff>
      <xdr:row>753</xdr:row>
      <xdr:rowOff>95249</xdr:rowOff>
    </xdr:to>
    <xdr:sp macro="" textlink="">
      <xdr:nvSpPr>
        <xdr:cNvPr id="3078" name="AutoShape 6" descr="logo">
          <a:extLst>
            <a:ext uri="{FF2B5EF4-FFF2-40B4-BE49-F238E27FC236}">
              <a16:creationId xmlns:a16="http://schemas.microsoft.com/office/drawing/2014/main" id="{CF55B9DF-6BCF-48BC-917A-DC2155EE3F04}"/>
            </a:ext>
          </a:extLst>
        </xdr:cNvPr>
        <xdr:cNvSpPr>
          <a:spLocks noChangeAspect="1" noChangeArrowheads="1"/>
        </xdr:cNvSpPr>
      </xdr:nvSpPr>
      <xdr:spPr bwMode="auto">
        <a:xfrm>
          <a:off x="8001000" y="4738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752</xdr:row>
      <xdr:rowOff>0</xdr:rowOff>
    </xdr:from>
    <xdr:to>
      <xdr:col>13</xdr:col>
      <xdr:colOff>295276</xdr:colOff>
      <xdr:row>753</xdr:row>
      <xdr:rowOff>95249</xdr:rowOff>
    </xdr:to>
    <xdr:sp macro="" textlink="">
      <xdr:nvSpPr>
        <xdr:cNvPr id="3079" name="AutoShap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77B5E3-D860-47C9-8350-9ABC85F8C2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4738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753</xdr:row>
      <xdr:rowOff>0</xdr:rowOff>
    </xdr:from>
    <xdr:to>
      <xdr:col>13</xdr:col>
      <xdr:colOff>295276</xdr:colOff>
      <xdr:row>753</xdr:row>
      <xdr:rowOff>304800</xdr:rowOff>
    </xdr:to>
    <xdr:sp macro="" textlink="">
      <xdr:nvSpPr>
        <xdr:cNvPr id="3080" name="AutoShape 8">
          <a:extLst>
            <a:ext uri="{FF2B5EF4-FFF2-40B4-BE49-F238E27FC236}">
              <a16:creationId xmlns:a16="http://schemas.microsoft.com/office/drawing/2014/main" id="{44CFDEA6-1EDF-4A46-B7EA-9656C857FB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4757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767</xdr:row>
      <xdr:rowOff>0</xdr:rowOff>
    </xdr:from>
    <xdr:to>
      <xdr:col>11</xdr:col>
      <xdr:colOff>304800</xdr:colOff>
      <xdr:row>768</xdr:row>
      <xdr:rowOff>114300</xdr:rowOff>
    </xdr:to>
    <xdr:sp macro="" textlink="">
      <xdr:nvSpPr>
        <xdr:cNvPr id="3081" name="AutoShape 9">
          <a:extLst>
            <a:ext uri="{FF2B5EF4-FFF2-40B4-BE49-F238E27FC236}">
              <a16:creationId xmlns:a16="http://schemas.microsoft.com/office/drawing/2014/main" id="{90EA8113-631A-4B48-97E5-C467E5148D9F}"/>
            </a:ext>
          </a:extLst>
        </xdr:cNvPr>
        <xdr:cNvSpPr>
          <a:spLocks noChangeAspect="1" noChangeArrowheads="1"/>
        </xdr:cNvSpPr>
      </xdr:nvSpPr>
      <xdr:spPr bwMode="auto">
        <a:xfrm>
          <a:off x="8001000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1"/>
  <dimension ref="A2:H85"/>
  <sheetViews>
    <sheetView topLeftCell="A34" workbookViewId="0">
      <selection activeCell="G60" sqref="G60"/>
    </sheetView>
  </sheetViews>
  <sheetFormatPr baseColWidth="10" defaultColWidth="11.5" defaultRowHeight="15"/>
  <cols>
    <col min="1" max="1" width="22.5" customWidth="1"/>
    <col min="3" max="3" width="18.6640625" customWidth="1"/>
  </cols>
  <sheetData>
    <row r="2" spans="1:8">
      <c r="A2" s="36" t="s">
        <v>52</v>
      </c>
      <c r="C2" s="2"/>
      <c r="D2" s="2">
        <v>2018</v>
      </c>
      <c r="E2" s="2">
        <v>2017</v>
      </c>
      <c r="F2" s="38" t="s">
        <v>55</v>
      </c>
      <c r="G2" s="38" t="s">
        <v>53</v>
      </c>
      <c r="H2" s="38" t="s">
        <v>54</v>
      </c>
    </row>
    <row r="3" spans="1:8">
      <c r="C3" s="4" t="s">
        <v>1</v>
      </c>
      <c r="D3" s="37">
        <v>1746273</v>
      </c>
      <c r="E3" s="37">
        <v>2045075</v>
      </c>
      <c r="F3" s="37">
        <v>2413390</v>
      </c>
      <c r="G3" s="37">
        <v>2035122</v>
      </c>
      <c r="H3" s="37">
        <v>2260584</v>
      </c>
    </row>
    <row r="4" spans="1:8">
      <c r="C4" s="2"/>
      <c r="D4" s="2"/>
      <c r="E4" s="2"/>
      <c r="F4" s="2"/>
      <c r="G4" s="2"/>
      <c r="H4" s="2"/>
    </row>
    <row r="5" spans="1:8" ht="28">
      <c r="C5" s="20" t="s">
        <v>11</v>
      </c>
      <c r="D5" s="39">
        <v>322226</v>
      </c>
      <c r="E5" s="39">
        <v>415309</v>
      </c>
      <c r="F5" s="39">
        <v>487435</v>
      </c>
      <c r="G5" s="39">
        <v>422449</v>
      </c>
      <c r="H5" s="39">
        <v>491312</v>
      </c>
    </row>
    <row r="6" spans="1:8">
      <c r="C6" s="14" t="s">
        <v>2</v>
      </c>
      <c r="D6" s="39">
        <v>1099360</v>
      </c>
      <c r="E6" s="39">
        <v>1346648</v>
      </c>
      <c r="F6" s="39">
        <v>1420695</v>
      </c>
      <c r="G6" s="39">
        <v>1139166</v>
      </c>
      <c r="H6" s="39">
        <v>1154742</v>
      </c>
    </row>
    <row r="7" spans="1:8">
      <c r="C7" s="14" t="s">
        <v>3</v>
      </c>
      <c r="D7" s="39">
        <v>180823</v>
      </c>
      <c r="E7" s="39">
        <v>224816</v>
      </c>
      <c r="F7" s="39">
        <v>344710</v>
      </c>
      <c r="G7" s="39">
        <v>230448</v>
      </c>
      <c r="H7" s="39">
        <v>282193</v>
      </c>
    </row>
    <row r="8" spans="1:8">
      <c r="C8" s="12" t="s">
        <v>8</v>
      </c>
      <c r="D8" s="13">
        <f t="shared" ref="D8:G8" si="0">SUM(D6:D7)</f>
        <v>1280183</v>
      </c>
      <c r="E8" s="13">
        <f t="shared" si="0"/>
        <v>1571464</v>
      </c>
      <c r="F8" s="13">
        <f t="shared" si="0"/>
        <v>1765405</v>
      </c>
      <c r="G8" s="13">
        <f t="shared" si="0"/>
        <v>1369614</v>
      </c>
      <c r="H8" s="13">
        <f>SUM(H6:H7)</f>
        <v>1436935</v>
      </c>
    </row>
    <row r="9" spans="1:8" ht="28">
      <c r="C9" s="18" t="s">
        <v>12</v>
      </c>
      <c r="D9" s="39">
        <v>-94051</v>
      </c>
      <c r="E9" s="39">
        <v>-204044</v>
      </c>
      <c r="F9" s="39">
        <v>-155905</v>
      </c>
      <c r="G9" s="39">
        <v>-144106</v>
      </c>
      <c r="H9" s="39">
        <v>117702</v>
      </c>
    </row>
    <row r="10" spans="1:8" ht="28">
      <c r="C10" s="14" t="s">
        <v>13</v>
      </c>
      <c r="D10" s="40">
        <v>3.4220000000000002</v>
      </c>
      <c r="E10" s="40">
        <v>-34.695999999999998</v>
      </c>
      <c r="F10" s="40">
        <v>-21.981000000000002</v>
      </c>
      <c r="G10" s="40">
        <v>-28.053000000000001</v>
      </c>
      <c r="H10" s="40">
        <v>7.06</v>
      </c>
    </row>
    <row r="11" spans="1:8" ht="28">
      <c r="C11" s="14" t="s">
        <v>14</v>
      </c>
      <c r="D11" s="40">
        <v>0.91300000000000003</v>
      </c>
      <c r="E11" s="40">
        <v>-8.0350000000000001</v>
      </c>
      <c r="F11" s="40">
        <v>-5.9020000000000001</v>
      </c>
      <c r="G11" s="40">
        <v>-9.1739999999999995</v>
      </c>
      <c r="H11" s="40">
        <v>2.5720000000000001</v>
      </c>
    </row>
    <row r="12" spans="1:8" ht="28">
      <c r="C12" s="14" t="s">
        <v>15</v>
      </c>
      <c r="D12" s="41">
        <v>241.36779000000001</v>
      </c>
      <c r="E12" s="41">
        <v>351.36125199999998</v>
      </c>
      <c r="F12" s="41">
        <v>460.71361100000001</v>
      </c>
      <c r="G12" s="41">
        <v>445.15173900000002</v>
      </c>
      <c r="H12" s="41">
        <v>457.88630000000001</v>
      </c>
    </row>
    <row r="13" spans="1:8">
      <c r="C13" s="7" t="s">
        <v>23</v>
      </c>
      <c r="D13" s="39">
        <v>466090</v>
      </c>
      <c r="E13" s="39">
        <v>473611</v>
      </c>
      <c r="F13" s="39">
        <v>647985</v>
      </c>
      <c r="G13" s="39">
        <v>665508</v>
      </c>
      <c r="H13" s="39">
        <v>823649</v>
      </c>
    </row>
    <row r="16" spans="1:8">
      <c r="A16" s="36" t="s">
        <v>56</v>
      </c>
    </row>
    <row r="18" spans="1:8">
      <c r="C18" s="2"/>
      <c r="D18" s="2">
        <v>2019</v>
      </c>
      <c r="E18" s="2">
        <v>2018</v>
      </c>
      <c r="F18" s="38" t="s">
        <v>59</v>
      </c>
      <c r="G18" s="38" t="s">
        <v>57</v>
      </c>
      <c r="H18" s="38" t="s">
        <v>58</v>
      </c>
    </row>
    <row r="19" spans="1:8">
      <c r="C19" s="4" t="s">
        <v>1</v>
      </c>
      <c r="D19" s="37">
        <v>24009794.713124599</v>
      </c>
      <c r="E19" s="37">
        <v>149846000.02919</v>
      </c>
      <c r="F19" s="37">
        <v>149781000.0494</v>
      </c>
      <c r="G19" s="37">
        <v>142540000.00494099</v>
      </c>
      <c r="H19" s="37">
        <v>214708000.04137</v>
      </c>
    </row>
    <row r="20" spans="1:8">
      <c r="C20" s="2"/>
      <c r="D20" s="2"/>
      <c r="E20" s="2"/>
      <c r="F20" s="2"/>
      <c r="G20" s="2"/>
      <c r="H20" s="2"/>
    </row>
    <row r="21" spans="1:8" ht="28">
      <c r="C21" s="20" t="s">
        <v>11</v>
      </c>
      <c r="D21" s="39">
        <v>9133598.9840403199</v>
      </c>
      <c r="E21" s="39">
        <v>22999.9999691546</v>
      </c>
      <c r="F21" s="39">
        <v>40000.000175833702</v>
      </c>
      <c r="G21" s="39">
        <v>86999.999507367596</v>
      </c>
      <c r="H21" s="39">
        <v>49999.998740851901</v>
      </c>
    </row>
    <row r="22" spans="1:8">
      <c r="C22" s="14" t="s">
        <v>2</v>
      </c>
      <c r="D22" s="39">
        <v>0</v>
      </c>
      <c r="E22" s="39">
        <v>0</v>
      </c>
      <c r="F22" s="39">
        <v>0</v>
      </c>
      <c r="G22" s="39">
        <v>19737000.004249699</v>
      </c>
      <c r="H22" s="39">
        <v>22127000.0103135</v>
      </c>
    </row>
    <row r="23" spans="1:8">
      <c r="C23" s="14" t="s">
        <v>3</v>
      </c>
      <c r="D23" s="39">
        <v>2324829.1305005602</v>
      </c>
      <c r="E23" s="39">
        <v>27053999.9637178</v>
      </c>
      <c r="F23" s="39">
        <v>25903999.992067199</v>
      </c>
      <c r="G23" s="39">
        <v>6493999.9632281102</v>
      </c>
      <c r="H23" s="39">
        <v>18243999.994591501</v>
      </c>
    </row>
    <row r="24" spans="1:8">
      <c r="C24" s="12" t="s">
        <v>8</v>
      </c>
      <c r="D24" s="13">
        <f t="shared" ref="D24:G24" si="1">SUM(D22:D23)</f>
        <v>2324829.1305005602</v>
      </c>
      <c r="E24" s="13">
        <f t="shared" si="1"/>
        <v>27053999.9637178</v>
      </c>
      <c r="F24" s="13">
        <f t="shared" si="1"/>
        <v>25903999.992067199</v>
      </c>
      <c r="G24" s="13">
        <f t="shared" si="1"/>
        <v>26230999.96747781</v>
      </c>
      <c r="H24" s="13">
        <f>SUM(H22:H23)</f>
        <v>40371000.004905</v>
      </c>
    </row>
    <row r="25" spans="1:8" ht="28">
      <c r="C25" s="18" t="s">
        <v>12</v>
      </c>
      <c r="D25" s="39">
        <v>7699544.3307906399</v>
      </c>
      <c r="E25" s="39">
        <v>-1086999.9985422201</v>
      </c>
      <c r="F25" s="39">
        <v>7568000.0332677402</v>
      </c>
      <c r="G25" s="39">
        <v>-53962000.0424712</v>
      </c>
      <c r="H25" s="39">
        <v>-1646999.95852366</v>
      </c>
    </row>
    <row r="26" spans="1:8" ht="28">
      <c r="C26" s="14" t="s">
        <v>13</v>
      </c>
      <c r="D26" s="40">
        <v>35.506</v>
      </c>
      <c r="E26" s="40">
        <v>-0.88500000000000001</v>
      </c>
      <c r="F26" s="40">
        <v>6.109</v>
      </c>
      <c r="G26" s="40">
        <v>-46.395000000000003</v>
      </c>
      <c r="H26" s="40">
        <v>-0.94499999999999995</v>
      </c>
    </row>
    <row r="27" spans="1:8" ht="28">
      <c r="C27" s="14" t="s">
        <v>14</v>
      </c>
      <c r="D27" s="40">
        <v>32.067999999999998</v>
      </c>
      <c r="E27" s="40">
        <v>-0.72499999999999998</v>
      </c>
      <c r="F27" s="40">
        <v>5.0529999999999999</v>
      </c>
      <c r="G27" s="40">
        <v>-37.856999999999999</v>
      </c>
      <c r="H27" s="40">
        <v>-0.76700000000000002</v>
      </c>
    </row>
    <row r="28" spans="1:8" ht="28">
      <c r="C28" s="14" t="s">
        <v>15</v>
      </c>
      <c r="D28" s="42" t="s">
        <v>22</v>
      </c>
      <c r="E28" s="41">
        <v>22.999999969154601</v>
      </c>
      <c r="F28" s="41">
        <v>3.33333338858704</v>
      </c>
      <c r="G28" s="41">
        <v>6.6923076187177299</v>
      </c>
      <c r="H28" s="41">
        <v>3.8461537056396198</v>
      </c>
    </row>
    <row r="29" spans="1:8">
      <c r="C29" s="7" t="s">
        <v>23</v>
      </c>
      <c r="D29" s="39">
        <v>21684965.5826241</v>
      </c>
      <c r="E29" s="39">
        <v>122790999.950399</v>
      </c>
      <c r="F29" s="39">
        <v>123878000.057337</v>
      </c>
      <c r="G29" s="39">
        <v>116309000.03746299</v>
      </c>
      <c r="H29" s="39">
        <v>174337000.03646499</v>
      </c>
    </row>
    <row r="31" spans="1:8">
      <c r="A31" s="36" t="s">
        <v>60</v>
      </c>
    </row>
    <row r="32" spans="1:8">
      <c r="C32" s="2"/>
      <c r="D32" s="2">
        <v>2020</v>
      </c>
      <c r="E32" s="2">
        <v>2019</v>
      </c>
      <c r="F32" s="38" t="s">
        <v>63</v>
      </c>
      <c r="G32" s="38" t="s">
        <v>61</v>
      </c>
      <c r="H32" s="38" t="s">
        <v>62</v>
      </c>
    </row>
    <row r="33" spans="1:8">
      <c r="C33" s="4" t="s">
        <v>1</v>
      </c>
      <c r="D33" s="37">
        <v>163226.49056532999</v>
      </c>
      <c r="E33" s="37">
        <v>165432.11655287401</v>
      </c>
      <c r="F33" s="37">
        <v>171142.232221574</v>
      </c>
      <c r="G33" s="37">
        <v>171020.58540464201</v>
      </c>
      <c r="H33" s="37">
        <v>168405.451482609</v>
      </c>
    </row>
    <row r="34" spans="1:8">
      <c r="C34" s="2"/>
      <c r="D34" s="2"/>
      <c r="E34" s="2"/>
      <c r="F34" s="2"/>
      <c r="G34" s="2"/>
      <c r="H34" s="2"/>
    </row>
    <row r="35" spans="1:8" ht="28">
      <c r="C35" s="20" t="s">
        <v>11</v>
      </c>
      <c r="D35" s="39">
        <v>0</v>
      </c>
      <c r="E35" s="39">
        <v>0</v>
      </c>
      <c r="F35" s="39">
        <v>0</v>
      </c>
      <c r="G35" s="39">
        <v>25.578562840819401</v>
      </c>
      <c r="H35" s="39">
        <v>0</v>
      </c>
    </row>
    <row r="36" spans="1:8">
      <c r="C36" s="14" t="s">
        <v>2</v>
      </c>
      <c r="D36" s="39">
        <v>11566.3537498266</v>
      </c>
      <c r="E36" s="39">
        <v>26816.172813042998</v>
      </c>
      <c r="F36" s="39">
        <v>32764.671992883101</v>
      </c>
      <c r="G36" s="39">
        <v>42204.628687351898</v>
      </c>
      <c r="H36" s="39">
        <v>40314.1529039741</v>
      </c>
    </row>
    <row r="37" spans="1:8">
      <c r="C37" s="14" t="s">
        <v>3</v>
      </c>
      <c r="D37" s="39">
        <v>6005.0408786386297</v>
      </c>
      <c r="E37" s="39">
        <v>6097.38034006208</v>
      </c>
      <c r="F37" s="39">
        <v>9097.6984918266498</v>
      </c>
      <c r="G37" s="39">
        <v>884.16565553098906</v>
      </c>
      <c r="H37" s="39">
        <v>389.79118108749401</v>
      </c>
    </row>
    <row r="38" spans="1:8">
      <c r="C38" s="12" t="s">
        <v>8</v>
      </c>
      <c r="D38" s="13">
        <f t="shared" ref="D38:G38" si="2">SUM(D36:D37)</f>
        <v>17571.39462846523</v>
      </c>
      <c r="E38" s="13">
        <f t="shared" si="2"/>
        <v>32913.55315310508</v>
      </c>
      <c r="F38" s="13">
        <f t="shared" si="2"/>
        <v>41862.370484709754</v>
      </c>
      <c r="G38" s="13">
        <f t="shared" si="2"/>
        <v>43088.794342882888</v>
      </c>
      <c r="H38" s="13">
        <f>SUM(H36:H37)</f>
        <v>40703.944085061594</v>
      </c>
    </row>
    <row r="39" spans="1:8" ht="28">
      <c r="C39" s="18" t="s">
        <v>12</v>
      </c>
      <c r="D39" s="39">
        <v>9252.6375133544207</v>
      </c>
      <c r="E39" s="39">
        <v>4563.8951640352598</v>
      </c>
      <c r="F39" s="39">
        <v>8414.4994133412802</v>
      </c>
      <c r="G39" s="39">
        <v>261.51035437732901</v>
      </c>
      <c r="H39" s="39">
        <v>2079.2343269735602</v>
      </c>
    </row>
    <row r="40" spans="1:8" ht="28">
      <c r="C40" s="14" t="s">
        <v>13</v>
      </c>
      <c r="D40" s="40">
        <v>6.3520000000000003</v>
      </c>
      <c r="E40" s="40">
        <v>3.444</v>
      </c>
      <c r="F40" s="40">
        <v>6.5090000000000003</v>
      </c>
      <c r="G40" s="40">
        <v>0.20399999999999999</v>
      </c>
      <c r="H40" s="40">
        <v>1.6279999999999999</v>
      </c>
    </row>
    <row r="41" spans="1:8" ht="28">
      <c r="C41" s="14" t="s">
        <v>14</v>
      </c>
      <c r="D41" s="40">
        <v>5.6689999999999996</v>
      </c>
      <c r="E41" s="40">
        <v>2.7589999999999999</v>
      </c>
      <c r="F41" s="40">
        <v>4.9169999999999998</v>
      </c>
      <c r="G41" s="40">
        <v>0.153</v>
      </c>
      <c r="H41" s="40">
        <v>1.2350000000000001</v>
      </c>
    </row>
    <row r="42" spans="1:8" ht="28">
      <c r="C42" s="14" t="s">
        <v>15</v>
      </c>
      <c r="D42" s="42" t="s">
        <v>22</v>
      </c>
      <c r="E42" s="42" t="s">
        <v>22</v>
      </c>
      <c r="F42" s="42" t="s">
        <v>4</v>
      </c>
      <c r="G42" s="42" t="s">
        <v>4</v>
      </c>
      <c r="H42" s="42" t="s">
        <v>4</v>
      </c>
    </row>
    <row r="43" spans="1:8">
      <c r="C43" s="7" t="s">
        <v>23</v>
      </c>
      <c r="D43" s="39">
        <v>145655.213170156</v>
      </c>
      <c r="E43" s="39">
        <v>132518.56339976899</v>
      </c>
      <c r="F43" s="39">
        <v>129279.861736864</v>
      </c>
      <c r="G43" s="39">
        <v>127931.791061759</v>
      </c>
      <c r="H43" s="39">
        <v>127701.507397547</v>
      </c>
    </row>
    <row r="45" spans="1:8">
      <c r="A45" s="36" t="s">
        <v>64</v>
      </c>
    </row>
    <row r="46" spans="1:8">
      <c r="C46" s="2"/>
      <c r="D46" s="2">
        <v>2020</v>
      </c>
      <c r="E46" s="2">
        <v>2019</v>
      </c>
      <c r="F46" s="38" t="s">
        <v>63</v>
      </c>
      <c r="G46" s="38" t="s">
        <v>61</v>
      </c>
      <c r="H46" s="38" t="s">
        <v>62</v>
      </c>
    </row>
    <row r="47" spans="1:8">
      <c r="C47" s="4" t="s">
        <v>1</v>
      </c>
      <c r="D47" s="37">
        <v>3961000</v>
      </c>
      <c r="E47" s="37">
        <v>9279000</v>
      </c>
      <c r="F47" s="37">
        <v>10848000</v>
      </c>
      <c r="G47" s="37">
        <v>17982000</v>
      </c>
      <c r="H47" s="37">
        <v>21666000</v>
      </c>
    </row>
    <row r="48" spans="1:8">
      <c r="C48" s="2"/>
      <c r="D48" s="2"/>
      <c r="E48" s="2"/>
      <c r="F48" s="2"/>
      <c r="G48" s="2"/>
      <c r="H48" s="2"/>
    </row>
    <row r="49" spans="1:8" ht="28">
      <c r="C49" s="20" t="s">
        <v>11</v>
      </c>
      <c r="D49" s="39">
        <v>1059000</v>
      </c>
      <c r="E49" s="39">
        <v>1417000</v>
      </c>
      <c r="F49" s="39">
        <v>562000</v>
      </c>
      <c r="G49" s="39">
        <v>2115000</v>
      </c>
      <c r="H49" s="39">
        <v>3237000</v>
      </c>
    </row>
    <row r="50" spans="1:8">
      <c r="C50" s="14" t="s">
        <v>2</v>
      </c>
      <c r="D50" s="39">
        <v>556000</v>
      </c>
      <c r="E50" s="39">
        <v>6716000</v>
      </c>
      <c r="F50" s="39">
        <v>7349000</v>
      </c>
      <c r="G50" s="39">
        <v>10164000</v>
      </c>
      <c r="H50" s="39">
        <v>6880000</v>
      </c>
    </row>
    <row r="51" spans="1:8">
      <c r="C51" s="14" t="s">
        <v>3</v>
      </c>
      <c r="D51" s="39">
        <v>6545000</v>
      </c>
      <c r="E51" s="39">
        <v>770000</v>
      </c>
      <c r="F51" s="39">
        <v>464000</v>
      </c>
      <c r="G51" s="39">
        <v>859000</v>
      </c>
      <c r="H51" s="39">
        <v>4723000</v>
      </c>
    </row>
    <row r="52" spans="1:8">
      <c r="C52" s="12" t="s">
        <v>8</v>
      </c>
      <c r="D52" s="13">
        <f t="shared" ref="D52:G52" si="3">SUM(D50:D51)</f>
        <v>7101000</v>
      </c>
      <c r="E52" s="13">
        <f t="shared" si="3"/>
        <v>7486000</v>
      </c>
      <c r="F52" s="13">
        <f t="shared" si="3"/>
        <v>7813000</v>
      </c>
      <c r="G52" s="13">
        <f t="shared" si="3"/>
        <v>11023000</v>
      </c>
      <c r="H52" s="13">
        <f>SUM(H50:H51)</f>
        <v>11603000</v>
      </c>
    </row>
    <row r="53" spans="1:8" ht="28">
      <c r="C53" s="18" t="s">
        <v>12</v>
      </c>
      <c r="D53" s="39">
        <v>-4663000</v>
      </c>
      <c r="E53" s="39">
        <v>-1222000</v>
      </c>
      <c r="F53" s="39">
        <v>-605000</v>
      </c>
      <c r="G53" s="39">
        <v>-3102000</v>
      </c>
      <c r="H53" s="39">
        <v>-155000</v>
      </c>
    </row>
    <row r="54" spans="1:8" ht="28">
      <c r="C54" s="14" t="s">
        <v>13</v>
      </c>
      <c r="D54" s="42" t="s">
        <v>4</v>
      </c>
      <c r="E54" s="40">
        <v>-67.986999999999995</v>
      </c>
      <c r="F54" s="40">
        <v>-19.835000000000001</v>
      </c>
      <c r="G54" s="40">
        <v>-42.722000000000001</v>
      </c>
      <c r="H54" s="40">
        <v>-1.7989999999999999</v>
      </c>
    </row>
    <row r="55" spans="1:8" ht="28">
      <c r="C55" s="14" t="s">
        <v>14</v>
      </c>
      <c r="D55" s="42" t="s">
        <v>4</v>
      </c>
      <c r="E55" s="40">
        <v>-13.137</v>
      </c>
      <c r="F55" s="40">
        <v>-11.099</v>
      </c>
      <c r="G55" s="40">
        <v>-16.533000000000001</v>
      </c>
      <c r="H55" s="40">
        <v>-0.83499999999999996</v>
      </c>
    </row>
    <row r="56" spans="1:8" ht="28">
      <c r="C56" s="14" t="s">
        <v>15</v>
      </c>
      <c r="D56" s="41">
        <v>333.54330700000003</v>
      </c>
      <c r="E56" s="41">
        <v>312.252093</v>
      </c>
      <c r="F56" s="41">
        <v>229.95089999999999</v>
      </c>
      <c r="G56" s="41">
        <v>488.67837300000002</v>
      </c>
      <c r="H56" s="41">
        <v>677.19665299999997</v>
      </c>
    </row>
    <row r="57" spans="1:8">
      <c r="C57" s="7" t="s">
        <v>23</v>
      </c>
      <c r="D57" s="39">
        <v>-3140000</v>
      </c>
      <c r="E57" s="39">
        <v>1793000</v>
      </c>
      <c r="F57" s="39">
        <v>3035000</v>
      </c>
      <c r="G57" s="39">
        <v>6959000</v>
      </c>
      <c r="H57" s="39">
        <v>10063000</v>
      </c>
    </row>
    <row r="59" spans="1:8">
      <c r="A59" s="36" t="s">
        <v>65</v>
      </c>
    </row>
    <row r="60" spans="1:8">
      <c r="A60" s="43" t="s">
        <v>66</v>
      </c>
      <c r="C60" s="2"/>
      <c r="D60" s="2">
        <v>2020</v>
      </c>
      <c r="E60" s="2">
        <v>2019</v>
      </c>
      <c r="F60" s="38" t="s">
        <v>63</v>
      </c>
      <c r="G60" s="38" t="s">
        <v>61</v>
      </c>
      <c r="H60" s="38" t="s">
        <v>62</v>
      </c>
    </row>
    <row r="61" spans="1:8">
      <c r="A61" s="43" t="s">
        <v>67</v>
      </c>
      <c r="C61" s="4" t="s">
        <v>1</v>
      </c>
      <c r="D61" s="37">
        <v>3961000</v>
      </c>
      <c r="E61" s="37">
        <v>9279000</v>
      </c>
      <c r="F61" s="37">
        <v>10848000</v>
      </c>
      <c r="G61" s="37">
        <v>17982000</v>
      </c>
      <c r="H61" s="37">
        <v>21666000</v>
      </c>
    </row>
    <row r="62" spans="1:8">
      <c r="C62" s="2"/>
      <c r="D62" s="2"/>
      <c r="E62" s="2"/>
      <c r="F62" s="2"/>
      <c r="G62" s="2"/>
      <c r="H62" s="2"/>
    </row>
    <row r="63" spans="1:8" ht="28">
      <c r="C63" s="20" t="s">
        <v>11</v>
      </c>
      <c r="D63" s="39">
        <v>1059000</v>
      </c>
      <c r="E63" s="39">
        <v>1417000</v>
      </c>
      <c r="F63" s="39">
        <v>562000</v>
      </c>
      <c r="G63" s="39">
        <v>2115000</v>
      </c>
      <c r="H63" s="39">
        <v>3237000</v>
      </c>
    </row>
    <row r="64" spans="1:8">
      <c r="C64" s="14" t="s">
        <v>2</v>
      </c>
      <c r="D64" s="39">
        <v>556000</v>
      </c>
      <c r="E64" s="39">
        <v>6716000</v>
      </c>
      <c r="F64" s="39">
        <v>7349000</v>
      </c>
      <c r="G64" s="39">
        <v>10164000</v>
      </c>
      <c r="H64" s="39">
        <v>6880000</v>
      </c>
    </row>
    <row r="65" spans="1:8">
      <c r="C65" s="14" t="s">
        <v>3</v>
      </c>
      <c r="D65" s="39">
        <v>6545000</v>
      </c>
      <c r="E65" s="39">
        <v>770000</v>
      </c>
      <c r="F65" s="39">
        <v>464000</v>
      </c>
      <c r="G65" s="39">
        <v>859000</v>
      </c>
      <c r="H65" s="39">
        <v>4723000</v>
      </c>
    </row>
    <row r="66" spans="1:8">
      <c r="C66" s="12" t="s">
        <v>8</v>
      </c>
      <c r="D66" s="13">
        <f t="shared" ref="D66:G66" si="4">SUM(D64:D65)</f>
        <v>7101000</v>
      </c>
      <c r="E66" s="13">
        <f t="shared" si="4"/>
        <v>7486000</v>
      </c>
      <c r="F66" s="13">
        <f t="shared" si="4"/>
        <v>7813000</v>
      </c>
      <c r="G66" s="13">
        <f t="shared" si="4"/>
        <v>11023000</v>
      </c>
      <c r="H66" s="13">
        <f>SUM(H64:H65)</f>
        <v>11603000</v>
      </c>
    </row>
    <row r="67" spans="1:8" ht="28">
      <c r="C67" s="18" t="s">
        <v>12</v>
      </c>
      <c r="D67" s="39">
        <v>-4663000</v>
      </c>
      <c r="E67" s="39">
        <v>-1222000</v>
      </c>
      <c r="F67" s="39">
        <v>-605000</v>
      </c>
      <c r="G67" s="39">
        <v>-3102000</v>
      </c>
      <c r="H67" s="39">
        <v>-155000</v>
      </c>
    </row>
    <row r="68" spans="1:8" ht="28">
      <c r="C68" s="14" t="s">
        <v>13</v>
      </c>
      <c r="D68" s="42" t="s">
        <v>4</v>
      </c>
      <c r="E68" s="40">
        <v>-67.986999999999995</v>
      </c>
      <c r="F68" s="40">
        <v>-19.835000000000001</v>
      </c>
      <c r="G68" s="40">
        <v>-42.722000000000001</v>
      </c>
      <c r="H68" s="40">
        <v>-1.7989999999999999</v>
      </c>
    </row>
    <row r="69" spans="1:8" ht="28">
      <c r="C69" s="14" t="s">
        <v>14</v>
      </c>
      <c r="D69" s="42" t="s">
        <v>4</v>
      </c>
      <c r="E69" s="40">
        <v>-13.137</v>
      </c>
      <c r="F69" s="40">
        <v>-11.099</v>
      </c>
      <c r="G69" s="40">
        <v>-16.533000000000001</v>
      </c>
      <c r="H69" s="40">
        <v>-0.83499999999999996</v>
      </c>
    </row>
    <row r="70" spans="1:8" ht="28">
      <c r="C70" s="14" t="s">
        <v>15</v>
      </c>
      <c r="D70" s="41">
        <v>333.54330700000003</v>
      </c>
      <c r="E70" s="41">
        <v>312.252093</v>
      </c>
      <c r="F70" s="41">
        <v>229.95089999999999</v>
      </c>
      <c r="G70" s="41">
        <v>488.67837300000002</v>
      </c>
      <c r="H70" s="41">
        <v>677.19665299999997</v>
      </c>
    </row>
    <row r="71" spans="1:8">
      <c r="C71" s="7" t="s">
        <v>23</v>
      </c>
      <c r="D71" s="39">
        <v>-3140000</v>
      </c>
      <c r="E71" s="39">
        <v>1793000</v>
      </c>
      <c r="F71" s="39">
        <v>3035000</v>
      </c>
      <c r="G71" s="39">
        <v>6959000</v>
      </c>
      <c r="H71" s="39">
        <v>10063000</v>
      </c>
    </row>
    <row r="73" spans="1:8">
      <c r="A73" s="36" t="s">
        <v>68</v>
      </c>
    </row>
    <row r="74" spans="1:8">
      <c r="C74" s="2"/>
      <c r="D74" s="38" t="s">
        <v>71</v>
      </c>
      <c r="E74" s="38" t="s">
        <v>69</v>
      </c>
      <c r="F74" s="38" t="s">
        <v>70</v>
      </c>
      <c r="G74" s="38"/>
      <c r="H74" s="38"/>
    </row>
    <row r="75" spans="1:8">
      <c r="C75" s="4" t="s">
        <v>1</v>
      </c>
      <c r="D75" s="37">
        <v>271148.99660785502</v>
      </c>
      <c r="E75" s="37">
        <v>237221.40957883</v>
      </c>
      <c r="F75" s="37">
        <v>188396.66257818</v>
      </c>
      <c r="G75" s="37"/>
      <c r="H75" s="37"/>
    </row>
    <row r="76" spans="1:8">
      <c r="C76" s="2"/>
      <c r="D76" s="2"/>
      <c r="E76" s="2"/>
      <c r="F76" s="2"/>
      <c r="G76" s="2"/>
      <c r="H76" s="2"/>
    </row>
    <row r="77" spans="1:8" ht="28">
      <c r="C77" s="20" t="s">
        <v>11</v>
      </c>
      <c r="D77" s="39">
        <v>232907.02806295501</v>
      </c>
      <c r="E77" s="39">
        <v>212584.052230537</v>
      </c>
      <c r="F77" s="39">
        <v>171235.09758393501</v>
      </c>
      <c r="G77" s="39"/>
      <c r="H77" s="39"/>
    </row>
    <row r="78" spans="1:8">
      <c r="C78" s="14" t="s">
        <v>2</v>
      </c>
      <c r="D78" s="39">
        <v>51820.1628061831</v>
      </c>
      <c r="E78" s="39">
        <v>55499.657677553601</v>
      </c>
      <c r="F78" s="39">
        <v>65119.102329239198</v>
      </c>
      <c r="G78" s="39"/>
      <c r="H78" s="39"/>
    </row>
    <row r="79" spans="1:8">
      <c r="C79" s="14" t="s">
        <v>3</v>
      </c>
      <c r="D79" s="39">
        <v>69180.185810491399</v>
      </c>
      <c r="E79" s="39">
        <v>61349.202029570901</v>
      </c>
      <c r="F79" s="39">
        <v>60778.941230341799</v>
      </c>
      <c r="G79" s="39"/>
      <c r="H79" s="39"/>
    </row>
    <row r="80" spans="1:8">
      <c r="C80" s="12" t="s">
        <v>8</v>
      </c>
      <c r="D80" s="13">
        <f t="shared" ref="D80:F80" si="5">SUM(D78:D79)</f>
        <v>121000.3486166745</v>
      </c>
      <c r="E80" s="13">
        <f t="shared" si="5"/>
        <v>116848.8597071245</v>
      </c>
      <c r="F80" s="13">
        <f t="shared" si="5"/>
        <v>125898.043559581</v>
      </c>
      <c r="G80" s="13"/>
      <c r="H80" s="13"/>
    </row>
    <row r="81" spans="3:8" ht="28">
      <c r="C81" s="18" t="s">
        <v>12</v>
      </c>
      <c r="D81" s="39">
        <v>22942.203401342002</v>
      </c>
      <c r="E81" s="39">
        <v>17708.769728474301</v>
      </c>
      <c r="F81" s="39">
        <v>6141.7721436619804</v>
      </c>
      <c r="G81" s="39"/>
      <c r="H81" s="39"/>
    </row>
    <row r="82" spans="3:8" ht="28">
      <c r="C82" s="14" t="s">
        <v>13</v>
      </c>
      <c r="D82" s="44">
        <v>15.28</v>
      </c>
      <c r="E82" s="45">
        <v>14.71</v>
      </c>
      <c r="F82" s="45">
        <v>9.83</v>
      </c>
      <c r="G82" s="40"/>
      <c r="H82" s="40"/>
    </row>
    <row r="83" spans="3:8" ht="28">
      <c r="C83" s="14" t="s">
        <v>14</v>
      </c>
      <c r="D83" s="40">
        <v>8.4610000000000003</v>
      </c>
      <c r="E83" s="40">
        <v>7.4649999999999999</v>
      </c>
      <c r="F83" s="40">
        <v>3.26</v>
      </c>
      <c r="G83" s="40"/>
      <c r="H83" s="40"/>
    </row>
    <row r="84" spans="3:8" ht="28">
      <c r="C84" s="14" t="s">
        <v>15</v>
      </c>
      <c r="D84" s="46">
        <v>21173</v>
      </c>
      <c r="E84" s="47" t="s">
        <v>22</v>
      </c>
      <c r="F84" s="48">
        <v>24462</v>
      </c>
      <c r="G84" s="41"/>
      <c r="H84" s="41"/>
    </row>
    <row r="85" spans="3:8">
      <c r="C85" s="7" t="s">
        <v>23</v>
      </c>
      <c r="D85" s="39">
        <v>150148.64799118001</v>
      </c>
      <c r="E85" s="39">
        <v>120372.54987170501</v>
      </c>
      <c r="F85" s="39">
        <v>62498.619018599398</v>
      </c>
      <c r="G85" s="39"/>
      <c r="H85" s="3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14C5-B0C6-BA4F-8003-F01C5B63C333}">
  <dimension ref="A1:CO144"/>
  <sheetViews>
    <sheetView tabSelected="1" workbookViewId="0">
      <selection activeCell="CP18" sqref="CP18"/>
    </sheetView>
  </sheetViews>
  <sheetFormatPr baseColWidth="10" defaultRowHeight="15"/>
  <sheetData>
    <row r="1" spans="1:93">
      <c r="A1" s="959" t="s">
        <v>1089</v>
      </c>
      <c r="B1" s="959" t="s">
        <v>1090</v>
      </c>
      <c r="C1" s="959" t="s">
        <v>618</v>
      </c>
      <c r="D1" s="959" t="s">
        <v>622</v>
      </c>
      <c r="E1" s="959" t="s">
        <v>612</v>
      </c>
      <c r="F1" s="959" t="s">
        <v>613</v>
      </c>
      <c r="G1" s="959" t="s">
        <v>614</v>
      </c>
      <c r="H1" s="959" t="s">
        <v>615</v>
      </c>
      <c r="I1" s="959" t="s">
        <v>616</v>
      </c>
      <c r="J1" s="959" t="s">
        <v>617</v>
      </c>
      <c r="K1" s="959" t="s">
        <v>620</v>
      </c>
      <c r="L1" s="959" t="s">
        <v>621</v>
      </c>
      <c r="M1" s="959" t="s">
        <v>619</v>
      </c>
      <c r="N1" s="959" t="s">
        <v>575</v>
      </c>
      <c r="O1" s="959" t="s">
        <v>576</v>
      </c>
      <c r="P1" s="959" t="s">
        <v>626</v>
      </c>
      <c r="Q1" s="959" t="s">
        <v>627</v>
      </c>
      <c r="R1" s="959" t="s">
        <v>628</v>
      </c>
      <c r="S1" s="959" t="s">
        <v>629</v>
      </c>
      <c r="T1" s="959" t="s">
        <v>630</v>
      </c>
      <c r="U1" s="959" t="s">
        <v>631</v>
      </c>
      <c r="V1" s="959" t="s">
        <v>632</v>
      </c>
      <c r="W1" s="959" t="s">
        <v>633</v>
      </c>
      <c r="X1" s="959" t="s">
        <v>623</v>
      </c>
      <c r="Y1" s="959" t="s">
        <v>640</v>
      </c>
      <c r="Z1" s="959" t="s">
        <v>634</v>
      </c>
      <c r="AA1" s="959" t="s">
        <v>635</v>
      </c>
      <c r="AB1" s="959" t="s">
        <v>637</v>
      </c>
      <c r="AC1" s="959" t="s">
        <v>636</v>
      </c>
      <c r="AD1" s="959" t="s">
        <v>625</v>
      </c>
      <c r="AE1" s="959" t="s">
        <v>638</v>
      </c>
      <c r="AF1" s="959" t="s">
        <v>1087</v>
      </c>
      <c r="AG1" s="959">
        <v>2003</v>
      </c>
      <c r="AH1" s="959">
        <v>2004</v>
      </c>
      <c r="AI1" s="959">
        <v>2005</v>
      </c>
      <c r="AJ1" s="959">
        <v>2006</v>
      </c>
      <c r="AK1" s="959">
        <v>2007</v>
      </c>
      <c r="AL1" s="959">
        <v>2008</v>
      </c>
      <c r="AM1" s="959">
        <v>2009</v>
      </c>
      <c r="AN1" s="959">
        <v>2010</v>
      </c>
      <c r="AO1" s="959">
        <v>2011</v>
      </c>
      <c r="AP1" s="959">
        <v>2012</v>
      </c>
      <c r="AQ1" s="959">
        <v>2013</v>
      </c>
      <c r="AR1" s="959">
        <v>2014</v>
      </c>
      <c r="AS1" s="959">
        <v>2015</v>
      </c>
      <c r="AT1" s="959">
        <v>2016</v>
      </c>
      <c r="AU1" s="959">
        <v>2017</v>
      </c>
      <c r="AV1" s="959">
        <v>2018</v>
      </c>
      <c r="AW1" s="959" t="s">
        <v>117</v>
      </c>
      <c r="AX1" s="959" t="s">
        <v>118</v>
      </c>
      <c r="AY1" s="959" t="s">
        <v>119</v>
      </c>
      <c r="AZ1" s="959" t="s">
        <v>120</v>
      </c>
      <c r="BA1" s="959" t="s">
        <v>121</v>
      </c>
      <c r="BB1" s="959" t="s">
        <v>122</v>
      </c>
      <c r="BC1" s="959" t="s">
        <v>123</v>
      </c>
      <c r="BD1" s="959" t="s">
        <v>124</v>
      </c>
      <c r="BE1" s="959" t="s">
        <v>125</v>
      </c>
      <c r="BF1" s="959" t="s">
        <v>126</v>
      </c>
      <c r="BG1" s="959" t="s">
        <v>127</v>
      </c>
      <c r="BH1" s="959" t="s">
        <v>128</v>
      </c>
      <c r="BI1" s="959" t="s">
        <v>129</v>
      </c>
      <c r="BJ1" s="959" t="s">
        <v>130</v>
      </c>
      <c r="BK1" s="959" t="s">
        <v>131</v>
      </c>
      <c r="BL1" s="959" t="s">
        <v>132</v>
      </c>
      <c r="BM1" s="959" t="s">
        <v>133</v>
      </c>
      <c r="BN1" s="959" t="s">
        <v>134</v>
      </c>
      <c r="BO1" s="959" t="s">
        <v>135</v>
      </c>
      <c r="BP1" s="959" t="s">
        <v>136</v>
      </c>
      <c r="BQ1" s="959" t="s">
        <v>1093</v>
      </c>
      <c r="BR1" s="959" t="s">
        <v>1092</v>
      </c>
      <c r="BS1" s="959" t="s">
        <v>1091</v>
      </c>
      <c r="BT1" s="959" t="s">
        <v>112</v>
      </c>
      <c r="BU1" s="959" t="s">
        <v>107</v>
      </c>
      <c r="BV1" s="959" t="s">
        <v>106</v>
      </c>
      <c r="BW1" s="959" t="s">
        <v>104</v>
      </c>
      <c r="BX1" s="959" t="s">
        <v>103</v>
      </c>
      <c r="BY1" s="959" t="s">
        <v>102</v>
      </c>
      <c r="BZ1" s="959" t="s">
        <v>89</v>
      </c>
      <c r="CA1" s="959" t="s">
        <v>88</v>
      </c>
      <c r="CB1" s="959" t="s">
        <v>87</v>
      </c>
      <c r="CC1" s="959" t="s">
        <v>86</v>
      </c>
      <c r="CD1" s="959" t="s">
        <v>85</v>
      </c>
      <c r="CE1" s="959" t="s">
        <v>566</v>
      </c>
      <c r="CF1" s="959" t="s">
        <v>567</v>
      </c>
      <c r="CG1" s="959" t="s">
        <v>568</v>
      </c>
      <c r="CH1" s="959" t="s">
        <v>1037</v>
      </c>
      <c r="CI1" s="959" t="s">
        <v>1038</v>
      </c>
      <c r="CJ1" s="959" t="s">
        <v>1039</v>
      </c>
      <c r="CK1" s="959" t="s">
        <v>1040</v>
      </c>
      <c r="CL1" s="959" t="s">
        <v>1041</v>
      </c>
      <c r="CM1" s="959" t="s">
        <v>1042</v>
      </c>
      <c r="CN1" s="959" t="s">
        <v>611</v>
      </c>
      <c r="CO1" s="959" t="s">
        <v>1088</v>
      </c>
    </row>
    <row r="2" spans="1:93">
      <c r="A2" s="960">
        <v>1</v>
      </c>
      <c r="B2" s="960" t="s">
        <v>612</v>
      </c>
      <c r="C2" s="960">
        <v>0</v>
      </c>
      <c r="D2" s="960">
        <v>0</v>
      </c>
      <c r="E2" s="960">
        <v>1</v>
      </c>
      <c r="F2" s="960">
        <v>0</v>
      </c>
      <c r="G2" s="960">
        <v>0</v>
      </c>
      <c r="H2" s="960">
        <v>0</v>
      </c>
      <c r="I2" s="960">
        <v>0</v>
      </c>
      <c r="J2" s="960">
        <v>0</v>
      </c>
      <c r="K2" s="960">
        <v>0</v>
      </c>
      <c r="L2" s="960">
        <v>0</v>
      </c>
      <c r="M2" s="960">
        <v>0</v>
      </c>
      <c r="N2" s="960" t="s">
        <v>576</v>
      </c>
      <c r="O2" s="960">
        <v>1</v>
      </c>
      <c r="P2" s="960">
        <v>0</v>
      </c>
      <c r="Q2" s="960">
        <v>0</v>
      </c>
      <c r="R2" s="960">
        <v>0</v>
      </c>
      <c r="S2" s="960">
        <v>0</v>
      </c>
      <c r="T2" s="960">
        <v>0</v>
      </c>
      <c r="U2" s="960">
        <v>0</v>
      </c>
      <c r="V2" s="960">
        <v>0</v>
      </c>
      <c r="W2" s="960">
        <v>0</v>
      </c>
      <c r="X2" s="960">
        <v>0</v>
      </c>
      <c r="Y2" s="960">
        <v>0</v>
      </c>
      <c r="Z2" s="960">
        <v>0</v>
      </c>
      <c r="AA2" s="960">
        <v>0</v>
      </c>
      <c r="AB2" s="960">
        <v>0</v>
      </c>
      <c r="AC2" s="960">
        <v>0</v>
      </c>
      <c r="AD2" s="960">
        <v>0</v>
      </c>
      <c r="AE2" s="960">
        <v>0</v>
      </c>
      <c r="AF2" s="960">
        <v>2015</v>
      </c>
      <c r="AG2" s="960">
        <v>0</v>
      </c>
      <c r="AH2" s="960">
        <v>0</v>
      </c>
      <c r="AI2" s="960">
        <v>0</v>
      </c>
      <c r="AJ2" s="960">
        <v>0</v>
      </c>
      <c r="AK2" s="960">
        <v>0</v>
      </c>
      <c r="AL2" s="960">
        <v>0</v>
      </c>
      <c r="AM2" s="960">
        <v>0</v>
      </c>
      <c r="AN2" s="960">
        <v>0</v>
      </c>
      <c r="AO2" s="960">
        <v>0</v>
      </c>
      <c r="AP2" s="960">
        <v>0</v>
      </c>
      <c r="AQ2" s="960">
        <v>0</v>
      </c>
      <c r="AR2" s="960">
        <v>0</v>
      </c>
      <c r="AS2" s="960">
        <v>1</v>
      </c>
      <c r="AT2" s="960">
        <v>0</v>
      </c>
      <c r="AU2" s="960">
        <v>0</v>
      </c>
      <c r="AV2" s="960">
        <v>0</v>
      </c>
      <c r="AW2" s="960">
        <v>10.064925898413659</v>
      </c>
      <c r="AX2" s="960">
        <v>9.7366652591890972</v>
      </c>
      <c r="AY2" s="960">
        <v>9.6537433194247395</v>
      </c>
      <c r="AZ2" s="960">
        <v>9.9363902722118365</v>
      </c>
      <c r="BA2" s="960">
        <v>11.28924426915111</v>
      </c>
      <c r="BB2" s="960">
        <v>-0.30513955071477195</v>
      </c>
      <c r="BC2" s="960">
        <v>-0.33609026998286762</v>
      </c>
      <c r="BD2" s="960">
        <v>-0.30449293966623875</v>
      </c>
      <c r="BE2" s="960">
        <v>0.26716338477913781</v>
      </c>
      <c r="BF2" s="960">
        <v>1.8047200370198982E-2</v>
      </c>
      <c r="BG2" s="960">
        <v>1.3533982567798992</v>
      </c>
      <c r="BH2" s="960">
        <v>1.1491460079795579</v>
      </c>
      <c r="BI2" s="960">
        <v>1.0195439079714841</v>
      </c>
      <c r="BJ2" s="960">
        <v>0.93768345371194883</v>
      </c>
      <c r="BK2" s="960">
        <v>1.1390873941235764</v>
      </c>
      <c r="BL2" s="960">
        <v>0.60077192444342198</v>
      </c>
      <c r="BM2" s="960">
        <v>0.37941005065674455</v>
      </c>
      <c r="BN2" s="960">
        <v>0.31553791315618923</v>
      </c>
      <c r="BO2" s="960">
        <v>0.34083638402427363</v>
      </c>
      <c r="BP2" s="960">
        <v>1.2029216627299943</v>
      </c>
      <c r="BQ2" s="960">
        <v>-0.11778843503001955</v>
      </c>
      <c r="BR2" s="960">
        <v>5.0721465460954951</v>
      </c>
      <c r="BS2" s="960">
        <v>-1.6355009497263711</v>
      </c>
      <c r="BT2" s="960">
        <v>-0.11954348615209232</v>
      </c>
      <c r="BU2" s="960">
        <v>-13826</v>
      </c>
      <c r="BV2" s="960">
        <v>-6654</v>
      </c>
      <c r="BW2" s="960">
        <v>-965</v>
      </c>
      <c r="BX2" s="960">
        <v>3779</v>
      </c>
      <c r="BY2" s="960">
        <v>-9245</v>
      </c>
      <c r="BZ2" s="960">
        <v>42791</v>
      </c>
      <c r="CA2" s="960">
        <v>42995</v>
      </c>
      <c r="CB2" s="960">
        <v>41491</v>
      </c>
      <c r="CC2" s="960">
        <v>44854</v>
      </c>
      <c r="CD2" s="960">
        <v>6224</v>
      </c>
      <c r="CE2" s="960">
        <v>0.23184447300771208</v>
      </c>
      <c r="CF2" s="960">
        <v>0.1231105364070094</v>
      </c>
      <c r="CG2" s="960">
        <v>-0.11433804921549251</v>
      </c>
      <c r="CH2" s="960">
        <v>0.28580048487724974</v>
      </c>
      <c r="CI2" s="960">
        <v>0.20649771497826219</v>
      </c>
      <c r="CJ2" s="960">
        <v>-0.21265172828007753</v>
      </c>
      <c r="CK2" s="960">
        <v>-0.15608436992969171</v>
      </c>
      <c r="CL2" s="960">
        <v>1.461233130457793</v>
      </c>
      <c r="CM2" s="960">
        <v>4.916062176165803</v>
      </c>
      <c r="CN2" s="960" t="s">
        <v>612</v>
      </c>
      <c r="CO2" s="960">
        <v>2311.5</v>
      </c>
    </row>
    <row r="3" spans="1:93">
      <c r="A3" s="960">
        <v>1</v>
      </c>
      <c r="B3" s="960" t="s">
        <v>613</v>
      </c>
      <c r="C3" s="960">
        <v>0</v>
      </c>
      <c r="D3" s="960">
        <v>0</v>
      </c>
      <c r="E3" s="960">
        <v>0</v>
      </c>
      <c r="F3" s="960">
        <v>1</v>
      </c>
      <c r="G3" s="960">
        <v>0</v>
      </c>
      <c r="H3" s="960">
        <v>0</v>
      </c>
      <c r="I3" s="960">
        <v>0</v>
      </c>
      <c r="J3" s="960">
        <v>0</v>
      </c>
      <c r="K3" s="960">
        <v>0</v>
      </c>
      <c r="L3" s="960">
        <v>0</v>
      </c>
      <c r="M3" s="960">
        <v>0</v>
      </c>
      <c r="N3" s="960" t="s">
        <v>626</v>
      </c>
      <c r="O3" s="960">
        <v>0</v>
      </c>
      <c r="P3" s="960">
        <v>1</v>
      </c>
      <c r="Q3" s="960">
        <v>0</v>
      </c>
      <c r="R3" s="960">
        <v>0</v>
      </c>
      <c r="S3" s="960">
        <v>0</v>
      </c>
      <c r="T3" s="960">
        <v>0</v>
      </c>
      <c r="U3" s="960">
        <v>0</v>
      </c>
      <c r="V3" s="960">
        <v>0</v>
      </c>
      <c r="W3" s="960">
        <v>0</v>
      </c>
      <c r="X3" s="960">
        <v>0</v>
      </c>
      <c r="Y3" s="960">
        <v>0</v>
      </c>
      <c r="Z3" s="960">
        <v>0</v>
      </c>
      <c r="AA3" s="960">
        <v>0</v>
      </c>
      <c r="AB3" s="960">
        <v>0</v>
      </c>
      <c r="AC3" s="960">
        <v>0</v>
      </c>
      <c r="AD3" s="960">
        <v>0</v>
      </c>
      <c r="AE3" s="960">
        <v>0</v>
      </c>
      <c r="AF3" s="960">
        <v>2014</v>
      </c>
      <c r="AG3" s="960">
        <v>0</v>
      </c>
      <c r="AH3" s="960">
        <v>0</v>
      </c>
      <c r="AI3" s="960">
        <v>0</v>
      </c>
      <c r="AJ3" s="960">
        <v>0</v>
      </c>
      <c r="AK3" s="960">
        <v>0</v>
      </c>
      <c r="AL3" s="960">
        <v>0</v>
      </c>
      <c r="AM3" s="960">
        <v>0</v>
      </c>
      <c r="AN3" s="960">
        <v>0</v>
      </c>
      <c r="AO3" s="960">
        <v>0</v>
      </c>
      <c r="AP3" s="960">
        <v>0</v>
      </c>
      <c r="AQ3" s="960">
        <v>0</v>
      </c>
      <c r="AR3" s="960">
        <v>1</v>
      </c>
      <c r="AS3" s="960">
        <v>0</v>
      </c>
      <c r="AT3" s="960">
        <v>0</v>
      </c>
      <c r="AU3" s="960">
        <v>0</v>
      </c>
      <c r="AV3" s="960">
        <v>0</v>
      </c>
      <c r="AW3" s="960">
        <v>12.464517973935184</v>
      </c>
      <c r="AX3" s="960">
        <v>12.470022296944883</v>
      </c>
      <c r="AY3" s="960">
        <v>12.534652189576713</v>
      </c>
      <c r="AZ3" s="960">
        <v>12.47265467665655</v>
      </c>
      <c r="BA3" s="960">
        <v>12.656670958260683</v>
      </c>
      <c r="BB3" s="960">
        <v>0.11940405906922552</v>
      </c>
      <c r="BC3" s="960">
        <v>3.6440486182017055E-3</v>
      </c>
      <c r="BD3" s="960">
        <v>9.3036425898920624E-2</v>
      </c>
      <c r="BE3" s="960">
        <v>8.0925686803627772E-2</v>
      </c>
      <c r="BF3" s="960">
        <v>3.2099209258524455E-2</v>
      </c>
      <c r="BG3" s="960">
        <v>0.57425481252415456</v>
      </c>
      <c r="BH3" s="960">
        <v>0.67308239688807103</v>
      </c>
      <c r="BI3" s="960">
        <v>0.77226484186284527</v>
      </c>
      <c r="BJ3" s="960">
        <v>0.33557482428806817</v>
      </c>
      <c r="BK3" s="960">
        <v>0.29380286431574559</v>
      </c>
      <c r="BL3" s="960">
        <v>0.83256898257912659</v>
      </c>
      <c r="BM3" s="960">
        <v>0.8770756374920009</v>
      </c>
      <c r="BN3" s="960">
        <v>0.99972197823146658</v>
      </c>
      <c r="BO3" s="960">
        <v>0.87130855403691143</v>
      </c>
      <c r="BP3" s="960">
        <v>0.93310310205878966</v>
      </c>
      <c r="BQ3" s="960">
        <v>6.3058688014490799E-2</v>
      </c>
      <c r="BR3" s="960">
        <v>0.36599928802713944</v>
      </c>
      <c r="BS3" s="960">
        <v>-0.12201876868397027</v>
      </c>
      <c r="BT3" s="960">
        <v>0.47846197754709968</v>
      </c>
      <c r="BU3" s="960">
        <v>132434.836148545</v>
      </c>
      <c r="BV3" s="960">
        <v>97065.3126754314</v>
      </c>
      <c r="BW3" s="960">
        <v>63282.631777524897</v>
      </c>
      <c r="BX3" s="960">
        <v>199103.50843535399</v>
      </c>
      <c r="BY3" s="960">
        <v>237529.76747158199</v>
      </c>
      <c r="BZ3" s="960">
        <v>8047.86848848313</v>
      </c>
      <c r="CA3" s="960">
        <v>7355.5684038251602</v>
      </c>
      <c r="CB3" s="960">
        <v>0</v>
      </c>
      <c r="CC3" s="960">
        <v>7.9407809823751396</v>
      </c>
      <c r="CD3" s="960">
        <v>59.374999433755903</v>
      </c>
      <c r="CE3" s="960">
        <v>169.67313019390497</v>
      </c>
      <c r="CF3" s="960">
        <v>2660.8983050847464</v>
      </c>
      <c r="CG3" s="960" t="e">
        <v>#DIV/0!</v>
      </c>
      <c r="CH3" s="960">
        <v>49.880454729622144</v>
      </c>
      <c r="CI3" s="960">
        <v>893.00138874504432</v>
      </c>
      <c r="CJ3" s="960" t="e">
        <v>#DIV/0!</v>
      </c>
      <c r="CK3" s="960">
        <v>4.2412966241765854E-2</v>
      </c>
      <c r="CL3" s="960">
        <v>0.10612374851200412</v>
      </c>
      <c r="CM3" s="960">
        <v>0.40841225426890526</v>
      </c>
      <c r="CN3" s="960" t="s">
        <v>613</v>
      </c>
      <c r="CO3" s="960">
        <v>2215.4</v>
      </c>
    </row>
    <row r="4" spans="1:93">
      <c r="A4" s="960">
        <v>1</v>
      </c>
      <c r="B4" s="960" t="s">
        <v>614</v>
      </c>
      <c r="C4" s="960">
        <v>0</v>
      </c>
      <c r="D4" s="960">
        <v>0</v>
      </c>
      <c r="E4" s="960">
        <v>0</v>
      </c>
      <c r="F4" s="960">
        <v>0</v>
      </c>
      <c r="G4" s="960">
        <v>1</v>
      </c>
      <c r="H4" s="960">
        <v>0</v>
      </c>
      <c r="I4" s="960">
        <v>0</v>
      </c>
      <c r="J4" s="960">
        <v>0</v>
      </c>
      <c r="K4" s="960">
        <v>0</v>
      </c>
      <c r="L4" s="960">
        <v>0</v>
      </c>
      <c r="M4" s="960">
        <v>0</v>
      </c>
      <c r="N4" s="960" t="s">
        <v>627</v>
      </c>
      <c r="O4" s="960">
        <v>0</v>
      </c>
      <c r="P4" s="960">
        <v>0</v>
      </c>
      <c r="Q4" s="960">
        <v>1</v>
      </c>
      <c r="R4" s="960">
        <v>0</v>
      </c>
      <c r="S4" s="960">
        <v>0</v>
      </c>
      <c r="T4" s="960">
        <v>0</v>
      </c>
      <c r="U4" s="960">
        <v>0</v>
      </c>
      <c r="V4" s="960">
        <v>0</v>
      </c>
      <c r="W4" s="960">
        <v>0</v>
      </c>
      <c r="X4" s="960">
        <v>0</v>
      </c>
      <c r="Y4" s="960">
        <v>0</v>
      </c>
      <c r="Z4" s="960">
        <v>0</v>
      </c>
      <c r="AA4" s="960">
        <v>0</v>
      </c>
      <c r="AB4" s="960">
        <v>0</v>
      </c>
      <c r="AC4" s="960">
        <v>0</v>
      </c>
      <c r="AD4" s="960">
        <v>0</v>
      </c>
      <c r="AE4" s="960">
        <v>0</v>
      </c>
      <c r="AF4" s="960">
        <v>2014</v>
      </c>
      <c r="AG4" s="960">
        <v>0</v>
      </c>
      <c r="AH4" s="960">
        <v>0</v>
      </c>
      <c r="AI4" s="960">
        <v>0</v>
      </c>
      <c r="AJ4" s="960">
        <v>0</v>
      </c>
      <c r="AK4" s="960">
        <v>0</v>
      </c>
      <c r="AL4" s="960">
        <v>0</v>
      </c>
      <c r="AM4" s="960">
        <v>0</v>
      </c>
      <c r="AN4" s="960">
        <v>0</v>
      </c>
      <c r="AO4" s="960">
        <v>0</v>
      </c>
      <c r="AP4" s="960">
        <v>0</v>
      </c>
      <c r="AQ4" s="960">
        <v>0</v>
      </c>
      <c r="AR4" s="960">
        <v>1</v>
      </c>
      <c r="AS4" s="960">
        <v>0</v>
      </c>
      <c r="AT4" s="960">
        <v>0</v>
      </c>
      <c r="AU4" s="960">
        <v>0</v>
      </c>
      <c r="AV4" s="960">
        <v>0</v>
      </c>
      <c r="AW4" s="960">
        <v>11.785677827687724</v>
      </c>
      <c r="AX4" s="960">
        <v>11.37466430434074</v>
      </c>
      <c r="AY4" s="960">
        <v>11.390625692454474</v>
      </c>
      <c r="AZ4" s="960">
        <v>11.083042903584237</v>
      </c>
      <c r="BA4" s="960">
        <v>10.016346193045091</v>
      </c>
      <c r="BB4" s="960">
        <v>-0.14275183249957119</v>
      </c>
      <c r="BC4" s="960">
        <v>-0.29619910189412119</v>
      </c>
      <c r="BD4" s="960">
        <v>-0.64525989568768916</v>
      </c>
      <c r="BE4" s="960">
        <v>-1.444573166316705</v>
      </c>
      <c r="BF4" s="960">
        <v>-4.5246459214856429</v>
      </c>
      <c r="BG4" s="960">
        <v>5.3165303385835437E-2</v>
      </c>
      <c r="BH4" s="960">
        <v>4.3251357904275756E-2</v>
      </c>
      <c r="BI4" s="960">
        <v>0.73697376435880435</v>
      </c>
      <c r="BJ4" s="960">
        <v>0.64489144353500361</v>
      </c>
      <c r="BK4" s="960">
        <v>0.72604293115341689</v>
      </c>
      <c r="BL4" s="960">
        <v>0.28568367045814008</v>
      </c>
      <c r="BM4" s="960">
        <v>0.1922788868745226</v>
      </c>
      <c r="BN4" s="960">
        <v>0.18702811556186141</v>
      </c>
      <c r="BO4" s="960">
        <v>0.10705381160159158</v>
      </c>
      <c r="BP4" s="960">
        <v>3.3275628330239518E-2</v>
      </c>
      <c r="BQ4" s="960">
        <v>2.9878693671178569E-2</v>
      </c>
      <c r="BR4" s="960">
        <v>9.0756581016726234E-2</v>
      </c>
      <c r="BS4" s="960">
        <v>1.3742794994093828</v>
      </c>
      <c r="BT4" s="960">
        <v>1.0930833205387458E-2</v>
      </c>
      <c r="BU4" s="960">
        <v>435355.05672495801</v>
      </c>
      <c r="BV4" s="960">
        <v>433331.43606136699</v>
      </c>
      <c r="BW4" s="960">
        <v>124445.172802538</v>
      </c>
      <c r="BX4" s="960">
        <v>215805.931810468</v>
      </c>
      <c r="BY4" s="960">
        <v>184331.74166312799</v>
      </c>
      <c r="BZ4" s="960">
        <v>392.93544630706299</v>
      </c>
      <c r="CA4" s="960">
        <v>339.79118137061602</v>
      </c>
      <c r="CB4" s="960">
        <v>331215.54216979403</v>
      </c>
      <c r="CC4" s="960">
        <v>337466.23347291397</v>
      </c>
      <c r="CD4" s="960">
        <v>469905.75209757697</v>
      </c>
      <c r="CE4" s="960">
        <v>-0.21558459195520321</v>
      </c>
      <c r="CF4" s="960">
        <v>-0.2784925583498909</v>
      </c>
      <c r="CG4" s="960">
        <v>-0.17238911874500762</v>
      </c>
      <c r="CH4" s="960">
        <v>-0.30708410506395967</v>
      </c>
      <c r="CI4" s="960">
        <v>-0.33424453155960038</v>
      </c>
      <c r="CJ4" s="960">
        <v>-0.24772800011411714</v>
      </c>
      <c r="CK4" s="960">
        <v>-0.54957675172676457</v>
      </c>
      <c r="CL4" s="960">
        <v>-0.43549236078975412</v>
      </c>
      <c r="CM4" s="960">
        <v>-0.45882017071003833</v>
      </c>
      <c r="CN4" s="960" t="s">
        <v>614</v>
      </c>
      <c r="CO4" s="960">
        <v>2219.8000000000002</v>
      </c>
    </row>
    <row r="5" spans="1:93">
      <c r="A5" s="960">
        <v>1</v>
      </c>
      <c r="B5" s="960" t="s">
        <v>615</v>
      </c>
      <c r="C5" s="960">
        <v>0</v>
      </c>
      <c r="D5" s="960">
        <v>0</v>
      </c>
      <c r="E5" s="960">
        <v>0</v>
      </c>
      <c r="F5" s="960">
        <v>0</v>
      </c>
      <c r="G5" s="960">
        <v>0</v>
      </c>
      <c r="H5" s="960">
        <v>1</v>
      </c>
      <c r="I5" s="960">
        <v>0</v>
      </c>
      <c r="J5" s="960">
        <v>0</v>
      </c>
      <c r="K5" s="960">
        <v>0</v>
      </c>
      <c r="L5" s="960">
        <v>0</v>
      </c>
      <c r="M5" s="960">
        <v>0</v>
      </c>
      <c r="N5" s="960" t="s">
        <v>628</v>
      </c>
      <c r="O5" s="960">
        <v>0</v>
      </c>
      <c r="P5" s="960">
        <v>0</v>
      </c>
      <c r="Q5" s="960">
        <v>0</v>
      </c>
      <c r="R5" s="960">
        <v>1</v>
      </c>
      <c r="S5" s="960">
        <v>0</v>
      </c>
      <c r="T5" s="960">
        <v>0</v>
      </c>
      <c r="U5" s="960">
        <v>0</v>
      </c>
      <c r="V5" s="960">
        <v>0</v>
      </c>
      <c r="W5" s="960">
        <v>0</v>
      </c>
      <c r="X5" s="960">
        <v>0</v>
      </c>
      <c r="Y5" s="960">
        <v>0</v>
      </c>
      <c r="Z5" s="960">
        <v>0</v>
      </c>
      <c r="AA5" s="960">
        <v>0</v>
      </c>
      <c r="AB5" s="960">
        <v>0</v>
      </c>
      <c r="AC5" s="960">
        <v>0</v>
      </c>
      <c r="AD5" s="960">
        <v>0</v>
      </c>
      <c r="AE5" s="960">
        <v>0</v>
      </c>
      <c r="AF5" s="960">
        <v>2014</v>
      </c>
      <c r="AG5" s="960">
        <v>0</v>
      </c>
      <c r="AH5" s="960">
        <v>0</v>
      </c>
      <c r="AI5" s="960">
        <v>0</v>
      </c>
      <c r="AJ5" s="960">
        <v>0</v>
      </c>
      <c r="AK5" s="960">
        <v>0</v>
      </c>
      <c r="AL5" s="960">
        <v>0</v>
      </c>
      <c r="AM5" s="960">
        <v>0</v>
      </c>
      <c r="AN5" s="960">
        <v>0</v>
      </c>
      <c r="AO5" s="960">
        <v>0</v>
      </c>
      <c r="AP5" s="960">
        <v>0</v>
      </c>
      <c r="AQ5" s="960">
        <v>0</v>
      </c>
      <c r="AR5" s="960">
        <v>1</v>
      </c>
      <c r="AS5" s="960">
        <v>0</v>
      </c>
      <c r="AT5" s="960">
        <v>0</v>
      </c>
      <c r="AU5" s="960">
        <v>0</v>
      </c>
      <c r="AV5" s="960">
        <v>0</v>
      </c>
      <c r="AW5" s="960">
        <v>11.514750842553171</v>
      </c>
      <c r="AX5" s="960">
        <v>11.557064452301486</v>
      </c>
      <c r="AY5" s="960">
        <v>11.48682150257526</v>
      </c>
      <c r="AZ5" s="960">
        <v>11.506985968417496</v>
      </c>
      <c r="BA5" s="960">
        <v>11.748881314316968</v>
      </c>
      <c r="BB5" s="960">
        <v>1.7106382978723405</v>
      </c>
      <c r="BC5" s="960">
        <v>1.0849150849150888</v>
      </c>
      <c r="BD5" s="960">
        <v>0.77944774554351604</v>
      </c>
      <c r="BE5" s="960">
        <v>0.1756024911995665</v>
      </c>
      <c r="BF5" s="960">
        <v>-0.37360353338529334</v>
      </c>
      <c r="BG5" s="960">
        <v>0.50855792812110756</v>
      </c>
      <c r="BH5" s="960">
        <v>0.54721865579993312</v>
      </c>
      <c r="BI5" s="960">
        <v>0.65080535493034208</v>
      </c>
      <c r="BJ5" s="960">
        <v>0.67061621702395147</v>
      </c>
      <c r="BK5" s="960">
        <v>0.66388196590569104</v>
      </c>
      <c r="BL5" s="960">
        <v>5.2804920327165869E-2</v>
      </c>
      <c r="BM5" s="960">
        <v>6.2862844702467155E-2</v>
      </c>
      <c r="BN5" s="960">
        <v>5.187513221117511E-2</v>
      </c>
      <c r="BO5" s="960">
        <v>4.5987460229501391E-2</v>
      </c>
      <c r="BP5" s="960">
        <v>5.1161399661050884E-2</v>
      </c>
      <c r="BQ5" s="960">
        <v>5.9548034538078026E-2</v>
      </c>
      <c r="BR5" s="960">
        <v>0.17265918931639579</v>
      </c>
      <c r="BS5" s="960">
        <v>-0.26205981174170728</v>
      </c>
      <c r="BT5" s="960">
        <v>-1.3076610975348957E-2</v>
      </c>
      <c r="BU5" s="960">
        <v>932375.15635192394</v>
      </c>
      <c r="BV5" s="960">
        <v>752772.61754721403</v>
      </c>
      <c r="BW5" s="960">
        <v>655800.21049976302</v>
      </c>
      <c r="BX5" s="960">
        <v>712005.41615188099</v>
      </c>
      <c r="BY5" s="960">
        <v>831809.20259356499</v>
      </c>
      <c r="BZ5" s="960">
        <v>945481.124740839</v>
      </c>
      <c r="CA5" s="960">
        <v>884466.35230034601</v>
      </c>
      <c r="CB5" s="960">
        <v>634982.95790255105</v>
      </c>
      <c r="CC5" s="960">
        <v>1415047.1710592499</v>
      </c>
      <c r="CD5" s="960">
        <v>1592088.8006061299</v>
      </c>
      <c r="CE5" s="960">
        <v>-2.9711050733995204E-2</v>
      </c>
      <c r="CF5" s="960">
        <v>1.2336167703399327E-2</v>
      </c>
      <c r="CG5" s="960">
        <v>0.11958814486432365</v>
      </c>
      <c r="CH5" s="960">
        <v>-3.8838710456714283E-2</v>
      </c>
      <c r="CI5" s="960">
        <v>1.6348346698068162E-2</v>
      </c>
      <c r="CJ5" s="960">
        <v>0.1182625599156599</v>
      </c>
      <c r="CK5" s="960">
        <v>-5.6867164946415125E-2</v>
      </c>
      <c r="CL5" s="960">
        <v>2.4517031492193073E-2</v>
      </c>
      <c r="CM5" s="960">
        <v>0.11579202436998065</v>
      </c>
      <c r="CN5" s="960" t="s">
        <v>615</v>
      </c>
      <c r="CO5" s="960">
        <v>2224.2000000000003</v>
      </c>
    </row>
    <row r="6" spans="1:93">
      <c r="A6" s="960">
        <v>1</v>
      </c>
      <c r="B6" s="960" t="s">
        <v>616</v>
      </c>
      <c r="C6" s="960">
        <v>0</v>
      </c>
      <c r="D6" s="960">
        <v>0</v>
      </c>
      <c r="E6" s="960">
        <v>0</v>
      </c>
      <c r="F6" s="960">
        <v>0</v>
      </c>
      <c r="G6" s="960">
        <v>0</v>
      </c>
      <c r="H6" s="960">
        <v>0</v>
      </c>
      <c r="I6" s="960">
        <v>1</v>
      </c>
      <c r="J6" s="960">
        <v>0</v>
      </c>
      <c r="K6" s="960">
        <v>0</v>
      </c>
      <c r="L6" s="960">
        <v>0</v>
      </c>
      <c r="M6" s="960">
        <v>0</v>
      </c>
      <c r="N6" s="960" t="s">
        <v>629</v>
      </c>
      <c r="O6" s="960">
        <v>0</v>
      </c>
      <c r="P6" s="960">
        <v>0</v>
      </c>
      <c r="Q6" s="960">
        <v>0</v>
      </c>
      <c r="R6" s="960">
        <v>0</v>
      </c>
      <c r="S6" s="960">
        <v>1</v>
      </c>
      <c r="T6" s="960">
        <v>0</v>
      </c>
      <c r="U6" s="960">
        <v>0</v>
      </c>
      <c r="V6" s="960">
        <v>0</v>
      </c>
      <c r="W6" s="960">
        <v>0</v>
      </c>
      <c r="X6" s="960">
        <v>0</v>
      </c>
      <c r="Y6" s="960">
        <v>0</v>
      </c>
      <c r="Z6" s="960">
        <v>0</v>
      </c>
      <c r="AA6" s="960">
        <v>0</v>
      </c>
      <c r="AB6" s="960">
        <v>0</v>
      </c>
      <c r="AC6" s="960">
        <v>0</v>
      </c>
      <c r="AD6" s="960">
        <v>0</v>
      </c>
      <c r="AE6" s="960">
        <v>0</v>
      </c>
      <c r="AF6" s="960">
        <v>2014</v>
      </c>
      <c r="AG6" s="960">
        <v>0</v>
      </c>
      <c r="AH6" s="960">
        <v>0</v>
      </c>
      <c r="AI6" s="960">
        <v>0</v>
      </c>
      <c r="AJ6" s="960">
        <v>0</v>
      </c>
      <c r="AK6" s="960">
        <v>0</v>
      </c>
      <c r="AL6" s="960">
        <v>0</v>
      </c>
      <c r="AM6" s="960">
        <v>0</v>
      </c>
      <c r="AN6" s="960">
        <v>0</v>
      </c>
      <c r="AO6" s="960">
        <v>0</v>
      </c>
      <c r="AP6" s="960">
        <v>0</v>
      </c>
      <c r="AQ6" s="960">
        <v>0</v>
      </c>
      <c r="AR6" s="960">
        <v>1</v>
      </c>
      <c r="AS6" s="960">
        <v>0</v>
      </c>
      <c r="AT6" s="960">
        <v>0</v>
      </c>
      <c r="AU6" s="960">
        <v>0</v>
      </c>
      <c r="AV6" s="960">
        <v>0</v>
      </c>
      <c r="AW6" s="960">
        <v>10.341145083410417</v>
      </c>
      <c r="AX6" s="960">
        <v>10.113341322881796</v>
      </c>
      <c r="AY6" s="960">
        <v>10.299983283752344</v>
      </c>
      <c r="AZ6" s="960">
        <v>10.428319652244943</v>
      </c>
      <c r="BA6" s="960">
        <v>10.501496815099657</v>
      </c>
      <c r="BB6" s="960">
        <v>0.14682455436825259</v>
      </c>
      <c r="BC6" s="960">
        <v>3.5273094919000318E-2</v>
      </c>
      <c r="BD6" s="960">
        <v>2.8853936015881508E-2</v>
      </c>
      <c r="BE6" s="960">
        <v>1.7474916387959841E-2</v>
      </c>
      <c r="BF6" s="960">
        <v>8.1328093556249814E-2</v>
      </c>
      <c r="BG6" s="960">
        <v>0.54494183430811749</v>
      </c>
      <c r="BH6" s="960">
        <v>0.9313953625722019</v>
      </c>
      <c r="BI6" s="960">
        <v>0.89727892059866254</v>
      </c>
      <c r="BJ6" s="960">
        <v>0.88789576286204908</v>
      </c>
      <c r="BK6" s="960">
        <v>0.88376482796872924</v>
      </c>
      <c r="BL6" s="960">
        <v>2.0434957259463999</v>
      </c>
      <c r="BM6" s="960">
        <v>1.2559503419600946</v>
      </c>
      <c r="BN6" s="960">
        <v>1.7392863308588211</v>
      </c>
      <c r="BO6" s="960">
        <v>1.9352601690540214</v>
      </c>
      <c r="BP6" s="960">
        <v>1.9782165286003184</v>
      </c>
      <c r="BQ6" s="960">
        <v>-0.1106993224086287</v>
      </c>
      <c r="BR6" s="960">
        <v>-0.89553983271607696</v>
      </c>
      <c r="BS6" s="960">
        <v>-0.20151353134731323</v>
      </c>
      <c r="BT6" s="960">
        <v>1.3514092629933305E-2</v>
      </c>
      <c r="BU6" s="960">
        <v>6899.1474115699502</v>
      </c>
      <c r="BV6" s="960">
        <v>1347.56379747391</v>
      </c>
      <c r="BW6" s="960">
        <v>1755.8455857485501</v>
      </c>
      <c r="BX6" s="960">
        <v>1958.14275445044</v>
      </c>
      <c r="BY6" s="960">
        <v>2137.0065585672901</v>
      </c>
      <c r="BZ6" s="960">
        <v>2187.3325309306401</v>
      </c>
      <c r="CA6" s="960">
        <v>0</v>
      </c>
      <c r="CB6" s="960">
        <v>0</v>
      </c>
      <c r="CC6" s="960">
        <v>0</v>
      </c>
      <c r="CD6" s="960">
        <v>0</v>
      </c>
      <c r="CE6" s="960" t="e">
        <v>#DIV/0!</v>
      </c>
      <c r="CF6" s="960" t="e">
        <v>#DIV/0!</v>
      </c>
      <c r="CG6" s="960" t="e">
        <v>#DIV/0!</v>
      </c>
      <c r="CH6" s="960" t="e">
        <v>#DIV/0!</v>
      </c>
      <c r="CI6" s="960" t="e">
        <v>#DIV/0!</v>
      </c>
      <c r="CJ6" s="960" t="e">
        <v>#DIV/0!</v>
      </c>
      <c r="CK6" s="960">
        <v>1.3841299161086698</v>
      </c>
      <c r="CL6" s="960">
        <v>0.30167021788439063</v>
      </c>
      <c r="CM6" s="960">
        <v>0.4885900833925928</v>
      </c>
      <c r="CN6" s="960" t="s">
        <v>616</v>
      </c>
      <c r="CO6" s="960">
        <v>2228.6000000000004</v>
      </c>
    </row>
    <row r="7" spans="1:93">
      <c r="A7" s="960">
        <v>1</v>
      </c>
      <c r="B7" s="960" t="s">
        <v>617</v>
      </c>
      <c r="C7" s="960">
        <v>0</v>
      </c>
      <c r="D7" s="960">
        <v>0</v>
      </c>
      <c r="E7" s="960">
        <v>0</v>
      </c>
      <c r="F7" s="960">
        <v>0</v>
      </c>
      <c r="G7" s="960">
        <v>0</v>
      </c>
      <c r="H7" s="960">
        <v>0</v>
      </c>
      <c r="I7" s="960">
        <v>0</v>
      </c>
      <c r="J7" s="960">
        <v>1</v>
      </c>
      <c r="K7" s="960">
        <v>0</v>
      </c>
      <c r="L7" s="960">
        <v>0</v>
      </c>
      <c r="M7" s="960">
        <v>0</v>
      </c>
      <c r="N7" s="960" t="s">
        <v>630</v>
      </c>
      <c r="O7" s="960">
        <v>0</v>
      </c>
      <c r="P7" s="960">
        <v>0</v>
      </c>
      <c r="Q7" s="960">
        <v>0</v>
      </c>
      <c r="R7" s="960">
        <v>0</v>
      </c>
      <c r="S7" s="960">
        <v>0</v>
      </c>
      <c r="T7" s="960">
        <v>1</v>
      </c>
      <c r="U7" s="960">
        <v>0</v>
      </c>
      <c r="V7" s="960">
        <v>0</v>
      </c>
      <c r="W7" s="960">
        <v>0</v>
      </c>
      <c r="X7" s="960">
        <v>0</v>
      </c>
      <c r="Y7" s="960">
        <v>0</v>
      </c>
      <c r="Z7" s="960">
        <v>0</v>
      </c>
      <c r="AA7" s="960">
        <v>0</v>
      </c>
      <c r="AB7" s="960">
        <v>0</v>
      </c>
      <c r="AC7" s="960">
        <v>0</v>
      </c>
      <c r="AD7" s="960">
        <v>0</v>
      </c>
      <c r="AE7" s="960">
        <v>0</v>
      </c>
      <c r="AF7" s="960">
        <v>2014</v>
      </c>
      <c r="AG7" s="960">
        <v>0</v>
      </c>
      <c r="AH7" s="960">
        <v>0</v>
      </c>
      <c r="AI7" s="960">
        <v>0</v>
      </c>
      <c r="AJ7" s="960">
        <v>0</v>
      </c>
      <c r="AK7" s="960">
        <v>0</v>
      </c>
      <c r="AL7" s="960">
        <v>0</v>
      </c>
      <c r="AM7" s="960">
        <v>0</v>
      </c>
      <c r="AN7" s="960">
        <v>0</v>
      </c>
      <c r="AO7" s="960">
        <v>0</v>
      </c>
      <c r="AP7" s="960">
        <v>0</v>
      </c>
      <c r="AQ7" s="960">
        <v>0</v>
      </c>
      <c r="AR7" s="960">
        <v>1</v>
      </c>
      <c r="AS7" s="960">
        <v>0</v>
      </c>
      <c r="AT7" s="960">
        <v>0</v>
      </c>
      <c r="AU7" s="960">
        <v>0</v>
      </c>
      <c r="AV7" s="960">
        <v>0</v>
      </c>
      <c r="AW7" s="960">
        <v>13.047432913250624</v>
      </c>
      <c r="AX7" s="960">
        <v>12.459970400813351</v>
      </c>
      <c r="AY7" s="960">
        <v>12.156031198833182</v>
      </c>
      <c r="AZ7" s="960">
        <v>11.479523788336198</v>
      </c>
      <c r="BA7" s="960">
        <v>10.533322126884308</v>
      </c>
      <c r="BB7" s="960">
        <v>-5.0613920121404428E-3</v>
      </c>
      <c r="BC7" s="960">
        <v>-0.49537252529013842</v>
      </c>
      <c r="BD7" s="960">
        <v>-1.1608564009293623</v>
      </c>
      <c r="BE7" s="960">
        <v>0.16538282582846509</v>
      </c>
      <c r="BF7" s="960">
        <v>-0.10395248495179246</v>
      </c>
      <c r="BG7" s="960">
        <v>0.47943595564967678</v>
      </c>
      <c r="BH7" s="960">
        <v>0.47547978657050682</v>
      </c>
      <c r="BI7" s="960">
        <v>0.46818444489222077</v>
      </c>
      <c r="BJ7" s="960">
        <v>0.29971886532461156</v>
      </c>
      <c r="BK7" s="960">
        <v>0.24988410620263604</v>
      </c>
      <c r="BL7" s="960">
        <v>0.1616357578836386</v>
      </c>
      <c r="BM7" s="960">
        <v>0.10916560348539966</v>
      </c>
      <c r="BN7" s="960">
        <v>8.7318530092024157E-2</v>
      </c>
      <c r="BO7" s="960">
        <v>7.6591380648431184E-2</v>
      </c>
      <c r="BP7" s="960">
        <v>9.1607337175314371E-2</v>
      </c>
      <c r="BQ7" s="960">
        <v>-9.1841464237878728E-2</v>
      </c>
      <c r="BR7" s="960">
        <v>-0.17790531331668968</v>
      </c>
      <c r="BS7" s="960">
        <v>1.6227090719488741</v>
      </c>
      <c r="BT7" s="960">
        <v>0.21830033868958473</v>
      </c>
      <c r="BU7" s="960">
        <v>1494049</v>
      </c>
      <c r="BV7" s="960">
        <v>1238719</v>
      </c>
      <c r="BW7" s="960">
        <v>1158649</v>
      </c>
      <c r="BX7" s="960">
        <v>884273</v>
      </c>
      <c r="BY7" s="960">
        <v>307441</v>
      </c>
      <c r="BZ7" s="960">
        <v>1194282</v>
      </c>
      <c r="CA7" s="960">
        <v>1079303</v>
      </c>
      <c r="CB7" s="960">
        <v>939984</v>
      </c>
      <c r="CC7" s="960">
        <v>343688</v>
      </c>
      <c r="CD7" s="960">
        <v>95000</v>
      </c>
      <c r="CE7" s="960">
        <v>-4.1084210526315793E-2</v>
      </c>
      <c r="CF7" s="960">
        <v>4.6539303088848023E-2</v>
      </c>
      <c r="CG7" s="960">
        <v>-0.23493910534647397</v>
      </c>
      <c r="CH7" s="960">
        <v>-1.9789101565600001E-2</v>
      </c>
      <c r="CI7" s="960">
        <v>2.6615606080528886E-2</v>
      </c>
      <c r="CJ7" s="960">
        <v>-0.21135910919718326</v>
      </c>
      <c r="CK7" s="960">
        <v>-1.2695118738229448E-2</v>
      </c>
      <c r="CL7" s="960">
        <v>1.8088305308428507E-2</v>
      </c>
      <c r="CM7" s="960">
        <v>-0.19060043205491914</v>
      </c>
      <c r="CN7" s="960" t="s">
        <v>617</v>
      </c>
      <c r="CO7" s="960">
        <v>2233</v>
      </c>
    </row>
    <row r="8" spans="1:93">
      <c r="A8" s="960">
        <v>1</v>
      </c>
      <c r="B8" s="960" t="s">
        <v>613</v>
      </c>
      <c r="C8" s="960">
        <v>0</v>
      </c>
      <c r="D8" s="960">
        <v>0</v>
      </c>
      <c r="E8" s="960">
        <v>0</v>
      </c>
      <c r="F8" s="960">
        <v>1</v>
      </c>
      <c r="G8" s="960">
        <v>0</v>
      </c>
      <c r="H8" s="960">
        <v>0</v>
      </c>
      <c r="I8" s="960">
        <v>0</v>
      </c>
      <c r="J8" s="960">
        <v>0</v>
      </c>
      <c r="K8" s="960">
        <v>0</v>
      </c>
      <c r="L8" s="960">
        <v>0</v>
      </c>
      <c r="M8" s="960">
        <v>0</v>
      </c>
      <c r="N8" s="960" t="s">
        <v>626</v>
      </c>
      <c r="O8" s="960">
        <v>0</v>
      </c>
      <c r="P8" s="960">
        <v>1</v>
      </c>
      <c r="Q8" s="960">
        <v>0</v>
      </c>
      <c r="R8" s="960">
        <v>0</v>
      </c>
      <c r="S8" s="960">
        <v>0</v>
      </c>
      <c r="T8" s="960">
        <v>0</v>
      </c>
      <c r="U8" s="960">
        <v>0</v>
      </c>
      <c r="V8" s="960">
        <v>0</v>
      </c>
      <c r="W8" s="960">
        <v>0</v>
      </c>
      <c r="X8" s="960">
        <v>0</v>
      </c>
      <c r="Y8" s="960">
        <v>0</v>
      </c>
      <c r="Z8" s="960">
        <v>0</v>
      </c>
      <c r="AA8" s="960">
        <v>0</v>
      </c>
      <c r="AB8" s="960">
        <v>0</v>
      </c>
      <c r="AC8" s="960">
        <v>0</v>
      </c>
      <c r="AD8" s="960">
        <v>0</v>
      </c>
      <c r="AE8" s="960">
        <v>0</v>
      </c>
      <c r="AF8" s="960">
        <v>2014</v>
      </c>
      <c r="AG8" s="960">
        <v>0</v>
      </c>
      <c r="AH8" s="960">
        <v>0</v>
      </c>
      <c r="AI8" s="960">
        <v>0</v>
      </c>
      <c r="AJ8" s="960">
        <v>0</v>
      </c>
      <c r="AK8" s="960">
        <v>0</v>
      </c>
      <c r="AL8" s="960">
        <v>0</v>
      </c>
      <c r="AM8" s="960">
        <v>0</v>
      </c>
      <c r="AN8" s="960">
        <v>0</v>
      </c>
      <c r="AO8" s="960">
        <v>0</v>
      </c>
      <c r="AP8" s="960">
        <v>0</v>
      </c>
      <c r="AQ8" s="960">
        <v>0</v>
      </c>
      <c r="AR8" s="960">
        <v>1</v>
      </c>
      <c r="AS8" s="960">
        <v>0</v>
      </c>
      <c r="AT8" s="960">
        <v>0</v>
      </c>
      <c r="AU8" s="960">
        <v>0</v>
      </c>
      <c r="AV8" s="960">
        <v>0</v>
      </c>
      <c r="AW8" s="960">
        <v>9.0069606419235377</v>
      </c>
      <c r="AX8" s="960">
        <v>8.6761582439200051</v>
      </c>
      <c r="AY8" s="960">
        <v>8.8394247075453212</v>
      </c>
      <c r="AZ8" s="960">
        <v>8.4333726530773259</v>
      </c>
      <c r="BA8" s="960">
        <v>8.1896937270746939</v>
      </c>
      <c r="BB8" s="960">
        <v>-0.25927363377170071</v>
      </c>
      <c r="BC8" s="960">
        <v>-0.62268930847484394</v>
      </c>
      <c r="BD8" s="960">
        <v>-0.31177012401723797</v>
      </c>
      <c r="BE8" s="960">
        <v>-6.0711003132043446</v>
      </c>
      <c r="BF8" s="960">
        <v>-2.926654495664085</v>
      </c>
      <c r="BG8" s="960">
        <v>0.73287158146470299</v>
      </c>
      <c r="BH8" s="960">
        <v>1.0154237045519607</v>
      </c>
      <c r="BI8" s="960">
        <v>0.95841274023874867</v>
      </c>
      <c r="BJ8" s="960">
        <v>0.90571808874342474</v>
      </c>
      <c r="BK8" s="960">
        <v>0.53571742541996603</v>
      </c>
      <c r="BL8" s="960">
        <v>0.15830716188018554</v>
      </c>
      <c r="BM8" s="960">
        <v>8.6100772974520498E-2</v>
      </c>
      <c r="BN8" s="960">
        <v>0.11282058895027004</v>
      </c>
      <c r="BO8" s="960">
        <v>7.786474240338416E-2</v>
      </c>
      <c r="BP8" s="960">
        <v>4.0981843416063909E-2</v>
      </c>
      <c r="BQ8" s="960">
        <v>8.4765607265501502E-2</v>
      </c>
      <c r="BR8" s="960">
        <v>-0.58745661335388388</v>
      </c>
      <c r="BS8" s="960">
        <v>0.64973098047062794</v>
      </c>
      <c r="BT8" s="960">
        <v>0.42269531481878264</v>
      </c>
      <c r="BU8" s="960">
        <v>26161.388665549501</v>
      </c>
      <c r="BV8" s="960">
        <v>-1049.9999940544399</v>
      </c>
      <c r="BW8" s="960">
        <v>2543.81378383934</v>
      </c>
      <c r="BX8" s="960">
        <v>5567.4295952022103</v>
      </c>
      <c r="BY8" s="960">
        <v>40825.328558027701</v>
      </c>
      <c r="BZ8" s="960">
        <v>15503.6541485414</v>
      </c>
      <c r="CA8" s="960">
        <v>43256.960311904499</v>
      </c>
      <c r="CB8" s="960">
        <v>41414.414394065701</v>
      </c>
      <c r="CC8" s="960">
        <v>43171.065231993802</v>
      </c>
      <c r="CD8" s="960">
        <v>6685.6907257139701</v>
      </c>
      <c r="CE8" s="960">
        <v>-1.5774803808211793</v>
      </c>
      <c r="CF8" s="960">
        <v>-0.64660915759708926</v>
      </c>
      <c r="CG8" s="960">
        <v>-5.1951291039601527E-2</v>
      </c>
      <c r="CH8" s="960">
        <v>-0.96502342453825518</v>
      </c>
      <c r="CI8" s="960">
        <v>-1.0583702723755926</v>
      </c>
      <c r="CJ8" s="960">
        <v>-8.496486821292884E-2</v>
      </c>
      <c r="CK8" s="960">
        <v>-0.25833340047861236</v>
      </c>
      <c r="CL8" s="960">
        <v>-5.013948653483534</v>
      </c>
      <c r="CM8" s="960">
        <v>-0.84579001383249619</v>
      </c>
      <c r="CN8" s="960" t="s">
        <v>613</v>
      </c>
      <c r="CO8" s="960">
        <v>2215.4</v>
      </c>
    </row>
    <row r="9" spans="1:93">
      <c r="A9" s="960">
        <v>1</v>
      </c>
      <c r="B9" s="960" t="s">
        <v>618</v>
      </c>
      <c r="C9" s="960">
        <v>1</v>
      </c>
      <c r="D9" s="960">
        <v>0</v>
      </c>
      <c r="E9" s="960">
        <v>0</v>
      </c>
      <c r="F9" s="960">
        <v>0</v>
      </c>
      <c r="G9" s="960">
        <v>0</v>
      </c>
      <c r="H9" s="960">
        <v>0</v>
      </c>
      <c r="I9" s="960">
        <v>0</v>
      </c>
      <c r="J9" s="960">
        <v>0</v>
      </c>
      <c r="K9" s="960">
        <v>0</v>
      </c>
      <c r="L9" s="960">
        <v>0</v>
      </c>
      <c r="M9" s="960">
        <v>0</v>
      </c>
      <c r="N9" s="960" t="s">
        <v>631</v>
      </c>
      <c r="O9" s="960">
        <v>0</v>
      </c>
      <c r="P9" s="960">
        <v>0</v>
      </c>
      <c r="Q9" s="960">
        <v>0</v>
      </c>
      <c r="R9" s="960">
        <v>0</v>
      </c>
      <c r="S9" s="960">
        <v>0</v>
      </c>
      <c r="T9" s="960">
        <v>0</v>
      </c>
      <c r="U9" s="960">
        <v>1</v>
      </c>
      <c r="V9" s="960">
        <v>0</v>
      </c>
      <c r="W9" s="960">
        <v>0</v>
      </c>
      <c r="X9" s="960">
        <v>0</v>
      </c>
      <c r="Y9" s="960">
        <v>0</v>
      </c>
      <c r="Z9" s="960">
        <v>0</v>
      </c>
      <c r="AA9" s="960">
        <v>0</v>
      </c>
      <c r="AB9" s="960">
        <v>0</v>
      </c>
      <c r="AC9" s="960">
        <v>0</v>
      </c>
      <c r="AD9" s="960">
        <v>0</v>
      </c>
      <c r="AE9" s="960">
        <v>0</v>
      </c>
      <c r="AF9" s="960">
        <v>2013</v>
      </c>
      <c r="AG9" s="960">
        <v>0</v>
      </c>
      <c r="AH9" s="960">
        <v>0</v>
      </c>
      <c r="AI9" s="960">
        <v>0</v>
      </c>
      <c r="AJ9" s="960">
        <v>0</v>
      </c>
      <c r="AK9" s="960">
        <v>0</v>
      </c>
      <c r="AL9" s="960">
        <v>0</v>
      </c>
      <c r="AM9" s="960">
        <v>0</v>
      </c>
      <c r="AN9" s="960">
        <v>0</v>
      </c>
      <c r="AO9" s="960">
        <v>0</v>
      </c>
      <c r="AP9" s="960">
        <v>0</v>
      </c>
      <c r="AQ9" s="960">
        <v>1</v>
      </c>
      <c r="AR9" s="960">
        <v>0</v>
      </c>
      <c r="AS9" s="960">
        <v>0</v>
      </c>
      <c r="AT9" s="960">
        <v>0</v>
      </c>
      <c r="AU9" s="960">
        <v>0</v>
      </c>
      <c r="AV9" s="960">
        <v>0</v>
      </c>
      <c r="AW9" s="960">
        <v>8.7973353031239547</v>
      </c>
      <c r="AX9" s="960">
        <v>8.4099643405995543</v>
      </c>
      <c r="AY9" s="960">
        <v>8.3771418854834678</v>
      </c>
      <c r="AZ9" s="960">
        <v>7.6929927386006396</v>
      </c>
      <c r="BA9" s="960">
        <v>7.7817267844419549</v>
      </c>
      <c r="BB9" s="960">
        <v>4.6453230472516829</v>
      </c>
      <c r="BC9" s="960">
        <v>8.023350433398198</v>
      </c>
      <c r="BD9" s="960">
        <v>0.2039324972906025</v>
      </c>
      <c r="BE9" s="960">
        <v>-2.0705767644191124</v>
      </c>
      <c r="BF9" s="960">
        <v>2.4094246329038063</v>
      </c>
      <c r="BG9" s="960">
        <v>0.53321814019711911</v>
      </c>
      <c r="BH9" s="960">
        <v>0.680957382651873</v>
      </c>
      <c r="BI9" s="960">
        <v>0.61629602335984091</v>
      </c>
      <c r="BJ9" s="960">
        <v>0.49369240851295171</v>
      </c>
      <c r="BK9" s="960">
        <v>0.57959716758457624</v>
      </c>
      <c r="BL9" s="960">
        <v>5.3531020022394293E-2</v>
      </c>
      <c r="BM9" s="960">
        <v>2.7398597631607978E-2</v>
      </c>
      <c r="BN9" s="960">
        <v>3.1988042741849278E-2</v>
      </c>
      <c r="BO9" s="960">
        <v>1.3319467421100186E-2</v>
      </c>
      <c r="BP9" s="960">
        <v>1.0501966955153399E-2</v>
      </c>
      <c r="BQ9" s="960">
        <v>-1.878029643590453E-2</v>
      </c>
      <c r="BR9" s="960">
        <v>-4.3188084009190053E-2</v>
      </c>
      <c r="BS9" s="960">
        <v>0.59541510104151318</v>
      </c>
      <c r="BT9" s="960">
        <v>3.669885577526466E-2</v>
      </c>
      <c r="BU9" s="960">
        <v>57695.591320633903</v>
      </c>
      <c r="BV9" s="960">
        <v>52302.268830433502</v>
      </c>
      <c r="BW9" s="960">
        <v>52138.225803718</v>
      </c>
      <c r="BX9" s="960">
        <v>83358.880783975095</v>
      </c>
      <c r="BY9" s="960">
        <v>95930.340970158606</v>
      </c>
      <c r="BZ9" s="960">
        <v>538.28305959701504</v>
      </c>
      <c r="CA9" s="960">
        <v>1053.2349337488399</v>
      </c>
      <c r="CB9" s="960">
        <v>3230.0136067122198</v>
      </c>
      <c r="CC9" s="960">
        <v>3207.23681151867</v>
      </c>
      <c r="CD9" s="960">
        <v>131.238778978586</v>
      </c>
      <c r="CE9" s="960">
        <v>43.995896032831787</v>
      </c>
      <c r="CF9" s="960">
        <v>-1.4157435897435908</v>
      </c>
      <c r="CG9" s="960">
        <v>0.27442810117088245</v>
      </c>
      <c r="CH9" s="960">
        <v>25.525200423850574</v>
      </c>
      <c r="CI9" s="960">
        <v>-0.72652084241385173</v>
      </c>
      <c r="CJ9" s="960">
        <v>0.17565217490695273</v>
      </c>
      <c r="CK9" s="960">
        <v>6.0189170777718681E-2</v>
      </c>
      <c r="CL9" s="960">
        <v>-5.4470800399351323E-2</v>
      </c>
      <c r="CM9" s="960">
        <v>1.7001086768528628E-2</v>
      </c>
      <c r="CN9" s="960" t="s">
        <v>618</v>
      </c>
      <c r="CO9" s="960">
        <v>2102.1</v>
      </c>
    </row>
    <row r="10" spans="1:93">
      <c r="A10" s="960">
        <v>1</v>
      </c>
      <c r="B10" s="960" t="s">
        <v>617</v>
      </c>
      <c r="C10" s="960">
        <v>0</v>
      </c>
      <c r="D10" s="960">
        <v>0</v>
      </c>
      <c r="E10" s="960">
        <v>0</v>
      </c>
      <c r="F10" s="960">
        <v>0</v>
      </c>
      <c r="G10" s="960">
        <v>0</v>
      </c>
      <c r="H10" s="960">
        <v>0</v>
      </c>
      <c r="I10" s="960">
        <v>0</v>
      </c>
      <c r="J10" s="960">
        <v>1</v>
      </c>
      <c r="K10" s="960">
        <v>0</v>
      </c>
      <c r="L10" s="960">
        <v>0</v>
      </c>
      <c r="M10" s="960">
        <v>0</v>
      </c>
      <c r="N10" s="960" t="s">
        <v>632</v>
      </c>
      <c r="O10" s="960">
        <v>0</v>
      </c>
      <c r="P10" s="960">
        <v>0</v>
      </c>
      <c r="Q10" s="960">
        <v>0</v>
      </c>
      <c r="R10" s="960">
        <v>0</v>
      </c>
      <c r="S10" s="960">
        <v>0</v>
      </c>
      <c r="T10" s="960">
        <v>0</v>
      </c>
      <c r="U10" s="960">
        <v>0</v>
      </c>
      <c r="V10" s="960">
        <v>1</v>
      </c>
      <c r="W10" s="960">
        <v>0</v>
      </c>
      <c r="X10" s="960">
        <v>0</v>
      </c>
      <c r="Y10" s="960">
        <v>0</v>
      </c>
      <c r="Z10" s="960">
        <v>0</v>
      </c>
      <c r="AA10" s="960">
        <v>0</v>
      </c>
      <c r="AB10" s="960">
        <v>0</v>
      </c>
      <c r="AC10" s="960">
        <v>0</v>
      </c>
      <c r="AD10" s="960">
        <v>0</v>
      </c>
      <c r="AE10" s="960">
        <v>0</v>
      </c>
      <c r="AF10" s="960">
        <v>2012</v>
      </c>
      <c r="AG10" s="960">
        <v>0</v>
      </c>
      <c r="AH10" s="960">
        <v>0</v>
      </c>
      <c r="AI10" s="960">
        <v>0</v>
      </c>
      <c r="AJ10" s="960">
        <v>0</v>
      </c>
      <c r="AK10" s="960">
        <v>0</v>
      </c>
      <c r="AL10" s="960">
        <v>0</v>
      </c>
      <c r="AM10" s="960">
        <v>0</v>
      </c>
      <c r="AN10" s="960">
        <v>0</v>
      </c>
      <c r="AO10" s="960">
        <v>0</v>
      </c>
      <c r="AP10" s="960">
        <v>1</v>
      </c>
      <c r="AQ10" s="960">
        <v>0</v>
      </c>
      <c r="AR10" s="960">
        <v>0</v>
      </c>
      <c r="AS10" s="960">
        <v>0</v>
      </c>
      <c r="AT10" s="960">
        <v>0</v>
      </c>
      <c r="AU10" s="960">
        <v>0</v>
      </c>
      <c r="AV10" s="960">
        <v>0</v>
      </c>
      <c r="AW10" s="960">
        <v>8.3497208391297661</v>
      </c>
      <c r="AX10" s="960">
        <v>7.5878171975588824</v>
      </c>
      <c r="AY10" s="960">
        <v>7.4097419445441801</v>
      </c>
      <c r="AZ10" s="960">
        <v>6.7440591848212303</v>
      </c>
      <c r="BA10" s="960">
        <v>4.7621739224297901</v>
      </c>
      <c r="BB10" s="960">
        <v>1.3208796319644818</v>
      </c>
      <c r="BC10" s="960">
        <v>-0.45238098322478787</v>
      </c>
      <c r="BD10" s="960">
        <v>-0.91828087167070183</v>
      </c>
      <c r="BE10" s="960">
        <v>3.4216725559481729</v>
      </c>
      <c r="BF10" s="960">
        <v>-22.863247863247938</v>
      </c>
      <c r="BG10" s="960">
        <v>0.29595583689759636</v>
      </c>
      <c r="BH10" s="960">
        <v>0.1304646768965502</v>
      </c>
      <c r="BI10" s="960">
        <v>0.14010451309490762</v>
      </c>
      <c r="BJ10" s="960">
        <v>0.47131248322061492</v>
      </c>
      <c r="BK10" s="960">
        <v>0.51209227114564171</v>
      </c>
      <c r="BL10" s="960">
        <v>5.1763813162464624E-2</v>
      </c>
      <c r="BM10" s="960">
        <v>1.0282160167109053E-2</v>
      </c>
      <c r="BN10" s="960">
        <v>8.4635482590688857E-3</v>
      </c>
      <c r="BO10" s="960">
        <v>1.3937453788028622E-2</v>
      </c>
      <c r="BP10" s="960">
        <v>1.9500974831702317E-3</v>
      </c>
      <c r="BQ10" s="960">
        <v>3.6813647642452152E-2</v>
      </c>
      <c r="BR10" s="960">
        <v>8.2342819221579128E-2</v>
      </c>
      <c r="BS10" s="960">
        <v>2.6475680221143896</v>
      </c>
      <c r="BT10" s="960">
        <v>-0.37198775805073409</v>
      </c>
      <c r="BU10" s="960">
        <v>57520.000027071903</v>
      </c>
      <c r="BV10" s="960">
        <v>166935.999965147</v>
      </c>
      <c r="BW10" s="960">
        <v>167841.00004407999</v>
      </c>
      <c r="BX10" s="960">
        <v>32204.999952010799</v>
      </c>
      <c r="BY10" s="960">
        <v>29272.999971842401</v>
      </c>
      <c r="BZ10" s="960">
        <v>19666.999958756202</v>
      </c>
      <c r="CA10" s="960">
        <v>21633.0000475089</v>
      </c>
      <c r="CB10" s="960">
        <v>23599.999939406498</v>
      </c>
      <c r="CC10" s="960">
        <v>25566.999961902202</v>
      </c>
      <c r="CD10" s="960">
        <v>27532.9999933627</v>
      </c>
      <c r="CE10" s="960">
        <v>-9.7156138726639099E-2</v>
      </c>
      <c r="CF10" s="960">
        <v>0.11362302968670542</v>
      </c>
      <c r="CG10" s="960">
        <v>-6.4279660568969901E-2</v>
      </c>
      <c r="CH10" s="960">
        <v>-9.4338469851482587E-2</v>
      </c>
      <c r="CI10" s="960">
        <v>0.10124135569737028</v>
      </c>
      <c r="CJ10" s="960">
        <v>-1.6777956932788277E-2</v>
      </c>
      <c r="CK10" s="960">
        <v>-9.1381135158295129E-2</v>
      </c>
      <c r="CL10" s="960">
        <v>9.0203384567613676E-2</v>
      </c>
      <c r="CM10" s="960">
        <v>-9.038315936716005E-3</v>
      </c>
      <c r="CN10" s="960" t="s">
        <v>617</v>
      </c>
      <c r="CO10" s="960">
        <v>2030</v>
      </c>
    </row>
    <row r="11" spans="1:93">
      <c r="A11" s="960">
        <v>1</v>
      </c>
      <c r="B11" s="960" t="s">
        <v>612</v>
      </c>
      <c r="C11" s="960">
        <v>0</v>
      </c>
      <c r="D11" s="960">
        <v>0</v>
      </c>
      <c r="E11" s="960">
        <v>1</v>
      </c>
      <c r="F11" s="960">
        <v>0</v>
      </c>
      <c r="G11" s="960">
        <v>0</v>
      </c>
      <c r="H11" s="960">
        <v>0</v>
      </c>
      <c r="I11" s="960">
        <v>0</v>
      </c>
      <c r="J11" s="960">
        <v>0</v>
      </c>
      <c r="K11" s="960">
        <v>0</v>
      </c>
      <c r="L11" s="960">
        <v>0</v>
      </c>
      <c r="M11" s="960">
        <v>0</v>
      </c>
      <c r="N11" s="960" t="s">
        <v>633</v>
      </c>
      <c r="O11" s="960">
        <v>0</v>
      </c>
      <c r="P11" s="960">
        <v>0</v>
      </c>
      <c r="Q11" s="960">
        <v>0</v>
      </c>
      <c r="R11" s="960">
        <v>0</v>
      </c>
      <c r="S11" s="960">
        <v>0</v>
      </c>
      <c r="T11" s="960">
        <v>0</v>
      </c>
      <c r="U11" s="960">
        <v>0</v>
      </c>
      <c r="V11" s="960">
        <v>0</v>
      </c>
      <c r="W11" s="960">
        <v>1</v>
      </c>
      <c r="X11" s="960">
        <v>0</v>
      </c>
      <c r="Y11" s="960">
        <v>0</v>
      </c>
      <c r="Z11" s="960">
        <v>0</v>
      </c>
      <c r="AA11" s="960">
        <v>0</v>
      </c>
      <c r="AB11" s="960">
        <v>0</v>
      </c>
      <c r="AC11" s="960">
        <v>0</v>
      </c>
      <c r="AD11" s="960">
        <v>0</v>
      </c>
      <c r="AE11" s="960">
        <v>0</v>
      </c>
      <c r="AF11" s="960">
        <v>2015</v>
      </c>
      <c r="AG11" s="960">
        <v>0</v>
      </c>
      <c r="AH11" s="960">
        <v>0</v>
      </c>
      <c r="AI11" s="960">
        <v>0</v>
      </c>
      <c r="AJ11" s="960">
        <v>0</v>
      </c>
      <c r="AK11" s="960">
        <v>0</v>
      </c>
      <c r="AL11" s="960">
        <v>0</v>
      </c>
      <c r="AM11" s="960">
        <v>0</v>
      </c>
      <c r="AN11" s="960">
        <v>0</v>
      </c>
      <c r="AO11" s="960">
        <v>0</v>
      </c>
      <c r="AP11" s="960">
        <v>0</v>
      </c>
      <c r="AQ11" s="960">
        <v>0</v>
      </c>
      <c r="AR11" s="960">
        <v>0</v>
      </c>
      <c r="AS11" s="960">
        <v>1</v>
      </c>
      <c r="AT11" s="960">
        <v>0</v>
      </c>
      <c r="AU11" s="960">
        <v>0</v>
      </c>
      <c r="AV11" s="960">
        <v>0</v>
      </c>
      <c r="AW11" s="960">
        <v>12.683008441689687</v>
      </c>
      <c r="AX11" s="960">
        <v>12.936778100465176</v>
      </c>
      <c r="AY11" s="960">
        <v>13.096912227197027</v>
      </c>
      <c r="AZ11" s="960">
        <v>12.953824008434148</v>
      </c>
      <c r="BA11" s="960">
        <v>13.104834642853366</v>
      </c>
      <c r="BB11" s="960">
        <v>-0.29187899176354482</v>
      </c>
      <c r="BC11" s="960">
        <v>-0.49130647301166119</v>
      </c>
      <c r="BD11" s="960">
        <v>-0.31984777457507158</v>
      </c>
      <c r="BE11" s="960">
        <v>-0.34112046661253786</v>
      </c>
      <c r="BF11" s="960">
        <v>0.2395667111733481</v>
      </c>
      <c r="BG11" s="960">
        <v>0.73309442452583307</v>
      </c>
      <c r="BH11" s="960">
        <v>0.76841387235186975</v>
      </c>
      <c r="BI11" s="960">
        <v>0.73150423263542153</v>
      </c>
      <c r="BJ11" s="960">
        <v>0.67298864638090494</v>
      </c>
      <c r="BK11" s="960">
        <v>0.63564769103912966</v>
      </c>
      <c r="BL11" s="960">
        <v>0.18452212225694378</v>
      </c>
      <c r="BM11" s="960">
        <v>0.2030776377394472</v>
      </c>
      <c r="BN11" s="960">
        <v>0.20197108631427163</v>
      </c>
      <c r="BO11" s="960">
        <v>0.20757920163999996</v>
      </c>
      <c r="BP11" s="960">
        <v>0.21733852845105511</v>
      </c>
      <c r="BQ11" s="960">
        <v>-0.11666707895840389</v>
      </c>
      <c r="BR11" s="960">
        <v>-0.38350281081054582</v>
      </c>
      <c r="BS11" s="960">
        <v>-7.9224156563392403E-3</v>
      </c>
      <c r="BT11" s="960">
        <v>9.5856541596291867E-2</v>
      </c>
      <c r="BU11" s="960">
        <v>466090</v>
      </c>
      <c r="BV11" s="960">
        <v>473611</v>
      </c>
      <c r="BW11" s="960">
        <v>647985</v>
      </c>
      <c r="BX11" s="960">
        <v>665508</v>
      </c>
      <c r="BY11" s="960">
        <v>823649</v>
      </c>
      <c r="BZ11" s="960">
        <v>1099360</v>
      </c>
      <c r="CA11" s="960">
        <v>1346648</v>
      </c>
      <c r="CB11" s="960">
        <v>1420695</v>
      </c>
      <c r="CC11" s="960">
        <v>1139166</v>
      </c>
      <c r="CD11" s="960">
        <v>1154742</v>
      </c>
      <c r="CE11" s="960">
        <v>0.10192926212088935</v>
      </c>
      <c r="CF11" s="960">
        <v>-0.12650131763061748</v>
      </c>
      <c r="CG11" s="960">
        <v>-0.10973854345936319</v>
      </c>
      <c r="CH11" s="960">
        <v>0.11685817658873995</v>
      </c>
      <c r="CI11" s="960">
        <v>-0.15594346464012504</v>
      </c>
      <c r="CJ11" s="960">
        <v>-0.14487421150989982</v>
      </c>
      <c r="CK11" s="960">
        <v>0.14290310557045538</v>
      </c>
      <c r="CL11" s="960">
        <v>-0.21653533841817077</v>
      </c>
      <c r="CM11" s="960">
        <v>-0.24059970524009044</v>
      </c>
      <c r="CN11" s="960" t="s">
        <v>612</v>
      </c>
      <c r="CO11" s="960">
        <v>2311.5</v>
      </c>
    </row>
    <row r="12" spans="1:93">
      <c r="A12" s="960">
        <v>1</v>
      </c>
      <c r="B12" s="960" t="s">
        <v>617</v>
      </c>
      <c r="C12" s="960">
        <v>0</v>
      </c>
      <c r="D12" s="960">
        <v>0</v>
      </c>
      <c r="E12" s="960">
        <v>0</v>
      </c>
      <c r="F12" s="960">
        <v>0</v>
      </c>
      <c r="G12" s="960">
        <v>0</v>
      </c>
      <c r="H12" s="960">
        <v>0</v>
      </c>
      <c r="I12" s="960">
        <v>0</v>
      </c>
      <c r="J12" s="960">
        <v>1</v>
      </c>
      <c r="K12" s="960">
        <v>0</v>
      </c>
      <c r="L12" s="960">
        <v>0</v>
      </c>
      <c r="M12" s="960">
        <v>0</v>
      </c>
      <c r="N12" s="960" t="s">
        <v>632</v>
      </c>
      <c r="O12" s="960">
        <v>0</v>
      </c>
      <c r="P12" s="960">
        <v>0</v>
      </c>
      <c r="Q12" s="960">
        <v>0</v>
      </c>
      <c r="R12" s="960">
        <v>0</v>
      </c>
      <c r="S12" s="960">
        <v>0</v>
      </c>
      <c r="T12" s="960">
        <v>0</v>
      </c>
      <c r="U12" s="960">
        <v>0</v>
      </c>
      <c r="V12" s="960">
        <v>1</v>
      </c>
      <c r="W12" s="960">
        <v>0</v>
      </c>
      <c r="X12" s="960">
        <v>0</v>
      </c>
      <c r="Y12" s="960">
        <v>0</v>
      </c>
      <c r="Z12" s="960">
        <v>0</v>
      </c>
      <c r="AA12" s="960">
        <v>0</v>
      </c>
      <c r="AB12" s="960">
        <v>0</v>
      </c>
      <c r="AC12" s="960">
        <v>0</v>
      </c>
      <c r="AD12" s="960">
        <v>0</v>
      </c>
      <c r="AE12" s="960">
        <v>0</v>
      </c>
      <c r="AF12" s="960">
        <v>2016</v>
      </c>
      <c r="AG12" s="960">
        <v>0</v>
      </c>
      <c r="AH12" s="960">
        <v>0</v>
      </c>
      <c r="AI12" s="960">
        <v>0</v>
      </c>
      <c r="AJ12" s="960">
        <v>0</v>
      </c>
      <c r="AK12" s="960">
        <v>0</v>
      </c>
      <c r="AL12" s="960">
        <v>0</v>
      </c>
      <c r="AM12" s="960">
        <v>0</v>
      </c>
      <c r="AN12" s="960">
        <v>0</v>
      </c>
      <c r="AO12" s="960">
        <v>0</v>
      </c>
      <c r="AP12" s="960">
        <v>0</v>
      </c>
      <c r="AQ12" s="960">
        <v>0</v>
      </c>
      <c r="AR12" s="960">
        <v>0</v>
      </c>
      <c r="AS12" s="960">
        <v>0</v>
      </c>
      <c r="AT12" s="960">
        <v>1</v>
      </c>
      <c r="AU12" s="960">
        <v>0</v>
      </c>
      <c r="AV12" s="960">
        <v>0</v>
      </c>
      <c r="AW12" s="960">
        <v>9.1197150891288974</v>
      </c>
      <c r="AX12" s="960">
        <v>3.1354942145880456</v>
      </c>
      <c r="AY12" s="960">
        <v>3.6888794585097791</v>
      </c>
      <c r="AZ12" s="960">
        <v>4.4659081129921425</v>
      </c>
      <c r="BA12" s="960">
        <v>3.9120229802451836</v>
      </c>
      <c r="BB12" s="960">
        <v>0.84299128352848762</v>
      </c>
      <c r="BC12" s="960">
        <v>-47.260869565217412</v>
      </c>
      <c r="BD12" s="960">
        <v>189.20000000000007</v>
      </c>
      <c r="BE12" s="960">
        <v>-620.25287756353873</v>
      </c>
      <c r="BF12" s="960">
        <v>-32.939999999999962</v>
      </c>
      <c r="BG12" s="960">
        <v>9.6828363519065264E-2</v>
      </c>
      <c r="BH12" s="960">
        <v>0.18054535962553342</v>
      </c>
      <c r="BI12" s="960">
        <v>0.17294583414133752</v>
      </c>
      <c r="BJ12" s="960">
        <v>0.18402553645691413</v>
      </c>
      <c r="BK12" s="960">
        <v>0.18802746053768979</v>
      </c>
      <c r="BL12" s="960">
        <v>0.38041137349031862</v>
      </c>
      <c r="BM12" s="960">
        <v>1.5349091710605689E-4</v>
      </c>
      <c r="BN12" s="960">
        <v>2.6705657034364243E-4</v>
      </c>
      <c r="BO12" s="960">
        <v>6.1035498459626652E-4</v>
      </c>
      <c r="BP12" s="960">
        <v>2.3287440957587925E-4</v>
      </c>
      <c r="BQ12" s="960">
        <v>5.8197986160446628E-2</v>
      </c>
      <c r="BR12" s="960">
        <v>7.0539585108597952E-2</v>
      </c>
      <c r="BS12" s="960">
        <v>-0.22314352173540489</v>
      </c>
      <c r="BT12" s="960">
        <v>-1.5081626396352271E-2</v>
      </c>
      <c r="BU12" s="960">
        <v>21684.9655826241</v>
      </c>
      <c r="BV12" s="960">
        <v>122790.999950399</v>
      </c>
      <c r="BW12" s="960">
        <v>123878.00005733701</v>
      </c>
      <c r="BX12" s="960">
        <v>116309.00003746299</v>
      </c>
      <c r="BY12" s="960">
        <v>174337.00003646497</v>
      </c>
      <c r="BZ12" s="960">
        <v>0</v>
      </c>
      <c r="CA12" s="960">
        <v>0</v>
      </c>
      <c r="CB12" s="960">
        <v>0</v>
      </c>
      <c r="CC12" s="960">
        <v>19737.000004249698</v>
      </c>
      <c r="CD12" s="960">
        <v>22127.000010313499</v>
      </c>
      <c r="CE12" s="960">
        <v>-7.4433947564332512E-2</v>
      </c>
      <c r="CF12" s="960">
        <v>-2.7340527958074836</v>
      </c>
      <c r="CG12" s="960" t="e">
        <v>#DIV/0!</v>
      </c>
      <c r="CH12" s="960">
        <v>-2.1666509189746459E-2</v>
      </c>
      <c r="CI12" s="960">
        <v>-0.88170996798108292</v>
      </c>
      <c r="CJ12" s="960" t="e">
        <v>#DIV/0!</v>
      </c>
      <c r="CK12" s="960">
        <v>-9.4472197994640676E-3</v>
      </c>
      <c r="CL12" s="960">
        <v>-0.46395377851318559</v>
      </c>
      <c r="CM12" s="960">
        <v>6.1092365309133881E-2</v>
      </c>
      <c r="CN12" s="960" t="s">
        <v>617</v>
      </c>
      <c r="CO12" s="960">
        <v>2436</v>
      </c>
    </row>
    <row r="13" spans="1:93">
      <c r="A13" s="960">
        <v>1</v>
      </c>
      <c r="B13" s="960" t="s">
        <v>612</v>
      </c>
      <c r="C13" s="960">
        <v>0</v>
      </c>
      <c r="D13" s="960">
        <v>0</v>
      </c>
      <c r="E13" s="960">
        <v>1</v>
      </c>
      <c r="F13" s="960">
        <v>0</v>
      </c>
      <c r="G13" s="960">
        <v>0</v>
      </c>
      <c r="H13" s="960">
        <v>0</v>
      </c>
      <c r="I13" s="960">
        <v>0</v>
      </c>
      <c r="J13" s="960">
        <v>0</v>
      </c>
      <c r="K13" s="960">
        <v>0</v>
      </c>
      <c r="L13" s="960">
        <v>0</v>
      </c>
      <c r="M13" s="960">
        <v>0</v>
      </c>
      <c r="N13" s="960" t="s">
        <v>576</v>
      </c>
      <c r="O13" s="960">
        <v>1</v>
      </c>
      <c r="P13" s="960">
        <v>0</v>
      </c>
      <c r="Q13" s="960">
        <v>0</v>
      </c>
      <c r="R13" s="960">
        <v>0</v>
      </c>
      <c r="S13" s="960">
        <v>0</v>
      </c>
      <c r="T13" s="960">
        <v>0</v>
      </c>
      <c r="U13" s="960">
        <v>0</v>
      </c>
      <c r="V13" s="960">
        <v>0</v>
      </c>
      <c r="W13" s="960">
        <v>0</v>
      </c>
      <c r="X13" s="960">
        <v>0</v>
      </c>
      <c r="Y13" s="960">
        <v>0</v>
      </c>
      <c r="Z13" s="960">
        <v>0</v>
      </c>
      <c r="AA13" s="960">
        <v>0</v>
      </c>
      <c r="AB13" s="960">
        <v>0</v>
      </c>
      <c r="AC13" s="960">
        <v>0</v>
      </c>
      <c r="AD13" s="960">
        <v>0</v>
      </c>
      <c r="AE13" s="960">
        <v>0</v>
      </c>
      <c r="AF13" s="960">
        <v>2017</v>
      </c>
      <c r="AG13" s="960">
        <v>0</v>
      </c>
      <c r="AH13" s="960">
        <v>0</v>
      </c>
      <c r="AI13" s="960">
        <v>0</v>
      </c>
      <c r="AJ13" s="960">
        <v>0</v>
      </c>
      <c r="AK13" s="960">
        <v>0</v>
      </c>
      <c r="AL13" s="960">
        <v>0</v>
      </c>
      <c r="AM13" s="960">
        <v>0</v>
      </c>
      <c r="AN13" s="960">
        <v>0</v>
      </c>
      <c r="AO13" s="960">
        <v>0</v>
      </c>
      <c r="AP13" s="960">
        <v>0</v>
      </c>
      <c r="AQ13" s="960">
        <v>0</v>
      </c>
      <c r="AR13" s="960">
        <v>0</v>
      </c>
      <c r="AS13" s="960">
        <v>0</v>
      </c>
      <c r="AT13" s="960">
        <v>0</v>
      </c>
      <c r="AU13" s="960">
        <v>1</v>
      </c>
      <c r="AV13" s="960">
        <v>0</v>
      </c>
      <c r="AW13" s="960">
        <v>13.872835624583544</v>
      </c>
      <c r="AX13" s="960">
        <v>14.164052518672818</v>
      </c>
      <c r="AY13" s="960">
        <v>13.239257128875828</v>
      </c>
      <c r="AZ13" s="960">
        <v>14.564565370462516</v>
      </c>
      <c r="BA13" s="960">
        <v>14.990157532908382</v>
      </c>
      <c r="BB13" s="960">
        <v>-4.403210576015109</v>
      </c>
      <c r="BC13" s="960">
        <v>-0.86238532110091748</v>
      </c>
      <c r="BD13" s="960">
        <v>-1.0765124555160142</v>
      </c>
      <c r="BE13" s="960">
        <v>-1.4666666666666666</v>
      </c>
      <c r="BF13" s="960">
        <v>-4.7883843064565959E-2</v>
      </c>
      <c r="BG13" s="960">
        <v>1.7927291088109063</v>
      </c>
      <c r="BH13" s="960">
        <v>0.80676797068649642</v>
      </c>
      <c r="BI13" s="960">
        <v>0.72022492625368728</v>
      </c>
      <c r="BJ13" s="960">
        <v>0.6130018907796686</v>
      </c>
      <c r="BK13" s="960">
        <v>0.5355395550632327</v>
      </c>
      <c r="BL13" s="960">
        <v>0.26735672809896494</v>
      </c>
      <c r="BM13" s="960">
        <v>0.15271042138161439</v>
      </c>
      <c r="BN13" s="960">
        <v>5.1806784660766964E-2</v>
      </c>
      <c r="BO13" s="960">
        <v>0.11761761761761762</v>
      </c>
      <c r="BP13" s="960">
        <v>0.14940459706452505</v>
      </c>
      <c r="BQ13" s="960">
        <v>-4.8616582688589191E-2</v>
      </c>
      <c r="BR13" s="960">
        <v>-0.18393806007326824</v>
      </c>
      <c r="BS13" s="960">
        <v>-1.7509004040325533</v>
      </c>
      <c r="BT13" s="960">
        <v>0.18468537119045458</v>
      </c>
      <c r="BU13" s="960">
        <v>-3140000</v>
      </c>
      <c r="BV13" s="960">
        <v>1793000</v>
      </c>
      <c r="BW13" s="960">
        <v>3035000</v>
      </c>
      <c r="BX13" s="960">
        <v>6959000</v>
      </c>
      <c r="BY13" s="960">
        <v>10063000</v>
      </c>
      <c r="BZ13" s="960">
        <v>556000</v>
      </c>
      <c r="CA13" s="960">
        <v>6716000</v>
      </c>
      <c r="CB13" s="960">
        <v>7349000</v>
      </c>
      <c r="CC13" s="960">
        <v>10164000</v>
      </c>
      <c r="CD13" s="960">
        <v>6880000</v>
      </c>
      <c r="CE13" s="960">
        <v>-2.2529069767441859E-2</v>
      </c>
      <c r="CF13" s="960">
        <v>-0.30519480519480519</v>
      </c>
      <c r="CG13" s="960">
        <v>-8.2324125731392028E-2</v>
      </c>
      <c r="CH13" s="960">
        <v>-1.9219274278206772E-2</v>
      </c>
      <c r="CI13" s="960">
        <v>-0.35959083181305407</v>
      </c>
      <c r="CJ13" s="960">
        <v>-0.11506253635134273</v>
      </c>
      <c r="CK13" s="960">
        <v>-1.5402961343535726E-2</v>
      </c>
      <c r="CL13" s="960">
        <v>-0.44575370024428795</v>
      </c>
      <c r="CM13" s="960">
        <v>-0.19934102141680396</v>
      </c>
      <c r="CN13" s="960" t="s">
        <v>612</v>
      </c>
      <c r="CO13" s="960">
        <v>2512.5</v>
      </c>
    </row>
    <row r="14" spans="1:93">
      <c r="A14" s="960">
        <v>1</v>
      </c>
      <c r="B14" s="960" t="s">
        <v>616</v>
      </c>
      <c r="C14" s="960">
        <v>0</v>
      </c>
      <c r="D14" s="960">
        <v>0</v>
      </c>
      <c r="E14" s="960">
        <v>0</v>
      </c>
      <c r="F14" s="960">
        <v>0</v>
      </c>
      <c r="G14" s="960">
        <v>0</v>
      </c>
      <c r="H14" s="960">
        <v>0</v>
      </c>
      <c r="I14" s="960">
        <v>1</v>
      </c>
      <c r="J14" s="960">
        <v>0</v>
      </c>
      <c r="K14" s="960">
        <v>0</v>
      </c>
      <c r="L14" s="960">
        <v>0</v>
      </c>
      <c r="M14" s="960">
        <v>0</v>
      </c>
      <c r="N14" s="960" t="s">
        <v>623</v>
      </c>
      <c r="O14" s="960">
        <v>0</v>
      </c>
      <c r="P14" s="960">
        <v>0</v>
      </c>
      <c r="Q14" s="960">
        <v>0</v>
      </c>
      <c r="R14" s="960">
        <v>0</v>
      </c>
      <c r="S14" s="960">
        <v>0</v>
      </c>
      <c r="T14" s="960">
        <v>0</v>
      </c>
      <c r="U14" s="960">
        <v>0</v>
      </c>
      <c r="V14" s="960">
        <v>0</v>
      </c>
      <c r="W14" s="960">
        <v>0</v>
      </c>
      <c r="X14" s="960">
        <v>1</v>
      </c>
      <c r="Y14" s="960">
        <v>0</v>
      </c>
      <c r="Z14" s="960">
        <v>0</v>
      </c>
      <c r="AA14" s="960">
        <v>0</v>
      </c>
      <c r="AB14" s="960">
        <v>0</v>
      </c>
      <c r="AC14" s="960">
        <v>0</v>
      </c>
      <c r="AD14" s="960">
        <v>0</v>
      </c>
      <c r="AE14" s="960">
        <v>0</v>
      </c>
      <c r="AF14" s="960">
        <v>2014</v>
      </c>
      <c r="AG14" s="960">
        <v>0</v>
      </c>
      <c r="AH14" s="960">
        <v>0</v>
      </c>
      <c r="AI14" s="960">
        <v>0</v>
      </c>
      <c r="AJ14" s="960">
        <v>0</v>
      </c>
      <c r="AK14" s="960">
        <v>0</v>
      </c>
      <c r="AL14" s="960">
        <v>0</v>
      </c>
      <c r="AM14" s="960">
        <v>0</v>
      </c>
      <c r="AN14" s="960">
        <v>0</v>
      </c>
      <c r="AO14" s="960">
        <v>0</v>
      </c>
      <c r="AP14" s="960">
        <v>0</v>
      </c>
      <c r="AQ14" s="960">
        <v>0</v>
      </c>
      <c r="AR14" s="960">
        <v>1</v>
      </c>
      <c r="AS14" s="960">
        <v>0</v>
      </c>
      <c r="AT14" s="960">
        <v>0</v>
      </c>
      <c r="AU14" s="960">
        <v>0</v>
      </c>
      <c r="AV14" s="960">
        <v>0</v>
      </c>
      <c r="AW14" s="960">
        <v>14.243568514725073</v>
      </c>
      <c r="AX14" s="960">
        <v>14.166836923726073</v>
      </c>
      <c r="AY14" s="960">
        <v>14.19459952046863</v>
      </c>
      <c r="AZ14" s="960">
        <v>14.364191925274701</v>
      </c>
      <c r="BA14" s="960">
        <v>14.550728712744503</v>
      </c>
      <c r="BB14" s="960">
        <v>-2.0815694709227485E-2</v>
      </c>
      <c r="BC14" s="960">
        <v>2.4500492979701624E-2</v>
      </c>
      <c r="BD14" s="960">
        <v>-0.10960311522684166</v>
      </c>
      <c r="BE14" s="960">
        <v>-6.7731426732656683E-2</v>
      </c>
      <c r="BF14" s="960">
        <v>-6.118593226928714E-3</v>
      </c>
      <c r="BG14" s="960">
        <v>0.71543795420384682</v>
      </c>
      <c r="BH14" s="960">
        <v>0.98147400411029573</v>
      </c>
      <c r="BI14" s="960">
        <v>0.80631043329849894</v>
      </c>
      <c r="BJ14" s="960">
        <v>0.6003439152888187</v>
      </c>
      <c r="BK14" s="960">
        <v>0.55432670426035946</v>
      </c>
      <c r="BL14" s="960">
        <v>1.1065877047974313</v>
      </c>
      <c r="BM14" s="960">
        <v>1.1709159498919688</v>
      </c>
      <c r="BN14" s="960">
        <v>1.1619043756133796</v>
      </c>
      <c r="BO14" s="960">
        <v>1.2016687597320599</v>
      </c>
      <c r="BP14" s="960">
        <v>1.0572273249313491</v>
      </c>
      <c r="BQ14" s="960">
        <v>-0.12087959521327585</v>
      </c>
      <c r="BR14" s="960">
        <v>-0.64297230383473658</v>
      </c>
      <c r="BS14" s="960">
        <v>-0.35612919227587286</v>
      </c>
      <c r="BT14" s="960">
        <v>0.25198372903813948</v>
      </c>
      <c r="BU14" s="960">
        <v>394543</v>
      </c>
      <c r="BV14" s="960">
        <v>22483</v>
      </c>
      <c r="BW14" s="960">
        <v>243541</v>
      </c>
      <c r="BX14" s="960">
        <v>575693</v>
      </c>
      <c r="BY14" s="960">
        <v>879326</v>
      </c>
      <c r="BZ14" s="960">
        <v>598015</v>
      </c>
      <c r="CA14" s="960">
        <v>839594</v>
      </c>
      <c r="CB14" s="960">
        <v>612645</v>
      </c>
      <c r="CC14" s="960">
        <v>475868</v>
      </c>
      <c r="CD14" s="960">
        <v>628405</v>
      </c>
      <c r="CE14" s="960">
        <v>-2.0310150301159284E-2</v>
      </c>
      <c r="CF14" s="960">
        <v>-0.24637294375751259</v>
      </c>
      <c r="CG14" s="960">
        <v>-0.26136669686359965</v>
      </c>
      <c r="CH14" s="960">
        <v>-1.7727193644348611E-2</v>
      </c>
      <c r="CI14" s="960">
        <v>-0.22929923723333145</v>
      </c>
      <c r="CJ14" s="960">
        <v>-0.33809103376081118</v>
      </c>
      <c r="CK14" s="960">
        <v>-1.4514525898244791E-2</v>
      </c>
      <c r="CL14" s="960">
        <v>-0.20365194643672929</v>
      </c>
      <c r="CM14" s="960">
        <v>-0.65748682973298134</v>
      </c>
      <c r="CN14" s="960" t="s">
        <v>616</v>
      </c>
      <c r="CO14" s="960">
        <v>2228.6000000000004</v>
      </c>
    </row>
    <row r="15" spans="1:93">
      <c r="A15" s="960">
        <v>1</v>
      </c>
      <c r="B15" s="960" t="s">
        <v>614</v>
      </c>
      <c r="C15" s="960">
        <v>0</v>
      </c>
      <c r="D15" s="960">
        <v>0</v>
      </c>
      <c r="E15" s="960">
        <v>0</v>
      </c>
      <c r="F15" s="960">
        <v>0</v>
      </c>
      <c r="G15" s="960">
        <v>1</v>
      </c>
      <c r="H15" s="960">
        <v>0</v>
      </c>
      <c r="I15" s="960">
        <v>0</v>
      </c>
      <c r="J15" s="960">
        <v>0</v>
      </c>
      <c r="K15" s="960">
        <v>0</v>
      </c>
      <c r="L15" s="960">
        <v>0</v>
      </c>
      <c r="M15" s="960">
        <v>0</v>
      </c>
      <c r="N15" s="960" t="s">
        <v>624</v>
      </c>
      <c r="O15" s="960">
        <v>0</v>
      </c>
      <c r="P15" s="960">
        <v>0</v>
      </c>
      <c r="Q15" s="960">
        <v>0</v>
      </c>
      <c r="R15" s="960">
        <v>0</v>
      </c>
      <c r="S15" s="960">
        <v>0</v>
      </c>
      <c r="T15" s="960">
        <v>0</v>
      </c>
      <c r="U15" s="960">
        <v>0</v>
      </c>
      <c r="V15" s="960">
        <v>0</v>
      </c>
      <c r="W15" s="960">
        <v>0</v>
      </c>
      <c r="X15" s="960">
        <v>0</v>
      </c>
      <c r="Y15" s="960">
        <v>1</v>
      </c>
      <c r="Z15" s="960">
        <v>0</v>
      </c>
      <c r="AA15" s="960">
        <v>0</v>
      </c>
      <c r="AB15" s="960">
        <v>0</v>
      </c>
      <c r="AC15" s="960">
        <v>0</v>
      </c>
      <c r="AD15" s="960">
        <v>0</v>
      </c>
      <c r="AE15" s="960">
        <v>0</v>
      </c>
      <c r="AF15" s="960">
        <v>2018</v>
      </c>
      <c r="AG15" s="960">
        <v>0</v>
      </c>
      <c r="AH15" s="960">
        <v>0</v>
      </c>
      <c r="AI15" s="960">
        <v>0</v>
      </c>
      <c r="AJ15" s="960">
        <v>0</v>
      </c>
      <c r="AK15" s="960">
        <v>0</v>
      </c>
      <c r="AL15" s="960">
        <v>0</v>
      </c>
      <c r="AM15" s="960">
        <v>0</v>
      </c>
      <c r="AN15" s="960">
        <v>0</v>
      </c>
      <c r="AO15" s="960">
        <v>0</v>
      </c>
      <c r="AP15" s="960">
        <v>0</v>
      </c>
      <c r="AQ15" s="960">
        <v>0</v>
      </c>
      <c r="AR15" s="960">
        <v>0</v>
      </c>
      <c r="AS15" s="960">
        <v>0</v>
      </c>
      <c r="AT15" s="960">
        <v>0</v>
      </c>
      <c r="AU15" s="960">
        <v>0</v>
      </c>
      <c r="AV15" s="960">
        <v>1</v>
      </c>
      <c r="AW15" s="960">
        <v>13.127369147549226</v>
      </c>
      <c r="AX15" s="960">
        <v>12.824690332225909</v>
      </c>
      <c r="AY15" s="960">
        <v>12.794745448823448</v>
      </c>
      <c r="AZ15" s="960">
        <v>12.871997269962757</v>
      </c>
      <c r="BA15" s="960">
        <v>12.828650204222868</v>
      </c>
      <c r="BB15" s="960">
        <v>6.3016516484524304E-2</v>
      </c>
      <c r="BC15" s="960">
        <v>4.0046999907229465E-2</v>
      </c>
      <c r="BD15" s="960">
        <v>4.7657530468544394E-2</v>
      </c>
      <c r="BE15" s="960">
        <v>0.10519543360765714</v>
      </c>
      <c r="BF15" s="960">
        <v>0.10802735688773017</v>
      </c>
      <c r="BG15" s="960">
        <v>0.61892188082113919</v>
      </c>
      <c r="BH15" s="960">
        <v>0.53931177928533702</v>
      </c>
      <c r="BI15" s="960">
        <v>0.53585694260627115</v>
      </c>
      <c r="BJ15" s="960">
        <v>0.49556940751616263</v>
      </c>
      <c r="BK15" s="960">
        <v>0.52727117164756065</v>
      </c>
      <c r="BL15" s="960">
        <v>0.53372073562265909</v>
      </c>
      <c r="BM15" s="960">
        <v>0.44935644507403777</v>
      </c>
      <c r="BN15" s="960">
        <v>0.42618953254130459</v>
      </c>
      <c r="BO15" s="960">
        <v>1.3838746802118853</v>
      </c>
      <c r="BP15" s="960">
        <v>1.3578622679146577</v>
      </c>
      <c r="BQ15" s="960">
        <v>-0.1263751311879375</v>
      </c>
      <c r="BR15" s="960">
        <v>-0.26653633087733591</v>
      </c>
      <c r="BS15" s="960">
        <v>-3.3904755399418146E-2</v>
      </c>
      <c r="BT15" s="960">
        <v>8.5857709587104925E-3</v>
      </c>
      <c r="BU15" s="960">
        <v>358792.96562999999</v>
      </c>
      <c r="BV15" s="960">
        <v>380634.69884999999</v>
      </c>
      <c r="BW15" s="960">
        <v>392406.59671499999</v>
      </c>
      <c r="BX15" s="960">
        <v>141886.937814</v>
      </c>
      <c r="BY15" s="960">
        <v>129768.22408000001</v>
      </c>
      <c r="BZ15" s="960">
        <v>347812.83973800001</v>
      </c>
      <c r="CA15" s="960">
        <v>370515.03735</v>
      </c>
      <c r="CB15" s="960">
        <v>394691.07720699999</v>
      </c>
      <c r="CC15" s="960">
        <v>62769.46557</v>
      </c>
      <c r="CD15" s="960">
        <v>61908.309760000004</v>
      </c>
      <c r="CE15" s="960">
        <v>0.65042435857321657</v>
      </c>
      <c r="CF15" s="960">
        <v>0.65235777453505561</v>
      </c>
      <c r="CG15" s="960">
        <v>4.3507243813353295E-2</v>
      </c>
      <c r="CH15" s="960">
        <v>0.48963628543341242</v>
      </c>
      <c r="CI15" s="960">
        <v>0.46886564792058727</v>
      </c>
      <c r="CJ15" s="960">
        <v>4.3624805150472235E-2</v>
      </c>
      <c r="CK15" s="960">
        <v>0.31029686158898384</v>
      </c>
      <c r="CL15" s="960">
        <v>0.28859703013450783</v>
      </c>
      <c r="CM15" s="960">
        <v>4.3760530711647927E-2</v>
      </c>
      <c r="CN15" s="960" t="s">
        <v>614</v>
      </c>
      <c r="CO15" s="960">
        <v>2623.4</v>
      </c>
    </row>
    <row r="16" spans="1:93">
      <c r="A16" s="960">
        <v>1</v>
      </c>
      <c r="B16" s="960" t="s">
        <v>619</v>
      </c>
      <c r="C16" s="960">
        <v>0</v>
      </c>
      <c r="D16" s="960">
        <v>0</v>
      </c>
      <c r="E16" s="960">
        <v>0</v>
      </c>
      <c r="F16" s="960">
        <v>0</v>
      </c>
      <c r="G16" s="960">
        <v>0</v>
      </c>
      <c r="H16" s="960">
        <v>0</v>
      </c>
      <c r="I16" s="960">
        <v>0</v>
      </c>
      <c r="J16" s="960">
        <v>0</v>
      </c>
      <c r="K16" s="960">
        <v>0</v>
      </c>
      <c r="L16" s="960">
        <v>0</v>
      </c>
      <c r="M16" s="960">
        <v>1</v>
      </c>
      <c r="N16" s="960" t="s">
        <v>623</v>
      </c>
      <c r="O16" s="960">
        <v>0</v>
      </c>
      <c r="P16" s="960">
        <v>0</v>
      </c>
      <c r="Q16" s="960">
        <v>0</v>
      </c>
      <c r="R16" s="960">
        <v>0</v>
      </c>
      <c r="S16" s="960">
        <v>0</v>
      </c>
      <c r="T16" s="960">
        <v>0</v>
      </c>
      <c r="U16" s="960">
        <v>0</v>
      </c>
      <c r="V16" s="960">
        <v>0</v>
      </c>
      <c r="W16" s="960">
        <v>0</v>
      </c>
      <c r="X16" s="960">
        <v>1</v>
      </c>
      <c r="Y16" s="960">
        <v>0</v>
      </c>
      <c r="Z16" s="960">
        <v>0</v>
      </c>
      <c r="AA16" s="960">
        <v>0</v>
      </c>
      <c r="AB16" s="960">
        <v>0</v>
      </c>
      <c r="AC16" s="960">
        <v>0</v>
      </c>
      <c r="AD16" s="960">
        <v>0</v>
      </c>
      <c r="AE16" s="960">
        <v>0</v>
      </c>
      <c r="AF16" s="960">
        <v>2018</v>
      </c>
      <c r="AG16" s="960">
        <v>0</v>
      </c>
      <c r="AH16" s="960">
        <v>0</v>
      </c>
      <c r="AI16" s="960">
        <v>0</v>
      </c>
      <c r="AJ16" s="960">
        <v>0</v>
      </c>
      <c r="AK16" s="960">
        <v>0</v>
      </c>
      <c r="AL16" s="960">
        <v>0</v>
      </c>
      <c r="AM16" s="960">
        <v>0</v>
      </c>
      <c r="AN16" s="960">
        <v>0</v>
      </c>
      <c r="AO16" s="960">
        <v>0</v>
      </c>
      <c r="AP16" s="960">
        <v>0</v>
      </c>
      <c r="AQ16" s="960">
        <v>0</v>
      </c>
      <c r="AR16" s="960">
        <v>0</v>
      </c>
      <c r="AS16" s="960">
        <v>0</v>
      </c>
      <c r="AT16" s="960">
        <v>0</v>
      </c>
      <c r="AU16" s="960">
        <v>0</v>
      </c>
      <c r="AV16" s="960">
        <v>1</v>
      </c>
      <c r="AW16" s="960">
        <v>11.270277424747061</v>
      </c>
      <c r="AX16" s="960">
        <v>11.349827071754406</v>
      </c>
      <c r="AY16" s="960">
        <v>11.684927239524544</v>
      </c>
      <c r="AZ16" s="960">
        <v>11.674409047214658</v>
      </c>
      <c r="BA16" s="960">
        <v>11.70238853743122</v>
      </c>
      <c r="BB16" s="960">
        <v>0.3943040965589597</v>
      </c>
      <c r="BC16" s="960">
        <v>0.30503429336350985</v>
      </c>
      <c r="BD16" s="960">
        <v>0.22842911708380345</v>
      </c>
      <c r="BE16" s="960">
        <v>0.32789448690143541</v>
      </c>
      <c r="BF16" s="960">
        <v>0.46268774042313349</v>
      </c>
      <c r="BG16" s="960">
        <v>0.92397424677439699</v>
      </c>
      <c r="BH16" s="960">
        <v>0.92537445354600445</v>
      </c>
      <c r="BI16" s="960">
        <v>0.92719219275316167</v>
      </c>
      <c r="BJ16" s="960">
        <v>0.92427448384922795</v>
      </c>
      <c r="BK16" s="960">
        <v>0.92433030779166403</v>
      </c>
      <c r="BL16" s="960">
        <v>1.1822754582850611E-2</v>
      </c>
      <c r="BM16" s="960">
        <v>1.2939049244596856E-2</v>
      </c>
      <c r="BN16" s="960">
        <v>2.1254211752348057E-2</v>
      </c>
      <c r="BO16" s="960">
        <v>1.7639318134164417E-2</v>
      </c>
      <c r="BP16" s="960">
        <v>1.9254195524677997E-2</v>
      </c>
      <c r="BQ16" s="960">
        <v>-4.0535993960774059E-3</v>
      </c>
      <c r="BR16" s="960">
        <v>-5.1047635084531556E-2</v>
      </c>
      <c r="BS16" s="960">
        <v>-1.7461297906676578E-2</v>
      </c>
      <c r="BT16" s="960">
        <v>2.8618849614976405E-3</v>
      </c>
      <c r="BU16" s="960">
        <v>504500.21089515102</v>
      </c>
      <c r="BV16" s="960">
        <v>489950.74953198398</v>
      </c>
      <c r="BW16" s="960">
        <v>406848.17300840502</v>
      </c>
      <c r="BX16" s="960">
        <v>504535.67251093697</v>
      </c>
      <c r="BY16" s="960">
        <v>474984.41134495998</v>
      </c>
      <c r="BZ16" s="960">
        <v>504500.21089515102</v>
      </c>
      <c r="CA16" s="960">
        <v>489950.74953198398</v>
      </c>
      <c r="CB16" s="960">
        <v>406848.17300840502</v>
      </c>
      <c r="CC16" s="960">
        <v>504535.67251093697</v>
      </c>
      <c r="CD16" s="960">
        <v>474984.41134495998</v>
      </c>
      <c r="CE16" s="960">
        <v>0.11773115445548329</v>
      </c>
      <c r="CF16" s="960">
        <v>7.6378946792217448E-2</v>
      </c>
      <c r="CG16" s="960">
        <v>6.6683519370951738E-2</v>
      </c>
      <c r="CH16" s="960">
        <v>0.11773115445548328</v>
      </c>
      <c r="CI16" s="960">
        <v>7.6378946792217448E-2</v>
      </c>
      <c r="CJ16" s="960">
        <v>6.6683519370951738E-2</v>
      </c>
      <c r="CK16" s="960">
        <v>0.11773115445548329</v>
      </c>
      <c r="CL16" s="960">
        <v>7.6378946792217448E-2</v>
      </c>
      <c r="CM16" s="960">
        <v>6.6683519370951738E-2</v>
      </c>
      <c r="CN16" s="960" t="s">
        <v>619</v>
      </c>
      <c r="CO16" s="960">
        <v>2654.6</v>
      </c>
    </row>
    <row r="17" spans="1:93">
      <c r="A17" s="960">
        <v>1</v>
      </c>
      <c r="B17" s="960" t="s">
        <v>614</v>
      </c>
      <c r="C17" s="960">
        <v>0</v>
      </c>
      <c r="D17" s="960">
        <v>0</v>
      </c>
      <c r="E17" s="960">
        <v>0</v>
      </c>
      <c r="F17" s="960">
        <v>0</v>
      </c>
      <c r="G17" s="960">
        <v>1</v>
      </c>
      <c r="H17" s="960">
        <v>0</v>
      </c>
      <c r="I17" s="960">
        <v>0</v>
      </c>
      <c r="J17" s="960">
        <v>0</v>
      </c>
      <c r="K17" s="960">
        <v>0</v>
      </c>
      <c r="L17" s="960">
        <v>0</v>
      </c>
      <c r="M17" s="960">
        <v>0</v>
      </c>
      <c r="N17" s="960" t="s">
        <v>634</v>
      </c>
      <c r="O17" s="960">
        <v>0</v>
      </c>
      <c r="P17" s="960">
        <v>0</v>
      </c>
      <c r="Q17" s="960">
        <v>0</v>
      </c>
      <c r="R17" s="960">
        <v>0</v>
      </c>
      <c r="S17" s="960">
        <v>0</v>
      </c>
      <c r="T17" s="960">
        <v>0</v>
      </c>
      <c r="U17" s="960">
        <v>0</v>
      </c>
      <c r="V17" s="960">
        <v>0</v>
      </c>
      <c r="W17" s="960">
        <v>0</v>
      </c>
      <c r="X17" s="960">
        <v>0</v>
      </c>
      <c r="Y17" s="960">
        <v>0</v>
      </c>
      <c r="Z17" s="960">
        <v>1</v>
      </c>
      <c r="AA17" s="960">
        <v>0</v>
      </c>
      <c r="AB17" s="960">
        <v>0</v>
      </c>
      <c r="AC17" s="960">
        <v>0</v>
      </c>
      <c r="AD17" s="960">
        <v>0</v>
      </c>
      <c r="AE17" s="960">
        <v>0</v>
      </c>
      <c r="AF17" s="960">
        <v>2012</v>
      </c>
      <c r="AG17" s="960">
        <v>0</v>
      </c>
      <c r="AH17" s="960">
        <v>0</v>
      </c>
      <c r="AI17" s="960">
        <v>0</v>
      </c>
      <c r="AJ17" s="960">
        <v>0</v>
      </c>
      <c r="AK17" s="960">
        <v>0</v>
      </c>
      <c r="AL17" s="960">
        <v>0</v>
      </c>
      <c r="AM17" s="960">
        <v>0</v>
      </c>
      <c r="AN17" s="960">
        <v>0</v>
      </c>
      <c r="AO17" s="960">
        <v>0</v>
      </c>
      <c r="AP17" s="960">
        <v>1</v>
      </c>
      <c r="AQ17" s="960">
        <v>0</v>
      </c>
      <c r="AR17" s="960">
        <v>0</v>
      </c>
      <c r="AS17" s="960">
        <v>0</v>
      </c>
      <c r="AT17" s="960">
        <v>0</v>
      </c>
      <c r="AU17" s="960">
        <v>0</v>
      </c>
      <c r="AV17" s="960">
        <v>0</v>
      </c>
      <c r="AW17" s="960">
        <v>8.9466178663838001</v>
      </c>
      <c r="AX17" s="960">
        <v>8.3363578218121841</v>
      </c>
      <c r="AY17" s="960">
        <v>8.3923371693876785</v>
      </c>
      <c r="AZ17" s="960">
        <v>8.4087077488954058</v>
      </c>
      <c r="BA17" s="960">
        <v>8.2968183289037931</v>
      </c>
      <c r="BB17" s="960">
        <v>-0.27749433605810903</v>
      </c>
      <c r="BC17" s="960">
        <v>-5.4617399492252483</v>
      </c>
      <c r="BD17" s="960">
        <v>-1.5000000186346263</v>
      </c>
      <c r="BE17" s="960">
        <v>-1.6176470964904832</v>
      </c>
      <c r="BF17" s="960">
        <v>0.87096772179637183</v>
      </c>
      <c r="BG17" s="960">
        <v>0.73525387121816688</v>
      </c>
      <c r="BH17" s="960">
        <v>0.73948967829543233</v>
      </c>
      <c r="BI17" s="960">
        <v>0.64859133617857245</v>
      </c>
      <c r="BJ17" s="960">
        <v>0.57794015306229773</v>
      </c>
      <c r="BK17" s="960">
        <v>0.46730930381713154</v>
      </c>
      <c r="BL17" s="960">
        <v>1.9624421554664099E-2</v>
      </c>
      <c r="BM17" s="960">
        <v>9.2023881889246439E-3</v>
      </c>
      <c r="BN17" s="960">
        <v>9.694032048110722E-3</v>
      </c>
      <c r="BO17" s="960">
        <v>1.1830201645575003E-2</v>
      </c>
      <c r="BP17" s="960">
        <v>1.2992456189108938E-2</v>
      </c>
      <c r="BQ17" s="960">
        <v>-2.5857058220378131E-2</v>
      </c>
      <c r="BR17" s="960">
        <v>-6.2622426060959233E-2</v>
      </c>
      <c r="BS17" s="960">
        <v>9.5518840483884954E-2</v>
      </c>
      <c r="BT17" s="960">
        <v>0.18128203236144091</v>
      </c>
      <c r="BU17" s="960">
        <v>103633.346992929</v>
      </c>
      <c r="BV17" s="960">
        <v>118129.560047359</v>
      </c>
      <c r="BW17" s="960">
        <v>159975.596007249</v>
      </c>
      <c r="BX17" s="960">
        <v>159911.27426799701</v>
      </c>
      <c r="BY17" s="960">
        <v>164454.691622124</v>
      </c>
      <c r="BZ17" s="960">
        <v>31300.123161826901</v>
      </c>
      <c r="CA17" s="960">
        <v>35669.061524065401</v>
      </c>
      <c r="CB17" s="960">
        <v>41510.908979121094</v>
      </c>
      <c r="CC17" s="960">
        <v>42616.6184284173</v>
      </c>
      <c r="CD17" s="960">
        <v>24713.490178484699</v>
      </c>
      <c r="CE17" s="960">
        <v>0.14136125580178271</v>
      </c>
      <c r="CF17" s="960">
        <v>-0.17027863958381551</v>
      </c>
      <c r="CG17" s="960">
        <v>-0.15946843935433613</v>
      </c>
      <c r="CH17" s="960">
        <v>7.7375440044854985E-2</v>
      </c>
      <c r="CI17" s="960">
        <v>-0.11758886908711189</v>
      </c>
      <c r="CJ17" s="960">
        <v>-0.11797089636932956</v>
      </c>
      <c r="CK17" s="960">
        <v>2.1243115489236901E-2</v>
      </c>
      <c r="CL17" s="960">
        <v>-4.5379538390094239E-2</v>
      </c>
      <c r="CM17" s="960">
        <v>-4.1379310571722332E-2</v>
      </c>
      <c r="CN17" s="960" t="s">
        <v>614</v>
      </c>
      <c r="CO17" s="960">
        <v>2018</v>
      </c>
    </row>
    <row r="18" spans="1:93">
      <c r="A18" s="960">
        <v>1</v>
      </c>
      <c r="B18" s="960" t="s">
        <v>612</v>
      </c>
      <c r="C18" s="960">
        <v>0</v>
      </c>
      <c r="D18" s="960">
        <v>0</v>
      </c>
      <c r="E18" s="960">
        <v>1</v>
      </c>
      <c r="F18" s="960">
        <v>0</v>
      </c>
      <c r="G18" s="960">
        <v>0</v>
      </c>
      <c r="H18" s="960">
        <v>0</v>
      </c>
      <c r="I18" s="960">
        <v>0</v>
      </c>
      <c r="J18" s="960">
        <v>0</v>
      </c>
      <c r="K18" s="960">
        <v>0</v>
      </c>
      <c r="L18" s="960">
        <v>0</v>
      </c>
      <c r="M18" s="960">
        <v>0</v>
      </c>
      <c r="N18" s="960" t="s">
        <v>576</v>
      </c>
      <c r="O18" s="960">
        <v>1</v>
      </c>
      <c r="P18" s="960">
        <v>0</v>
      </c>
      <c r="Q18" s="960">
        <v>0</v>
      </c>
      <c r="R18" s="960">
        <v>0</v>
      </c>
      <c r="S18" s="960">
        <v>0</v>
      </c>
      <c r="T18" s="960">
        <v>0</v>
      </c>
      <c r="U18" s="960">
        <v>0</v>
      </c>
      <c r="V18" s="960">
        <v>0</v>
      </c>
      <c r="W18" s="960">
        <v>0</v>
      </c>
      <c r="X18" s="960">
        <v>0</v>
      </c>
      <c r="Y18" s="960">
        <v>0</v>
      </c>
      <c r="Z18" s="960">
        <v>0</v>
      </c>
      <c r="AA18" s="960">
        <v>0</v>
      </c>
      <c r="AB18" s="960">
        <v>0</v>
      </c>
      <c r="AC18" s="960">
        <v>0</v>
      </c>
      <c r="AD18" s="960">
        <v>0</v>
      </c>
      <c r="AE18" s="960">
        <v>0</v>
      </c>
      <c r="AF18" s="960">
        <v>2013</v>
      </c>
      <c r="AG18" s="960">
        <v>0</v>
      </c>
      <c r="AH18" s="960">
        <v>0</v>
      </c>
      <c r="AI18" s="960">
        <v>0</v>
      </c>
      <c r="AJ18" s="960">
        <v>0</v>
      </c>
      <c r="AK18" s="960">
        <v>0</v>
      </c>
      <c r="AL18" s="960">
        <v>0</v>
      </c>
      <c r="AM18" s="960">
        <v>0</v>
      </c>
      <c r="AN18" s="960">
        <v>0</v>
      </c>
      <c r="AO18" s="960">
        <v>0</v>
      </c>
      <c r="AP18" s="960">
        <v>0</v>
      </c>
      <c r="AQ18" s="960">
        <v>1</v>
      </c>
      <c r="AR18" s="960">
        <v>0</v>
      </c>
      <c r="AS18" s="960">
        <v>0</v>
      </c>
      <c r="AT18" s="960">
        <v>0</v>
      </c>
      <c r="AU18" s="960">
        <v>0</v>
      </c>
      <c r="AV18" s="960">
        <v>0</v>
      </c>
      <c r="AW18" s="960">
        <v>12.377080442423855</v>
      </c>
      <c r="AX18" s="960">
        <v>12.812572019364447</v>
      </c>
      <c r="AY18" s="960">
        <v>12.679196402112153</v>
      </c>
      <c r="AZ18" s="960">
        <v>12.428015476267865</v>
      </c>
      <c r="BA18" s="960">
        <v>12.063356343328579</v>
      </c>
      <c r="BB18" s="960">
        <v>-0.36072482090181207</v>
      </c>
      <c r="BC18" s="960">
        <v>-0.41139585605234458</v>
      </c>
      <c r="BD18" s="960">
        <v>-0.36915887850467288</v>
      </c>
      <c r="BE18" s="960">
        <v>-0.41529835802963555</v>
      </c>
      <c r="BF18" s="960">
        <v>-0.17877739331026529</v>
      </c>
      <c r="BG18" s="960">
        <v>0.79879107452896925</v>
      </c>
      <c r="BH18" s="960">
        <v>0.76854650168215777</v>
      </c>
      <c r="BI18" s="960">
        <v>0.7199738903394256</v>
      </c>
      <c r="BJ18" s="960">
        <v>0.6840864984751871</v>
      </c>
      <c r="BK18" s="960">
        <v>0.61481653776821543</v>
      </c>
      <c r="BL18" s="960">
        <v>0.15259468844447302</v>
      </c>
      <c r="BM18" s="960">
        <v>0.20915778069225066</v>
      </c>
      <c r="BN18" s="960">
        <v>0.16117694316127737</v>
      </c>
      <c r="BO18" s="960">
        <v>0.11537750669993531</v>
      </c>
      <c r="BP18" s="960">
        <v>0.10083154038495086</v>
      </c>
      <c r="BQ18" s="960">
        <v>-4.1473499624748299E-2</v>
      </c>
      <c r="BR18" s="960">
        <v>-0.1656803109562307</v>
      </c>
      <c r="BS18" s="960">
        <v>0.6158400587835744</v>
      </c>
      <c r="BT18" s="960">
        <v>0.10515735257121017</v>
      </c>
      <c r="BU18" s="960">
        <v>312900</v>
      </c>
      <c r="BV18" s="960">
        <v>405900</v>
      </c>
      <c r="BW18" s="960">
        <v>557700</v>
      </c>
      <c r="BX18" s="960">
        <v>683700</v>
      </c>
      <c r="BY18" s="960">
        <v>662400</v>
      </c>
      <c r="BZ18" s="960">
        <v>801200</v>
      </c>
      <c r="CA18" s="960">
        <v>939400</v>
      </c>
      <c r="CB18" s="960">
        <v>1188400</v>
      </c>
      <c r="CC18" s="960">
        <v>1196200</v>
      </c>
      <c r="CD18" s="960">
        <v>790900</v>
      </c>
      <c r="CE18" s="960">
        <v>-3.919585282589455E-2</v>
      </c>
      <c r="CF18" s="960">
        <v>-8.6691188764420668E-2</v>
      </c>
      <c r="CG18" s="960">
        <v>-9.971390104341972E-2</v>
      </c>
      <c r="CH18" s="960">
        <v>-4.2124658482769264E-2</v>
      </c>
      <c r="CI18" s="960">
        <v>-0.10722036085654042</v>
      </c>
      <c r="CJ18" s="960">
        <v>-0.13129130483337997</v>
      </c>
      <c r="CK18" s="960">
        <v>-4.679951690821256E-2</v>
      </c>
      <c r="CL18" s="960">
        <v>-0.15167471113061284</v>
      </c>
      <c r="CM18" s="960">
        <v>-0.21247982786444325</v>
      </c>
      <c r="CN18" s="960" t="s">
        <v>612</v>
      </c>
      <c r="CO18" s="960">
        <v>2110.5</v>
      </c>
    </row>
    <row r="19" spans="1:93">
      <c r="A19" s="960">
        <v>1</v>
      </c>
      <c r="B19" s="960" t="s">
        <v>620</v>
      </c>
      <c r="C19" s="960">
        <v>0</v>
      </c>
      <c r="D19" s="960">
        <v>0</v>
      </c>
      <c r="E19" s="960">
        <v>0</v>
      </c>
      <c r="F19" s="960">
        <v>0</v>
      </c>
      <c r="G19" s="960">
        <v>0</v>
      </c>
      <c r="H19" s="960">
        <v>0</v>
      </c>
      <c r="I19" s="960">
        <v>0</v>
      </c>
      <c r="J19" s="960">
        <v>0</v>
      </c>
      <c r="K19" s="960">
        <v>1</v>
      </c>
      <c r="L19" s="960">
        <v>0</v>
      </c>
      <c r="M19" s="960">
        <v>0</v>
      </c>
      <c r="N19" s="960" t="s">
        <v>629</v>
      </c>
      <c r="O19" s="960">
        <v>0</v>
      </c>
      <c r="P19" s="960">
        <v>0</v>
      </c>
      <c r="Q19" s="960">
        <v>0</v>
      </c>
      <c r="R19" s="960">
        <v>0</v>
      </c>
      <c r="S19" s="960">
        <v>1</v>
      </c>
      <c r="T19" s="960">
        <v>0</v>
      </c>
      <c r="U19" s="960">
        <v>0</v>
      </c>
      <c r="V19" s="960">
        <v>0</v>
      </c>
      <c r="W19" s="960">
        <v>0</v>
      </c>
      <c r="X19" s="960">
        <v>0</v>
      </c>
      <c r="Y19" s="960">
        <v>0</v>
      </c>
      <c r="Z19" s="960">
        <v>0</v>
      </c>
      <c r="AA19" s="960">
        <v>0</v>
      </c>
      <c r="AB19" s="960">
        <v>0</v>
      </c>
      <c r="AC19" s="960">
        <v>0</v>
      </c>
      <c r="AD19" s="960">
        <v>0</v>
      </c>
      <c r="AE19" s="960">
        <v>0</v>
      </c>
      <c r="AF19" s="960">
        <v>2012</v>
      </c>
      <c r="AG19" s="960">
        <v>0</v>
      </c>
      <c r="AH19" s="960">
        <v>0</v>
      </c>
      <c r="AI19" s="960">
        <v>0</v>
      </c>
      <c r="AJ19" s="960">
        <v>0</v>
      </c>
      <c r="AK19" s="960">
        <v>0</v>
      </c>
      <c r="AL19" s="960">
        <v>0</v>
      </c>
      <c r="AM19" s="960">
        <v>0</v>
      </c>
      <c r="AN19" s="960">
        <v>0</v>
      </c>
      <c r="AO19" s="960">
        <v>0</v>
      </c>
      <c r="AP19" s="960">
        <v>1</v>
      </c>
      <c r="AQ19" s="960">
        <v>0</v>
      </c>
      <c r="AR19" s="960">
        <v>0</v>
      </c>
      <c r="AS19" s="960">
        <v>0</v>
      </c>
      <c r="AT19" s="960">
        <v>0</v>
      </c>
      <c r="AU19" s="960">
        <v>0</v>
      </c>
      <c r="AV19" s="960">
        <v>0</v>
      </c>
      <c r="AW19" s="960">
        <v>11.546410711111042</v>
      </c>
      <c r="AX19" s="960">
        <v>10.456130468113511</v>
      </c>
      <c r="AY19" s="960">
        <v>10.911484480118032</v>
      </c>
      <c r="AZ19" s="960">
        <v>10.770640841221686</v>
      </c>
      <c r="BA19" s="960">
        <v>10.782805980878782</v>
      </c>
      <c r="BB19" s="960">
        <v>9.8792535675082602E-3</v>
      </c>
      <c r="BC19" s="960">
        <v>2.5007454219475467E-2</v>
      </c>
      <c r="BD19" s="960">
        <v>-0.15612985711155866</v>
      </c>
      <c r="BE19" s="960">
        <v>-7.4494806634835015E-2</v>
      </c>
      <c r="BF19" s="960">
        <v>-0.81599215602035846</v>
      </c>
      <c r="BG19" s="960">
        <v>0.46622613803230517</v>
      </c>
      <c r="BH19" s="960">
        <v>0.49530157785860063</v>
      </c>
      <c r="BI19" s="960">
        <v>0.71210415344619393</v>
      </c>
      <c r="BJ19" s="960">
        <v>0.90407792055389236</v>
      </c>
      <c r="BK19" s="960">
        <v>1.3313138336579868</v>
      </c>
      <c r="BL19" s="960">
        <v>0.66886930983847048</v>
      </c>
      <c r="BM19" s="960">
        <v>1.7458052216708777</v>
      </c>
      <c r="BN19" s="960">
        <v>1.7051698020511319</v>
      </c>
      <c r="BO19" s="960">
        <v>0.62229889104031044</v>
      </c>
      <c r="BP19" s="960">
        <v>0.49188706480634142</v>
      </c>
      <c r="BQ19" s="960">
        <v>0.13514806898466436</v>
      </c>
      <c r="BR19" s="960">
        <v>-2.1362045520278281</v>
      </c>
      <c r="BS19" s="960">
        <v>0.12867849923925018</v>
      </c>
      <c r="BT19" s="960">
        <v>-0.6192096802117929</v>
      </c>
      <c r="BU19" s="960">
        <v>82519.861713051796</v>
      </c>
      <c r="BV19" s="960">
        <v>10047.9143223763</v>
      </c>
      <c r="BW19" s="960">
        <v>9252.6314907073993</v>
      </c>
      <c r="BX19" s="960">
        <v>7337.5224307179496</v>
      </c>
      <c r="BY19" s="960">
        <v>-32455.425308108301</v>
      </c>
      <c r="BZ19" s="960">
        <v>22474.460273981102</v>
      </c>
      <c r="CA19" s="960">
        <v>720.18845824897301</v>
      </c>
      <c r="CB19" s="960">
        <v>2259.7039258181999</v>
      </c>
      <c r="CC19" s="960">
        <v>15130.5206237733</v>
      </c>
      <c r="CD19" s="960">
        <v>67011.685314774499</v>
      </c>
      <c r="CE19" s="960">
        <v>-0.58674389636273117</v>
      </c>
      <c r="CF19" s="960">
        <v>-0.23436999418583995</v>
      </c>
      <c r="CG19" s="960">
        <v>-3.7864473396899414</v>
      </c>
      <c r="CH19" s="960">
        <v>-1.1825162525719444</v>
      </c>
      <c r="CI19" s="960">
        <v>-0.25824677254088241</v>
      </c>
      <c r="CJ19" s="960">
        <v>-2.9625727949436866</v>
      </c>
      <c r="CK19" s="960">
        <v>1.2114676350767479</v>
      </c>
      <c r="CL19" s="960">
        <v>-0.48328847565451372</v>
      </c>
      <c r="CM19" s="960">
        <v>-0.9247369169510804</v>
      </c>
      <c r="CN19" s="960" t="s">
        <v>620</v>
      </c>
      <c r="CO19" s="960">
        <v>2034</v>
      </c>
    </row>
    <row r="20" spans="1:93">
      <c r="A20" s="960">
        <v>1</v>
      </c>
      <c r="B20" s="960" t="s">
        <v>614</v>
      </c>
      <c r="C20" s="960">
        <v>0</v>
      </c>
      <c r="D20" s="960">
        <v>0</v>
      </c>
      <c r="E20" s="960">
        <v>0</v>
      </c>
      <c r="F20" s="960">
        <v>0</v>
      </c>
      <c r="G20" s="960">
        <v>1</v>
      </c>
      <c r="H20" s="960">
        <v>0</v>
      </c>
      <c r="I20" s="960">
        <v>0</v>
      </c>
      <c r="J20" s="960">
        <v>0</v>
      </c>
      <c r="K20" s="960">
        <v>0</v>
      </c>
      <c r="L20" s="960">
        <v>0</v>
      </c>
      <c r="M20" s="960">
        <v>0</v>
      </c>
      <c r="N20" s="960" t="s">
        <v>624</v>
      </c>
      <c r="O20" s="960">
        <v>0</v>
      </c>
      <c r="P20" s="960">
        <v>0</v>
      </c>
      <c r="Q20" s="960">
        <v>0</v>
      </c>
      <c r="R20" s="960">
        <v>0</v>
      </c>
      <c r="S20" s="960">
        <v>0</v>
      </c>
      <c r="T20" s="960">
        <v>0</v>
      </c>
      <c r="U20" s="960">
        <v>0</v>
      </c>
      <c r="V20" s="960">
        <v>0</v>
      </c>
      <c r="W20" s="960">
        <v>0</v>
      </c>
      <c r="X20" s="960">
        <v>0</v>
      </c>
      <c r="Y20" s="960">
        <v>1</v>
      </c>
      <c r="Z20" s="960">
        <v>0</v>
      </c>
      <c r="AA20" s="960">
        <v>0</v>
      </c>
      <c r="AB20" s="960">
        <v>0</v>
      </c>
      <c r="AC20" s="960">
        <v>0</v>
      </c>
      <c r="AD20" s="960">
        <v>0</v>
      </c>
      <c r="AE20" s="960">
        <v>0</v>
      </c>
      <c r="AF20" s="960">
        <v>2016</v>
      </c>
      <c r="AG20" s="960">
        <v>0</v>
      </c>
      <c r="AH20" s="960">
        <v>0</v>
      </c>
      <c r="AI20" s="960">
        <v>0</v>
      </c>
      <c r="AJ20" s="960">
        <v>0</v>
      </c>
      <c r="AK20" s="960">
        <v>0</v>
      </c>
      <c r="AL20" s="960">
        <v>0</v>
      </c>
      <c r="AM20" s="960">
        <v>0</v>
      </c>
      <c r="AN20" s="960">
        <v>0</v>
      </c>
      <c r="AO20" s="960">
        <v>0</v>
      </c>
      <c r="AP20" s="960">
        <v>0</v>
      </c>
      <c r="AQ20" s="960">
        <v>0</v>
      </c>
      <c r="AR20" s="960">
        <v>0</v>
      </c>
      <c r="AS20" s="960">
        <v>0</v>
      </c>
      <c r="AT20" s="960">
        <v>1</v>
      </c>
      <c r="AU20" s="960">
        <v>0</v>
      </c>
      <c r="AV20" s="960">
        <v>0</v>
      </c>
      <c r="AW20" s="960">
        <v>9.9762319090196829</v>
      </c>
      <c r="AX20" s="960">
        <v>9.9606376540427561</v>
      </c>
      <c r="AY20" s="960">
        <v>10.355055696395604</v>
      </c>
      <c r="AZ20" s="960">
        <v>10.382549503273609</v>
      </c>
      <c r="BA20" s="960">
        <v>10.246698802221225</v>
      </c>
      <c r="BB20" s="960">
        <v>-8.1953931691818763E-2</v>
      </c>
      <c r="BC20" s="960">
        <v>3.8098705589549142E-2</v>
      </c>
      <c r="BD20" s="960">
        <v>-6.6423439735422876E-2</v>
      </c>
      <c r="BE20" s="960">
        <v>-3.7600143703969892E-2</v>
      </c>
      <c r="BF20" s="960">
        <v>-4.1470033984569991E-2</v>
      </c>
      <c r="BG20" s="960">
        <v>0.57643165683004027</v>
      </c>
      <c r="BH20" s="960">
        <v>0.53745849458159367</v>
      </c>
      <c r="BI20" s="960">
        <v>0.60893583635966719</v>
      </c>
      <c r="BJ20" s="960">
        <v>0.63246080578440689</v>
      </c>
      <c r="BK20" s="960">
        <v>0.57075615491812959</v>
      </c>
      <c r="BL20" s="960">
        <v>1.0095907108031821</v>
      </c>
      <c r="BM20" s="960">
        <v>0.85698851120704411</v>
      </c>
      <c r="BN20" s="960">
        <v>1.0430574989687538</v>
      </c>
      <c r="BO20" s="960">
        <v>0.96760176591232883</v>
      </c>
      <c r="BP20" s="960">
        <v>0.90127453257461565</v>
      </c>
      <c r="BQ20" s="960">
        <v>-3.1907581428035195E-2</v>
      </c>
      <c r="BR20" s="960">
        <v>-9.0092711138624326E-2</v>
      </c>
      <c r="BS20" s="960">
        <v>0.10835689417437987</v>
      </c>
      <c r="BT20" s="960">
        <v>3.8179681441537605E-2</v>
      </c>
      <c r="BU20" s="960">
        <v>9024.0317871198095</v>
      </c>
      <c r="BV20" s="960">
        <v>11429.4591331184</v>
      </c>
      <c r="BW20" s="960">
        <v>11778.319174796299</v>
      </c>
      <c r="BX20" s="960">
        <v>12265.6611834466</v>
      </c>
      <c r="BY20" s="960">
        <v>13425.5388219506</v>
      </c>
      <c r="BZ20" s="960">
        <v>3011.3894870877298</v>
      </c>
      <c r="CA20" s="960">
        <v>2603.5673152655399</v>
      </c>
      <c r="CB20" s="960">
        <v>4720.7064762934997</v>
      </c>
      <c r="CC20" s="960">
        <v>4472.8538029789897</v>
      </c>
      <c r="CD20" s="960">
        <v>6885.2438674718096</v>
      </c>
      <c r="CE20" s="960">
        <v>-0.16978519263423408</v>
      </c>
      <c r="CF20" s="960">
        <v>-0.27144932046892861</v>
      </c>
      <c r="CG20" s="960">
        <v>-0.44203627731764578</v>
      </c>
      <c r="CH20" s="960">
        <v>-0.13428182920524565</v>
      </c>
      <c r="CI20" s="960">
        <v>-0.20806302139992694</v>
      </c>
      <c r="CJ20" s="960">
        <v>-0.33845519715306632</v>
      </c>
      <c r="CK20" s="960">
        <v>-8.7073783173682251E-2</v>
      </c>
      <c r="CL20" s="960">
        <v>-9.8987988272014035E-2</v>
      </c>
      <c r="CM20" s="960">
        <v>-0.17716649431230658</v>
      </c>
      <c r="CN20" s="960" t="s">
        <v>614</v>
      </c>
      <c r="CO20" s="960">
        <v>2421.6</v>
      </c>
    </row>
    <row r="21" spans="1:93">
      <c r="A21" s="960">
        <v>1</v>
      </c>
      <c r="B21" s="960" t="s">
        <v>614</v>
      </c>
      <c r="C21" s="960">
        <v>0</v>
      </c>
      <c r="D21" s="960">
        <v>0</v>
      </c>
      <c r="E21" s="960">
        <v>0</v>
      </c>
      <c r="F21" s="960">
        <v>0</v>
      </c>
      <c r="G21" s="960">
        <v>1</v>
      </c>
      <c r="H21" s="960">
        <v>0</v>
      </c>
      <c r="I21" s="960">
        <v>0</v>
      </c>
      <c r="J21" s="960">
        <v>0</v>
      </c>
      <c r="K21" s="960">
        <v>0</v>
      </c>
      <c r="L21" s="960">
        <v>0</v>
      </c>
      <c r="M21" s="960">
        <v>0</v>
      </c>
      <c r="N21" s="960" t="s">
        <v>631</v>
      </c>
      <c r="O21" s="960">
        <v>0</v>
      </c>
      <c r="P21" s="960">
        <v>0</v>
      </c>
      <c r="Q21" s="960">
        <v>0</v>
      </c>
      <c r="R21" s="960">
        <v>0</v>
      </c>
      <c r="S21" s="960">
        <v>0</v>
      </c>
      <c r="T21" s="960">
        <v>0</v>
      </c>
      <c r="U21" s="960">
        <v>1</v>
      </c>
      <c r="V21" s="960">
        <v>0</v>
      </c>
      <c r="W21" s="960">
        <v>0</v>
      </c>
      <c r="X21" s="960">
        <v>0</v>
      </c>
      <c r="Y21" s="960">
        <v>0</v>
      </c>
      <c r="Z21" s="960">
        <v>0</v>
      </c>
      <c r="AA21" s="960">
        <v>0</v>
      </c>
      <c r="AB21" s="960">
        <v>0</v>
      </c>
      <c r="AC21" s="960">
        <v>0</v>
      </c>
      <c r="AD21" s="960">
        <v>0</v>
      </c>
      <c r="AE21" s="960">
        <v>0</v>
      </c>
      <c r="AF21" s="960">
        <v>2012</v>
      </c>
      <c r="AG21" s="960">
        <v>0</v>
      </c>
      <c r="AH21" s="960">
        <v>0</v>
      </c>
      <c r="AI21" s="960">
        <v>0</v>
      </c>
      <c r="AJ21" s="960">
        <v>0</v>
      </c>
      <c r="AK21" s="960">
        <v>0</v>
      </c>
      <c r="AL21" s="960">
        <v>0</v>
      </c>
      <c r="AM21" s="960">
        <v>0</v>
      </c>
      <c r="AN21" s="960">
        <v>0</v>
      </c>
      <c r="AO21" s="960">
        <v>0</v>
      </c>
      <c r="AP21" s="960">
        <v>1</v>
      </c>
      <c r="AQ21" s="960">
        <v>0</v>
      </c>
      <c r="AR21" s="960">
        <v>0</v>
      </c>
      <c r="AS21" s="960">
        <v>0</v>
      </c>
      <c r="AT21" s="960">
        <v>0</v>
      </c>
      <c r="AU21" s="960">
        <v>0</v>
      </c>
      <c r="AV21" s="960">
        <v>0</v>
      </c>
      <c r="AW21" s="960">
        <v>11.731614222874246</v>
      </c>
      <c r="AX21" s="960">
        <v>12.302036070650582</v>
      </c>
      <c r="AY21" s="960">
        <v>12.606076251127428</v>
      </c>
      <c r="AZ21" s="960">
        <v>12.624918605440865</v>
      </c>
      <c r="BA21" s="960">
        <v>12.590581812589056</v>
      </c>
      <c r="BB21" s="960">
        <v>-0.12080961669385222</v>
      </c>
      <c r="BC21" s="960">
        <v>-0.14662047241361356</v>
      </c>
      <c r="BD21" s="960">
        <v>0.30726079726446093</v>
      </c>
      <c r="BE21" s="960">
        <v>0.1747291291929772</v>
      </c>
      <c r="BF21" s="960">
        <v>0.10691128033100415</v>
      </c>
      <c r="BG21" s="960">
        <v>0.86598125719992003</v>
      </c>
      <c r="BH21" s="960">
        <v>0.81544934505673605</v>
      </c>
      <c r="BI21" s="960">
        <v>0.56296204457806087</v>
      </c>
      <c r="BJ21" s="960">
        <v>0.60209459127960363</v>
      </c>
      <c r="BK21" s="960">
        <v>0.69767100467275922</v>
      </c>
      <c r="BL21" s="960">
        <v>1.0596991716058954</v>
      </c>
      <c r="BM21" s="960">
        <v>1.0281441960681099</v>
      </c>
      <c r="BN21" s="960">
        <v>1.3494335333472973</v>
      </c>
      <c r="BO21" s="960">
        <v>0.61974354661227804</v>
      </c>
      <c r="BP21" s="960">
        <v>0.48586475581731942</v>
      </c>
      <c r="BQ21" s="960">
        <v>0.36268360019954882</v>
      </c>
      <c r="BR21" s="960">
        <v>0.77690891586083588</v>
      </c>
      <c r="BS21" s="960">
        <v>1.5494438538372445E-2</v>
      </c>
      <c r="BT21" s="960">
        <v>-0.13470896009469835</v>
      </c>
      <c r="BU21" s="960">
        <v>15738.440392</v>
      </c>
      <c r="BV21" s="960">
        <v>39515.701289999997</v>
      </c>
      <c r="BW21" s="960">
        <v>96631.119709000006</v>
      </c>
      <c r="BX21" s="960">
        <v>195209.21463599999</v>
      </c>
      <c r="BY21" s="960">
        <v>182803.543164</v>
      </c>
      <c r="BZ21" s="960">
        <v>78608.846313999995</v>
      </c>
      <c r="CA21" s="960">
        <v>81952.471634999994</v>
      </c>
      <c r="CB21" s="960">
        <v>25181.297430999999</v>
      </c>
      <c r="CC21" s="960">
        <v>149580.06926399999</v>
      </c>
      <c r="CD21" s="960">
        <v>235281.12022800001</v>
      </c>
      <c r="CE21" s="960">
        <v>0.13349243543877945</v>
      </c>
      <c r="CF21" s="960">
        <v>0.35516001636713884</v>
      </c>
      <c r="CG21" s="960">
        <v>3.6406456018878517</v>
      </c>
      <c r="CH21" s="960">
        <v>0.14507822466092701</v>
      </c>
      <c r="CI21" s="960">
        <v>0.3221271751159604</v>
      </c>
      <c r="CJ21" s="960">
        <v>2.464173314934599</v>
      </c>
      <c r="CK21" s="960">
        <v>0.17181422858867931</v>
      </c>
      <c r="CL21" s="960">
        <v>0.27214319747692306</v>
      </c>
      <c r="CM21" s="960">
        <v>0.94872314444951522</v>
      </c>
      <c r="CN21" s="960" t="s">
        <v>614</v>
      </c>
      <c r="CO21" s="960">
        <v>2018</v>
      </c>
    </row>
    <row r="22" spans="1:93">
      <c r="A22" s="960">
        <v>1</v>
      </c>
      <c r="B22" s="960" t="s">
        <v>621</v>
      </c>
      <c r="C22" s="960">
        <v>0</v>
      </c>
      <c r="D22" s="960">
        <v>0</v>
      </c>
      <c r="E22" s="960">
        <v>0</v>
      </c>
      <c r="F22" s="960">
        <v>0</v>
      </c>
      <c r="G22" s="960">
        <v>0</v>
      </c>
      <c r="H22" s="960">
        <v>0</v>
      </c>
      <c r="I22" s="960">
        <v>0</v>
      </c>
      <c r="J22" s="960">
        <v>0</v>
      </c>
      <c r="K22" s="960">
        <v>0</v>
      </c>
      <c r="L22" s="960">
        <v>1</v>
      </c>
      <c r="M22" s="960">
        <v>0</v>
      </c>
      <c r="N22" s="960" t="s">
        <v>630</v>
      </c>
      <c r="O22" s="960">
        <v>0</v>
      </c>
      <c r="P22" s="960">
        <v>0</v>
      </c>
      <c r="Q22" s="960">
        <v>0</v>
      </c>
      <c r="R22" s="960">
        <v>0</v>
      </c>
      <c r="S22" s="960">
        <v>0</v>
      </c>
      <c r="T22" s="960">
        <v>1</v>
      </c>
      <c r="U22" s="960">
        <v>0</v>
      </c>
      <c r="V22" s="960">
        <v>0</v>
      </c>
      <c r="W22" s="960">
        <v>0</v>
      </c>
      <c r="X22" s="960">
        <v>0</v>
      </c>
      <c r="Y22" s="960">
        <v>0</v>
      </c>
      <c r="Z22" s="960">
        <v>0</v>
      </c>
      <c r="AA22" s="960">
        <v>0</v>
      </c>
      <c r="AB22" s="960">
        <v>0</v>
      </c>
      <c r="AC22" s="960">
        <v>0</v>
      </c>
      <c r="AD22" s="960">
        <v>0</v>
      </c>
      <c r="AE22" s="960">
        <v>0</v>
      </c>
      <c r="AF22" s="960">
        <v>2007</v>
      </c>
      <c r="AG22" s="960">
        <v>0</v>
      </c>
      <c r="AH22" s="960">
        <v>0</v>
      </c>
      <c r="AI22" s="960">
        <v>0</v>
      </c>
      <c r="AJ22" s="960">
        <v>0</v>
      </c>
      <c r="AK22" s="960">
        <v>1</v>
      </c>
      <c r="AL22" s="960">
        <v>0</v>
      </c>
      <c r="AM22" s="960">
        <v>0</v>
      </c>
      <c r="AN22" s="960">
        <v>0</v>
      </c>
      <c r="AO22" s="960">
        <v>0</v>
      </c>
      <c r="AP22" s="960">
        <v>0</v>
      </c>
      <c r="AQ22" s="960">
        <v>0</v>
      </c>
      <c r="AR22" s="960">
        <v>0</v>
      </c>
      <c r="AS22" s="960">
        <v>0</v>
      </c>
      <c r="AT22" s="960">
        <v>0</v>
      </c>
      <c r="AU22" s="960">
        <v>0</v>
      </c>
      <c r="AV22" s="960">
        <v>0</v>
      </c>
      <c r="AW22" s="960">
        <v>10.171094484482378</v>
      </c>
      <c r="AX22" s="960">
        <v>10.237949663064036</v>
      </c>
      <c r="AY22" s="960">
        <v>12.269771509254101</v>
      </c>
      <c r="AZ22" s="960">
        <v>12.23986716347795</v>
      </c>
      <c r="BA22" s="960">
        <v>12.44804833454431</v>
      </c>
      <c r="BB22" s="960">
        <v>0.14150799888446619</v>
      </c>
      <c r="BC22" s="960">
        <v>0.39851343624928531</v>
      </c>
      <c r="BD22" s="960">
        <v>5.2462887989203788E-2</v>
      </c>
      <c r="BE22" s="960">
        <v>2.9776674937965257E-2</v>
      </c>
      <c r="BF22" s="960">
        <v>7.1756847846069005E-2</v>
      </c>
      <c r="BG22" s="960">
        <v>0.26376275796506327</v>
      </c>
      <c r="BH22" s="960">
        <v>0.22279478629887844</v>
      </c>
      <c r="BI22" s="960">
        <v>0.76096196868008947</v>
      </c>
      <c r="BJ22" s="960">
        <v>0.7384615384615385</v>
      </c>
      <c r="BK22" s="960">
        <v>0.8562041710313304</v>
      </c>
      <c r="BL22" s="960">
        <v>0.41663123704398114</v>
      </c>
      <c r="BM22" s="960">
        <v>0.53016065474386176</v>
      </c>
      <c r="BN22" s="960">
        <v>1.3261744966442952</v>
      </c>
      <c r="BO22" s="960">
        <v>1.86</v>
      </c>
      <c r="BP22" s="960">
        <v>1.5540424721455099</v>
      </c>
      <c r="BQ22" s="960">
        <v>-4.1938245148485917E-2</v>
      </c>
      <c r="BR22" s="960">
        <v>-0.48443445196118834</v>
      </c>
      <c r="BS22" s="960">
        <v>-0.17827682529021005</v>
      </c>
      <c r="BT22" s="960">
        <v>-9.5242202351240923E-2</v>
      </c>
      <c r="BU22" s="960">
        <v>46186.618122</v>
      </c>
      <c r="BV22" s="960">
        <v>40965.027999999998</v>
      </c>
      <c r="BW22" s="960">
        <v>38420.268199999999</v>
      </c>
      <c r="BX22" s="960">
        <v>29089.039999999997</v>
      </c>
      <c r="BY22" s="960">
        <v>23572.308000000001</v>
      </c>
      <c r="BZ22" s="960">
        <v>1853.912251</v>
      </c>
      <c r="CA22" s="960">
        <v>1901.2629999999999</v>
      </c>
      <c r="CB22" s="960">
        <v>7551.0119999999997</v>
      </c>
      <c r="CC22" s="960">
        <v>8555.5999999999985</v>
      </c>
      <c r="CD22" s="960">
        <v>15782.5188</v>
      </c>
      <c r="CE22" s="960">
        <v>1.1582591493570722</v>
      </c>
      <c r="CF22" s="960">
        <v>0.72000000000000008</v>
      </c>
      <c r="CG22" s="960">
        <v>1.480952380952381</v>
      </c>
      <c r="CH22" s="960">
        <v>1.1032195040348003</v>
      </c>
      <c r="CI22" s="960">
        <v>0.58707692307692316</v>
      </c>
      <c r="CJ22" s="960">
        <v>1.1965233834025781</v>
      </c>
      <c r="CK22" s="960">
        <v>0.77549668874172184</v>
      </c>
      <c r="CL22" s="960">
        <v>0.21176470588235294</v>
      </c>
      <c r="CM22" s="960">
        <v>0.2910622367805335</v>
      </c>
      <c r="CN22" s="960" t="s">
        <v>621</v>
      </c>
      <c r="CO22" s="960">
        <v>1528.5</v>
      </c>
    </row>
    <row r="23" spans="1:93">
      <c r="A23" s="960">
        <v>1</v>
      </c>
      <c r="B23" s="960" t="s">
        <v>619</v>
      </c>
      <c r="C23" s="960">
        <v>0</v>
      </c>
      <c r="D23" s="960">
        <v>0</v>
      </c>
      <c r="E23" s="960">
        <v>0</v>
      </c>
      <c r="F23" s="960">
        <v>0</v>
      </c>
      <c r="G23" s="960">
        <v>0</v>
      </c>
      <c r="H23" s="960">
        <v>0</v>
      </c>
      <c r="I23" s="960">
        <v>0</v>
      </c>
      <c r="J23" s="960">
        <v>0</v>
      </c>
      <c r="K23" s="960">
        <v>0</v>
      </c>
      <c r="L23" s="960">
        <v>0</v>
      </c>
      <c r="M23" s="960">
        <v>1</v>
      </c>
      <c r="N23" s="960" t="s">
        <v>635</v>
      </c>
      <c r="O23" s="960">
        <v>0</v>
      </c>
      <c r="P23" s="960">
        <v>0</v>
      </c>
      <c r="Q23" s="960">
        <v>0</v>
      </c>
      <c r="R23" s="960">
        <v>0</v>
      </c>
      <c r="S23" s="960">
        <v>0</v>
      </c>
      <c r="T23" s="960">
        <v>0</v>
      </c>
      <c r="U23" s="960">
        <v>0</v>
      </c>
      <c r="V23" s="960">
        <v>0</v>
      </c>
      <c r="W23" s="960">
        <v>0</v>
      </c>
      <c r="X23" s="960">
        <v>0</v>
      </c>
      <c r="Y23" s="960">
        <v>0</v>
      </c>
      <c r="Z23" s="960">
        <v>0</v>
      </c>
      <c r="AA23" s="960">
        <v>1</v>
      </c>
      <c r="AB23" s="960">
        <v>0</v>
      </c>
      <c r="AC23" s="960">
        <v>0</v>
      </c>
      <c r="AD23" s="960">
        <v>0</v>
      </c>
      <c r="AE23" s="960">
        <v>0</v>
      </c>
      <c r="AF23" s="960">
        <v>2004</v>
      </c>
      <c r="AG23" s="960">
        <v>0</v>
      </c>
      <c r="AH23" s="960">
        <v>1</v>
      </c>
      <c r="AI23" s="960">
        <v>0</v>
      </c>
      <c r="AJ23" s="960">
        <v>0</v>
      </c>
      <c r="AK23" s="960">
        <v>0</v>
      </c>
      <c r="AL23" s="960">
        <v>0</v>
      </c>
      <c r="AM23" s="960">
        <v>0</v>
      </c>
      <c r="AN23" s="960">
        <v>0</v>
      </c>
      <c r="AO23" s="960">
        <v>0</v>
      </c>
      <c r="AP23" s="960">
        <v>0</v>
      </c>
      <c r="AQ23" s="960">
        <v>0</v>
      </c>
      <c r="AR23" s="960">
        <v>0</v>
      </c>
      <c r="AS23" s="960">
        <v>0</v>
      </c>
      <c r="AT23" s="960">
        <v>0</v>
      </c>
      <c r="AU23" s="960">
        <v>0</v>
      </c>
      <c r="AV23" s="960">
        <v>0</v>
      </c>
      <c r="AW23" s="960">
        <v>10.479856392564475</v>
      </c>
      <c r="AX23" s="960">
        <v>10.98544227102701</v>
      </c>
      <c r="AY23" s="960">
        <v>10.946472343149781</v>
      </c>
      <c r="AZ23" s="960">
        <v>10.747878463264898</v>
      </c>
      <c r="BA23" s="960">
        <v>10.577635535963427</v>
      </c>
      <c r="BB23" s="960">
        <v>0.24519230769230771</v>
      </c>
      <c r="BC23" s="960">
        <v>0.62962962962962954</v>
      </c>
      <c r="BD23" s="960">
        <v>0.65479452054794529</v>
      </c>
      <c r="BE23" s="960">
        <v>0.66773162939297115</v>
      </c>
      <c r="BF23" s="960">
        <v>0.69784172661870503</v>
      </c>
      <c r="BG23" s="960">
        <v>0.95912645333882085</v>
      </c>
      <c r="BH23" s="960">
        <v>0.93189660048645284</v>
      </c>
      <c r="BI23" s="960">
        <v>0.93468118195956451</v>
      </c>
      <c r="BJ23" s="960">
        <v>0.93248193248193256</v>
      </c>
      <c r="BK23" s="960">
        <v>0.93117928784618587</v>
      </c>
      <c r="BL23" s="960">
        <v>5.3503446856672495E-3</v>
      </c>
      <c r="BM23" s="960">
        <v>1.0690649923638215E-2</v>
      </c>
      <c r="BN23" s="960">
        <v>1.0710408169253791E-2</v>
      </c>
      <c r="BO23" s="960">
        <v>1.0329010329010331E-2</v>
      </c>
      <c r="BP23" s="960">
        <v>9.6480877351287578E-3</v>
      </c>
      <c r="BQ23" s="960">
        <v>2.802783784083291E-4</v>
      </c>
      <c r="BR23" s="960">
        <v>9.5359069611916925E-3</v>
      </c>
      <c r="BS23" s="960">
        <v>0.36883680718635425</v>
      </c>
      <c r="BT23" s="960">
        <v>3.5018941133786452E-3</v>
      </c>
      <c r="BU23" s="960">
        <v>271896.96799999999</v>
      </c>
      <c r="BV23" s="960">
        <v>375908.06400000001</v>
      </c>
      <c r="BW23" s="960">
        <v>346118.51399999997</v>
      </c>
      <c r="BX23" s="960">
        <v>304162.45199999999</v>
      </c>
      <c r="BY23" s="960">
        <v>279953.99099999998</v>
      </c>
      <c r="BZ23" s="960">
        <v>216970.01599999997</v>
      </c>
      <c r="CA23" s="960">
        <v>194198.35199999998</v>
      </c>
      <c r="CB23" s="960">
        <v>195916.13999999998</v>
      </c>
      <c r="CC23" s="960">
        <v>141228.9</v>
      </c>
      <c r="CD23" s="960">
        <v>98823.9</v>
      </c>
      <c r="CE23" s="960">
        <v>0.27714285714285714</v>
      </c>
      <c r="CF23" s="960">
        <v>0.21999999999999997</v>
      </c>
      <c r="CG23" s="960">
        <v>0.1896825396825397</v>
      </c>
      <c r="CH23" s="960">
        <v>0.26480252654959396</v>
      </c>
      <c r="CI23" s="960">
        <v>0.21204303204303204</v>
      </c>
      <c r="CJ23" s="960">
        <v>0.18430581696962756</v>
      </c>
      <c r="CK23" s="960">
        <v>9.7831568330811913E-2</v>
      </c>
      <c r="CL23" s="960">
        <v>0.10215053763440859</v>
      </c>
      <c r="CM23" s="960">
        <v>0.10736747529200361</v>
      </c>
      <c r="CN23" s="960" t="s">
        <v>619</v>
      </c>
      <c r="CO23" s="960">
        <v>1225.2</v>
      </c>
    </row>
    <row r="24" spans="1:93">
      <c r="A24" s="960">
        <v>1</v>
      </c>
      <c r="B24" s="960" t="s">
        <v>612</v>
      </c>
      <c r="C24" s="960">
        <v>0</v>
      </c>
      <c r="D24" s="960">
        <v>0</v>
      </c>
      <c r="E24" s="960">
        <v>1</v>
      </c>
      <c r="F24" s="960">
        <v>0</v>
      </c>
      <c r="G24" s="960">
        <v>0</v>
      </c>
      <c r="H24" s="960">
        <v>0</v>
      </c>
      <c r="I24" s="960">
        <v>0</v>
      </c>
      <c r="J24" s="960">
        <v>0</v>
      </c>
      <c r="K24" s="960">
        <v>0</v>
      </c>
      <c r="L24" s="960">
        <v>0</v>
      </c>
      <c r="M24" s="960">
        <v>0</v>
      </c>
      <c r="N24" s="960" t="s">
        <v>636</v>
      </c>
      <c r="O24" s="960">
        <v>0</v>
      </c>
      <c r="P24" s="960">
        <v>0</v>
      </c>
      <c r="Q24" s="960">
        <v>0</v>
      </c>
      <c r="R24" s="960">
        <v>0</v>
      </c>
      <c r="S24" s="960">
        <v>0</v>
      </c>
      <c r="T24" s="960">
        <v>0</v>
      </c>
      <c r="U24" s="960">
        <v>0</v>
      </c>
      <c r="V24" s="960">
        <v>0</v>
      </c>
      <c r="W24" s="960">
        <v>0</v>
      </c>
      <c r="X24" s="960">
        <v>0</v>
      </c>
      <c r="Y24" s="960">
        <v>0</v>
      </c>
      <c r="Z24" s="960">
        <v>0</v>
      </c>
      <c r="AA24" s="960">
        <v>0</v>
      </c>
      <c r="AB24" s="960">
        <v>0</v>
      </c>
      <c r="AC24" s="960">
        <v>1</v>
      </c>
      <c r="AD24" s="960">
        <v>0</v>
      </c>
      <c r="AE24" s="960">
        <v>0</v>
      </c>
      <c r="AF24" s="960">
        <v>2008</v>
      </c>
      <c r="AG24" s="960">
        <v>0</v>
      </c>
      <c r="AH24" s="960">
        <v>0</v>
      </c>
      <c r="AI24" s="960">
        <v>0</v>
      </c>
      <c r="AJ24" s="960">
        <v>0</v>
      </c>
      <c r="AK24" s="960">
        <v>0</v>
      </c>
      <c r="AL24" s="960">
        <v>1</v>
      </c>
      <c r="AM24" s="960">
        <v>0</v>
      </c>
      <c r="AN24" s="960">
        <v>0</v>
      </c>
      <c r="AO24" s="960">
        <v>0</v>
      </c>
      <c r="AP24" s="960">
        <v>0</v>
      </c>
      <c r="AQ24" s="960">
        <v>0</v>
      </c>
      <c r="AR24" s="960">
        <v>0</v>
      </c>
      <c r="AS24" s="960">
        <v>0</v>
      </c>
      <c r="AT24" s="960">
        <v>0</v>
      </c>
      <c r="AU24" s="960">
        <v>0</v>
      </c>
      <c r="AV24" s="960">
        <v>0</v>
      </c>
      <c r="AW24" s="960">
        <v>12.478299041561542</v>
      </c>
      <c r="AX24" s="960">
        <v>12.30382166810195</v>
      </c>
      <c r="AY24" s="960">
        <v>12.156084838149832</v>
      </c>
      <c r="AZ24" s="960">
        <v>12.114268278840257</v>
      </c>
      <c r="BA24" s="960">
        <v>11.933230739078434</v>
      </c>
      <c r="BB24" s="960">
        <v>-5.4827550556784392E-2</v>
      </c>
      <c r="BC24" s="960">
        <v>-0.5161989880233403</v>
      </c>
      <c r="BD24" s="960">
        <v>-1.03521859513606E-2</v>
      </c>
      <c r="BE24" s="960">
        <v>-4.4329485493001461E-2</v>
      </c>
      <c r="BF24" s="960">
        <v>5.2135210317794826E-2</v>
      </c>
      <c r="BG24" s="960">
        <v>0.6094890261995578</v>
      </c>
      <c r="BH24" s="960">
        <v>0.5381477640084058</v>
      </c>
      <c r="BI24" s="960">
        <v>0.32647952252293511</v>
      </c>
      <c r="BJ24" s="960">
        <v>0.58850638889552975</v>
      </c>
      <c r="BK24" s="960">
        <v>0.53597011103966552</v>
      </c>
      <c r="BL24" s="960">
        <v>0.83574144918968385</v>
      </c>
      <c r="BM24" s="960">
        <v>0.70771322871540454</v>
      </c>
      <c r="BN24" s="960">
        <v>0.50490375662102549</v>
      </c>
      <c r="BO24" s="960">
        <v>0.26088086477782502</v>
      </c>
      <c r="BP24" s="960">
        <v>0.40035160835850553</v>
      </c>
      <c r="BQ24" s="960">
        <v>-2.6099272878919482E-2</v>
      </c>
      <c r="BR24" s="960">
        <v>-5.2741302650583292E-2</v>
      </c>
      <c r="BS24" s="960">
        <v>0.22285409907139805</v>
      </c>
      <c r="BT24" s="960">
        <v>-0.20949058851673041</v>
      </c>
      <c r="BU24" s="960">
        <v>122692.415868</v>
      </c>
      <c r="BV24" s="960">
        <v>143922.13527500001</v>
      </c>
      <c r="BW24" s="960">
        <v>253783.14155999999</v>
      </c>
      <c r="BX24" s="960">
        <v>287793.33843</v>
      </c>
      <c r="BY24" s="960">
        <v>176457.53887999998</v>
      </c>
      <c r="BZ24" s="960">
        <v>97864.535736000005</v>
      </c>
      <c r="CA24" s="960">
        <v>101568.747032</v>
      </c>
      <c r="CB24" s="960">
        <v>630.45241999999996</v>
      </c>
      <c r="CC24" s="960">
        <v>58738.962776</v>
      </c>
      <c r="CD24" s="960">
        <v>142335.92384799998</v>
      </c>
      <c r="CE24" s="960">
        <v>5.5763864928969779E-2</v>
      </c>
      <c r="CF24" s="960">
        <v>-0.13769757220338152</v>
      </c>
      <c r="CG24" s="960">
        <v>-3.1239229599594527</v>
      </c>
      <c r="CH24" s="960">
        <v>5.0760203021504469E-2</v>
      </c>
      <c r="CI24" s="960">
        <v>-9.2600615487663809E-2</v>
      </c>
      <c r="CJ24" s="960">
        <v>-1.0251237339420776</v>
      </c>
      <c r="CK24" s="960">
        <v>4.4980799813816377E-2</v>
      </c>
      <c r="CL24" s="960">
        <v>-2.8104238312546267E-2</v>
      </c>
      <c r="CM24" s="960">
        <v>-7.7605028367669169E-3</v>
      </c>
      <c r="CN24" s="960" t="s">
        <v>612</v>
      </c>
      <c r="CO24" s="960">
        <v>1608</v>
      </c>
    </row>
    <row r="25" spans="1:93">
      <c r="A25" s="960">
        <v>1</v>
      </c>
      <c r="B25" s="960" t="s">
        <v>620</v>
      </c>
      <c r="C25" s="960">
        <v>0</v>
      </c>
      <c r="D25" s="960">
        <v>0</v>
      </c>
      <c r="E25" s="960">
        <v>0</v>
      </c>
      <c r="F25" s="960">
        <v>0</v>
      </c>
      <c r="G25" s="960">
        <v>0</v>
      </c>
      <c r="H25" s="960">
        <v>0</v>
      </c>
      <c r="I25" s="960">
        <v>0</v>
      </c>
      <c r="J25" s="960">
        <v>0</v>
      </c>
      <c r="K25" s="960">
        <v>1</v>
      </c>
      <c r="L25" s="960">
        <v>0</v>
      </c>
      <c r="M25" s="960">
        <v>0</v>
      </c>
      <c r="N25" s="960" t="s">
        <v>637</v>
      </c>
      <c r="O25" s="960">
        <v>0</v>
      </c>
      <c r="P25" s="960">
        <v>0</v>
      </c>
      <c r="Q25" s="960">
        <v>0</v>
      </c>
      <c r="R25" s="960">
        <v>0</v>
      </c>
      <c r="S25" s="960">
        <v>0</v>
      </c>
      <c r="T25" s="960">
        <v>0</v>
      </c>
      <c r="U25" s="960">
        <v>0</v>
      </c>
      <c r="V25" s="960">
        <v>0</v>
      </c>
      <c r="W25" s="960">
        <v>0</v>
      </c>
      <c r="X25" s="960">
        <v>0</v>
      </c>
      <c r="Y25" s="960">
        <v>0</v>
      </c>
      <c r="Z25" s="960">
        <v>0</v>
      </c>
      <c r="AA25" s="960">
        <v>0</v>
      </c>
      <c r="AB25" s="960">
        <v>1</v>
      </c>
      <c r="AC25" s="960">
        <v>0</v>
      </c>
      <c r="AD25" s="960">
        <v>0</v>
      </c>
      <c r="AE25" s="960">
        <v>0</v>
      </c>
      <c r="AF25" s="960">
        <v>2008</v>
      </c>
      <c r="AG25" s="960">
        <v>0</v>
      </c>
      <c r="AH25" s="960">
        <v>0</v>
      </c>
      <c r="AI25" s="960">
        <v>0</v>
      </c>
      <c r="AJ25" s="960">
        <v>0</v>
      </c>
      <c r="AK25" s="960">
        <v>0</v>
      </c>
      <c r="AL25" s="960">
        <v>1</v>
      </c>
      <c r="AM25" s="960">
        <v>0</v>
      </c>
      <c r="AN25" s="960">
        <v>0</v>
      </c>
      <c r="AO25" s="960">
        <v>0</v>
      </c>
      <c r="AP25" s="960">
        <v>0</v>
      </c>
      <c r="AQ25" s="960">
        <v>0</v>
      </c>
      <c r="AR25" s="960">
        <v>0</v>
      </c>
      <c r="AS25" s="960">
        <v>0</v>
      </c>
      <c r="AT25" s="960">
        <v>0</v>
      </c>
      <c r="AU25" s="960">
        <v>0</v>
      </c>
      <c r="AV25" s="960">
        <v>0</v>
      </c>
      <c r="AW25" s="960">
        <v>10.873830768729865</v>
      </c>
      <c r="AX25" s="960">
        <v>12.054301632049684</v>
      </c>
      <c r="AY25" s="960">
        <v>12.605865027441876</v>
      </c>
      <c r="AZ25" s="960">
        <v>12.659082698399338</v>
      </c>
      <c r="BA25" s="960">
        <v>12.170347017445081</v>
      </c>
      <c r="BB25" s="960">
        <v>0.10548155446501317</v>
      </c>
      <c r="BC25" s="960">
        <v>-9.2558645693302369E-2</v>
      </c>
      <c r="BD25" s="960">
        <v>-0.30464661770079415</v>
      </c>
      <c r="BE25" s="960">
        <v>3.5075395412704061E-2</v>
      </c>
      <c r="BF25" s="960">
        <v>0.29321021240432998</v>
      </c>
      <c r="BG25" s="960">
        <v>0.37424794804366884</v>
      </c>
      <c r="BH25" s="960">
        <v>0.15807431216381326</v>
      </c>
      <c r="BI25" s="960">
        <v>0.55587717561703787</v>
      </c>
      <c r="BJ25" s="960">
        <v>0.46795337656529518</v>
      </c>
      <c r="BK25" s="960">
        <v>0.46941448939711949</v>
      </c>
      <c r="BL25" s="960">
        <v>0.262854609929078</v>
      </c>
      <c r="BM25" s="960">
        <v>0.871167914666234</v>
      </c>
      <c r="BN25" s="960">
        <v>0.79802408761857879</v>
      </c>
      <c r="BO25" s="960">
        <v>0.54961426654740608</v>
      </c>
      <c r="BP25" s="960">
        <v>0.34917312006947965</v>
      </c>
      <c r="BQ25" s="960">
        <v>-0.34549646383821697</v>
      </c>
      <c r="BR25" s="960">
        <v>-0.74036374719073827</v>
      </c>
      <c r="BS25" s="960">
        <v>0.43551800999679458</v>
      </c>
      <c r="BT25" s="960">
        <v>8.6462686219918372E-2</v>
      </c>
      <c r="BU25" s="960">
        <v>125641</v>
      </c>
      <c r="BV25" s="960">
        <v>166070</v>
      </c>
      <c r="BW25" s="960">
        <v>166014</v>
      </c>
      <c r="BX25" s="960">
        <v>304552</v>
      </c>
      <c r="BY25" s="960">
        <v>293245</v>
      </c>
      <c r="BZ25" s="960">
        <v>0</v>
      </c>
      <c r="CA25" s="960">
        <v>0</v>
      </c>
      <c r="CB25" s="960">
        <v>73528</v>
      </c>
      <c r="CC25" s="960">
        <v>102512</v>
      </c>
      <c r="CD25" s="960">
        <v>141620</v>
      </c>
      <c r="CE25" s="960">
        <v>0.39954808642847056</v>
      </c>
      <c r="CF25" s="960">
        <v>0.10764593413454035</v>
      </c>
      <c r="CG25" s="960">
        <v>-1.2359509302578608</v>
      </c>
      <c r="CH25" s="960">
        <v>0.2899342610848874</v>
      </c>
      <c r="CI25" s="960">
        <v>6.9651216075397121E-2</v>
      </c>
      <c r="CJ25" s="960">
        <v>-0.93015225144975244</v>
      </c>
      <c r="CK25" s="960">
        <v>0.19295810670258656</v>
      </c>
      <c r="CL25" s="960">
        <v>3.6233549607292019E-2</v>
      </c>
      <c r="CM25" s="960">
        <v>-0.54740564048815166</v>
      </c>
      <c r="CN25" s="960" t="s">
        <v>620</v>
      </c>
      <c r="CO25" s="960">
        <v>1627.2</v>
      </c>
    </row>
    <row r="26" spans="1:93">
      <c r="A26" s="960">
        <v>1</v>
      </c>
      <c r="B26" s="960" t="s">
        <v>616</v>
      </c>
      <c r="C26" s="960">
        <v>0</v>
      </c>
      <c r="D26" s="960">
        <v>0</v>
      </c>
      <c r="E26" s="960">
        <v>0</v>
      </c>
      <c r="F26" s="960">
        <v>0</v>
      </c>
      <c r="G26" s="960">
        <v>0</v>
      </c>
      <c r="H26" s="960">
        <v>0</v>
      </c>
      <c r="I26" s="960">
        <v>1</v>
      </c>
      <c r="J26" s="960">
        <v>0</v>
      </c>
      <c r="K26" s="960">
        <v>0</v>
      </c>
      <c r="L26" s="960">
        <v>0</v>
      </c>
      <c r="M26" s="960">
        <v>0</v>
      </c>
      <c r="N26" s="960" t="s">
        <v>629</v>
      </c>
      <c r="O26" s="960">
        <v>0</v>
      </c>
      <c r="P26" s="960">
        <v>0</v>
      </c>
      <c r="Q26" s="960">
        <v>0</v>
      </c>
      <c r="R26" s="960">
        <v>0</v>
      </c>
      <c r="S26" s="960">
        <v>1</v>
      </c>
      <c r="T26" s="960">
        <v>0</v>
      </c>
      <c r="U26" s="960">
        <v>0</v>
      </c>
      <c r="V26" s="960">
        <v>0</v>
      </c>
      <c r="W26" s="960">
        <v>0</v>
      </c>
      <c r="X26" s="960">
        <v>0</v>
      </c>
      <c r="Y26" s="960">
        <v>0</v>
      </c>
      <c r="Z26" s="960">
        <v>0</v>
      </c>
      <c r="AA26" s="960">
        <v>0</v>
      </c>
      <c r="AB26" s="960">
        <v>0</v>
      </c>
      <c r="AC26" s="960">
        <v>0</v>
      </c>
      <c r="AD26" s="960">
        <v>0</v>
      </c>
      <c r="AE26" s="960">
        <v>0</v>
      </c>
      <c r="AF26" s="960">
        <v>2006</v>
      </c>
      <c r="AG26" s="960">
        <v>0</v>
      </c>
      <c r="AH26" s="960">
        <v>0</v>
      </c>
      <c r="AI26" s="960">
        <v>0</v>
      </c>
      <c r="AJ26" s="960">
        <v>1</v>
      </c>
      <c r="AK26" s="960">
        <v>0</v>
      </c>
      <c r="AL26" s="960">
        <v>0</v>
      </c>
      <c r="AM26" s="960">
        <v>0</v>
      </c>
      <c r="AN26" s="960">
        <v>0</v>
      </c>
      <c r="AO26" s="960">
        <v>0</v>
      </c>
      <c r="AP26" s="960">
        <v>0</v>
      </c>
      <c r="AQ26" s="960">
        <v>0</v>
      </c>
      <c r="AR26" s="960">
        <v>0</v>
      </c>
      <c r="AS26" s="960">
        <v>0</v>
      </c>
      <c r="AT26" s="960">
        <v>0</v>
      </c>
      <c r="AU26" s="960">
        <v>0</v>
      </c>
      <c r="AV26" s="960">
        <v>0</v>
      </c>
      <c r="AW26" s="960">
        <v>10.722015616534076</v>
      </c>
      <c r="AX26" s="960">
        <v>11.036702009124363</v>
      </c>
      <c r="AY26" s="960">
        <v>10.840102835715722</v>
      </c>
      <c r="AZ26" s="960">
        <v>10.602243295465078</v>
      </c>
      <c r="BA26" s="960">
        <v>10.648239832876019</v>
      </c>
      <c r="BB26" s="960">
        <v>0.13236646547076669</v>
      </c>
      <c r="BC26" s="960">
        <v>0.19654972791478525</v>
      </c>
      <c r="BD26" s="960">
        <v>0.15854476435752465</v>
      </c>
      <c r="BE26" s="960">
        <v>0.12386193407173406</v>
      </c>
      <c r="BF26" s="960">
        <v>0.19273692487734287</v>
      </c>
      <c r="BG26" s="960">
        <v>0.66424708003449084</v>
      </c>
      <c r="BH26" s="960">
        <v>0.67104305605833858</v>
      </c>
      <c r="BI26" s="960">
        <v>0.51261258706890855</v>
      </c>
      <c r="BJ26" s="960">
        <v>0.47891827383163887</v>
      </c>
      <c r="BK26" s="960">
        <v>0.52261912622427642</v>
      </c>
      <c r="BL26" s="960">
        <v>1.112342243474171</v>
      </c>
      <c r="BM26" s="960">
        <v>1.2893305915589672</v>
      </c>
      <c r="BN26" s="960">
        <v>1.4091978791573336</v>
      </c>
      <c r="BO26" s="960">
        <v>1.4505240877720358</v>
      </c>
      <c r="BP26" s="960">
        <v>1.1923715197534941</v>
      </c>
      <c r="BQ26" s="960">
        <v>-6.3930743444893245E-3</v>
      </c>
      <c r="BR26" s="960">
        <v>-2.2991885196963269E-2</v>
      </c>
      <c r="BS26" s="960">
        <v>0.1918630028397027</v>
      </c>
      <c r="BT26" s="960">
        <v>-1.0006539155367866E-2</v>
      </c>
      <c r="BU26" s="960">
        <v>13686.53728</v>
      </c>
      <c r="BV26" s="960">
        <v>15847.23697</v>
      </c>
      <c r="BW26" s="960">
        <v>17648.149455999999</v>
      </c>
      <c r="BX26" s="960">
        <v>14450.293127999999</v>
      </c>
      <c r="BY26" s="960">
        <v>16862.937538999999</v>
      </c>
      <c r="BZ26" s="960">
        <v>2732.5463099999997</v>
      </c>
      <c r="CA26" s="960">
        <v>2575.4344500000002</v>
      </c>
      <c r="CB26" s="960">
        <v>3093.8760719999996</v>
      </c>
      <c r="CC26" s="960">
        <v>663.61510799999996</v>
      </c>
      <c r="CD26" s="960">
        <v>1255.7291639999999</v>
      </c>
      <c r="CE26" s="960">
        <v>6.4645864289252106</v>
      </c>
      <c r="CF26" s="960">
        <v>7.5078804987061876</v>
      </c>
      <c r="CG26" s="960">
        <v>2.6148443117084232</v>
      </c>
      <c r="CH26" s="960">
        <v>3.6082987642260198</v>
      </c>
      <c r="CI26" s="960">
        <v>3.7753258875036741</v>
      </c>
      <c r="CJ26" s="960">
        <v>1.563823053091397</v>
      </c>
      <c r="CK26" s="960">
        <v>0.48139712865718159</v>
      </c>
      <c r="CL26" s="960">
        <v>0.34479182421191368</v>
      </c>
      <c r="CM26" s="960">
        <v>0.45840524346021833</v>
      </c>
      <c r="CN26" s="960" t="s">
        <v>616</v>
      </c>
      <c r="CO26" s="960">
        <v>1418.1999999999998</v>
      </c>
    </row>
    <row r="27" spans="1:93">
      <c r="A27" s="960">
        <v>1</v>
      </c>
      <c r="B27" s="960" t="s">
        <v>616</v>
      </c>
      <c r="C27" s="960">
        <v>0</v>
      </c>
      <c r="D27" s="960">
        <v>0</v>
      </c>
      <c r="E27" s="960">
        <v>0</v>
      </c>
      <c r="F27" s="960">
        <v>0</v>
      </c>
      <c r="G27" s="960">
        <v>0</v>
      </c>
      <c r="H27" s="960">
        <v>0</v>
      </c>
      <c r="I27" s="960">
        <v>1</v>
      </c>
      <c r="J27" s="960">
        <v>0</v>
      </c>
      <c r="K27" s="960">
        <v>0</v>
      </c>
      <c r="L27" s="960">
        <v>0</v>
      </c>
      <c r="M27" s="960">
        <v>0</v>
      </c>
      <c r="N27" s="960" t="s">
        <v>636</v>
      </c>
      <c r="O27" s="960">
        <v>0</v>
      </c>
      <c r="P27" s="960">
        <v>0</v>
      </c>
      <c r="Q27" s="960">
        <v>0</v>
      </c>
      <c r="R27" s="960">
        <v>0</v>
      </c>
      <c r="S27" s="960">
        <v>0</v>
      </c>
      <c r="T27" s="960">
        <v>0</v>
      </c>
      <c r="U27" s="960">
        <v>0</v>
      </c>
      <c r="V27" s="960">
        <v>0</v>
      </c>
      <c r="W27" s="960">
        <v>0</v>
      </c>
      <c r="X27" s="960">
        <v>0</v>
      </c>
      <c r="Y27" s="960">
        <v>0</v>
      </c>
      <c r="Z27" s="960">
        <v>0</v>
      </c>
      <c r="AA27" s="960">
        <v>0</v>
      </c>
      <c r="AB27" s="960">
        <v>0</v>
      </c>
      <c r="AC27" s="960">
        <v>1</v>
      </c>
      <c r="AD27" s="960">
        <v>0</v>
      </c>
      <c r="AE27" s="960">
        <v>0</v>
      </c>
      <c r="AF27" s="960">
        <v>2005</v>
      </c>
      <c r="AG27" s="960">
        <v>0</v>
      </c>
      <c r="AH27" s="960">
        <v>0</v>
      </c>
      <c r="AI27" s="960">
        <v>1</v>
      </c>
      <c r="AJ27" s="960">
        <v>0</v>
      </c>
      <c r="AK27" s="960">
        <v>0</v>
      </c>
      <c r="AL27" s="960">
        <v>0</v>
      </c>
      <c r="AM27" s="960">
        <v>0</v>
      </c>
      <c r="AN27" s="960">
        <v>0</v>
      </c>
      <c r="AO27" s="960">
        <v>0</v>
      </c>
      <c r="AP27" s="960">
        <v>0</v>
      </c>
      <c r="AQ27" s="960">
        <v>0</v>
      </c>
      <c r="AR27" s="960">
        <v>0</v>
      </c>
      <c r="AS27" s="960">
        <v>0</v>
      </c>
      <c r="AT27" s="960">
        <v>0</v>
      </c>
      <c r="AU27" s="960">
        <v>0</v>
      </c>
      <c r="AV27" s="960">
        <v>0</v>
      </c>
      <c r="AW27" s="960">
        <v>9.1176931653094169</v>
      </c>
      <c r="AX27" s="960">
        <v>9.1123649133096123</v>
      </c>
      <c r="AY27" s="960">
        <v>9.0061285305843963</v>
      </c>
      <c r="AZ27" s="960">
        <v>9.0491331561586819</v>
      </c>
      <c r="BA27" s="960">
        <v>9.0012878213055814</v>
      </c>
      <c r="BB27" s="960">
        <v>-2.2682445759368837E-3</v>
      </c>
      <c r="BC27" s="960">
        <v>7.294241983882839E-2</v>
      </c>
      <c r="BD27" s="960">
        <v>8.9533948607973049E-2</v>
      </c>
      <c r="BE27" s="960">
        <v>4.5142314297197561E-2</v>
      </c>
      <c r="BF27" s="960">
        <v>0.21038166260512672</v>
      </c>
      <c r="BG27" s="960">
        <v>0.58984947382443054</v>
      </c>
      <c r="BH27" s="960">
        <v>0.63611702287101712</v>
      </c>
      <c r="BI27" s="960">
        <v>0.57422445417957757</v>
      </c>
      <c r="BJ27" s="960">
        <v>0.48108798901329464</v>
      </c>
      <c r="BK27" s="960">
        <v>0.41335124924538952</v>
      </c>
      <c r="BL27" s="960">
        <v>0.96481379284096747</v>
      </c>
      <c r="BM27" s="960">
        <v>0.79414585893708223</v>
      </c>
      <c r="BN27" s="960">
        <v>0.93004950671368025</v>
      </c>
      <c r="BO27" s="960">
        <v>1.0440803402826788</v>
      </c>
      <c r="BP27" s="960">
        <v>1.0628225351015559</v>
      </c>
      <c r="BQ27" s="960">
        <v>-0.14032736725188766</v>
      </c>
      <c r="BR27" s="960">
        <v>-0.18557034009832238</v>
      </c>
      <c r="BS27" s="960">
        <v>4.8407092788148535E-3</v>
      </c>
      <c r="BT27" s="960">
        <v>0.16087320493418805</v>
      </c>
      <c r="BU27" s="960">
        <v>3874.9276580000001</v>
      </c>
      <c r="BV27" s="960">
        <v>4154.4282479999993</v>
      </c>
      <c r="BW27" s="960">
        <v>3732.386172</v>
      </c>
      <c r="BX27" s="960">
        <v>4230.0782449999997</v>
      </c>
      <c r="BY27" s="960">
        <v>4478.4427499999993</v>
      </c>
      <c r="BZ27" s="960">
        <v>1510.2024000000001</v>
      </c>
      <c r="CA27" s="960">
        <v>1296.8578479999999</v>
      </c>
      <c r="CB27" s="960">
        <v>887.00565599999993</v>
      </c>
      <c r="CC27" s="960">
        <v>1306.1075999999998</v>
      </c>
      <c r="CD27" s="960">
        <v>1782.3087179999998</v>
      </c>
      <c r="CE27" s="960">
        <v>0.95771123529902413</v>
      </c>
      <c r="CF27" s="960">
        <v>0.29416666666666669</v>
      </c>
      <c r="CG27" s="960">
        <v>0.82294966561070049</v>
      </c>
      <c r="CH27" s="960">
        <v>0.61946950751605789</v>
      </c>
      <c r="CI27" s="960">
        <v>0.18865225297397653</v>
      </c>
      <c r="CJ27" s="960">
        <v>0.55582882728954364</v>
      </c>
      <c r="CK27" s="960">
        <v>0.38114522821576768</v>
      </c>
      <c r="CL27" s="960">
        <v>9.0828891747840465E-2</v>
      </c>
      <c r="CM27" s="960">
        <v>0.19557488811744531</v>
      </c>
      <c r="CN27" s="960" t="s">
        <v>616</v>
      </c>
      <c r="CO27" s="960">
        <v>1316.9</v>
      </c>
    </row>
    <row r="28" spans="1:93">
      <c r="A28" s="960">
        <v>1</v>
      </c>
      <c r="B28" s="960" t="s">
        <v>614</v>
      </c>
      <c r="C28" s="960">
        <v>0</v>
      </c>
      <c r="D28" s="960">
        <v>0</v>
      </c>
      <c r="E28" s="960">
        <v>0</v>
      </c>
      <c r="F28" s="960">
        <v>0</v>
      </c>
      <c r="G28" s="960">
        <v>1</v>
      </c>
      <c r="H28" s="960">
        <v>0</v>
      </c>
      <c r="I28" s="960">
        <v>0</v>
      </c>
      <c r="J28" s="960">
        <v>0</v>
      </c>
      <c r="K28" s="960">
        <v>0</v>
      </c>
      <c r="L28" s="960">
        <v>0</v>
      </c>
      <c r="M28" s="960">
        <v>0</v>
      </c>
      <c r="N28" s="960" t="s">
        <v>636</v>
      </c>
      <c r="O28" s="960">
        <v>0</v>
      </c>
      <c r="P28" s="960">
        <v>0</v>
      </c>
      <c r="Q28" s="960">
        <v>0</v>
      </c>
      <c r="R28" s="960">
        <v>0</v>
      </c>
      <c r="S28" s="960">
        <v>0</v>
      </c>
      <c r="T28" s="960">
        <v>0</v>
      </c>
      <c r="U28" s="960">
        <v>0</v>
      </c>
      <c r="V28" s="960">
        <v>0</v>
      </c>
      <c r="W28" s="960">
        <v>0</v>
      </c>
      <c r="X28" s="960">
        <v>0</v>
      </c>
      <c r="Y28" s="960">
        <v>0</v>
      </c>
      <c r="Z28" s="960">
        <v>0</v>
      </c>
      <c r="AA28" s="960">
        <v>0</v>
      </c>
      <c r="AB28" s="960">
        <v>0</v>
      </c>
      <c r="AC28" s="960">
        <v>1</v>
      </c>
      <c r="AD28" s="960">
        <v>0</v>
      </c>
      <c r="AE28" s="960">
        <v>0</v>
      </c>
      <c r="AF28" s="960">
        <v>2013</v>
      </c>
      <c r="AG28" s="960">
        <v>0</v>
      </c>
      <c r="AH28" s="960">
        <v>0</v>
      </c>
      <c r="AI28" s="960">
        <v>0</v>
      </c>
      <c r="AJ28" s="960">
        <v>0</v>
      </c>
      <c r="AK28" s="960">
        <v>0</v>
      </c>
      <c r="AL28" s="960">
        <v>0</v>
      </c>
      <c r="AM28" s="960">
        <v>0</v>
      </c>
      <c r="AN28" s="960">
        <v>0</v>
      </c>
      <c r="AO28" s="960">
        <v>0</v>
      </c>
      <c r="AP28" s="960">
        <v>0</v>
      </c>
      <c r="AQ28" s="960">
        <v>1</v>
      </c>
      <c r="AR28" s="960">
        <v>0</v>
      </c>
      <c r="AS28" s="960">
        <v>0</v>
      </c>
      <c r="AT28" s="960">
        <v>0</v>
      </c>
      <c r="AU28" s="960">
        <v>0</v>
      </c>
      <c r="AV28" s="960">
        <v>0</v>
      </c>
      <c r="AW28" s="960">
        <v>8.2545288819397449</v>
      </c>
      <c r="AX28" s="960">
        <v>8.3923100092695471</v>
      </c>
      <c r="AY28" s="960">
        <v>8.4071550862073003</v>
      </c>
      <c r="AZ28" s="960">
        <v>7.5485698345472692</v>
      </c>
      <c r="BA28" s="960">
        <v>6.7740699874141974</v>
      </c>
      <c r="BB28" s="960">
        <v>-11.498829648894668</v>
      </c>
      <c r="BC28" s="960">
        <v>-7.2032630863358262</v>
      </c>
      <c r="BD28" s="960">
        <v>-5.7593212770707751</v>
      </c>
      <c r="BE28" s="960">
        <v>-7.2154246100520298</v>
      </c>
      <c r="BF28" s="960">
        <v>-9.5885491483685534</v>
      </c>
      <c r="BG28" s="960">
        <v>0.19819655443947221</v>
      </c>
      <c r="BH28" s="960">
        <v>0.17340264967298341</v>
      </c>
      <c r="BI28" s="960">
        <v>0.11563847146788768</v>
      </c>
      <c r="BJ28" s="960">
        <v>0.12160379577270373</v>
      </c>
      <c r="BK28" s="960">
        <v>0.24589179860433769</v>
      </c>
      <c r="BL28" s="960">
        <v>3.6923579234447924E-2</v>
      </c>
      <c r="BM28" s="960">
        <v>0.14801274526245178</v>
      </c>
      <c r="BN28" s="960">
        <v>0.10908692369517037</v>
      </c>
      <c r="BO28" s="960">
        <v>3.9334785380003283E-2</v>
      </c>
      <c r="BP28" s="960">
        <v>0.12188289437482813</v>
      </c>
      <c r="BQ28" s="960">
        <v>0.540413482370662</v>
      </c>
      <c r="BR28" s="960">
        <v>0.83933291324764581</v>
      </c>
      <c r="BS28" s="960">
        <v>1.6330850987931023</v>
      </c>
      <c r="BT28" s="960">
        <v>-0.13025332713644999</v>
      </c>
      <c r="BU28" s="960">
        <v>83495</v>
      </c>
      <c r="BV28" s="960">
        <v>24645</v>
      </c>
      <c r="BW28" s="960">
        <v>36311</v>
      </c>
      <c r="BX28" s="960">
        <v>42385.361437886997</v>
      </c>
      <c r="BY28" s="960">
        <v>5412.9263833165196</v>
      </c>
      <c r="BZ28" s="960">
        <v>12850</v>
      </c>
      <c r="CA28" s="960">
        <v>0</v>
      </c>
      <c r="CB28" s="960">
        <v>0</v>
      </c>
      <c r="CC28" s="960">
        <v>0</v>
      </c>
      <c r="CD28" s="960">
        <v>0</v>
      </c>
      <c r="CE28" s="960" t="e">
        <v>#DIV/0!</v>
      </c>
      <c r="CF28" s="960" t="e">
        <v>#DIV/0!</v>
      </c>
      <c r="CG28" s="960" t="e">
        <v>#DIV/0!</v>
      </c>
      <c r="CH28" s="960" t="e">
        <v>#DIV/0!</v>
      </c>
      <c r="CI28" s="960" t="e">
        <v>#DIV/0!</v>
      </c>
      <c r="CJ28" s="960" t="e">
        <v>#DIV/0!</v>
      </c>
      <c r="CK28" s="960">
        <v>-1.549751243781093</v>
      </c>
      <c r="CL28" s="960">
        <v>-0.32310838445807832</v>
      </c>
      <c r="CM28" s="960">
        <v>-0.71041833053344716</v>
      </c>
      <c r="CN28" s="960" t="s">
        <v>614</v>
      </c>
      <c r="CO28" s="960">
        <v>2118.9</v>
      </c>
    </row>
    <row r="29" spans="1:93">
      <c r="A29" s="960">
        <v>1</v>
      </c>
      <c r="B29" s="960" t="s">
        <v>619</v>
      </c>
      <c r="C29" s="960">
        <v>0</v>
      </c>
      <c r="D29" s="960">
        <v>0</v>
      </c>
      <c r="E29" s="960">
        <v>0</v>
      </c>
      <c r="F29" s="960">
        <v>0</v>
      </c>
      <c r="G29" s="960">
        <v>0</v>
      </c>
      <c r="H29" s="960">
        <v>0</v>
      </c>
      <c r="I29" s="960">
        <v>0</v>
      </c>
      <c r="J29" s="960">
        <v>0</v>
      </c>
      <c r="K29" s="960">
        <v>0</v>
      </c>
      <c r="L29" s="960">
        <v>0</v>
      </c>
      <c r="M29" s="960">
        <v>1</v>
      </c>
      <c r="N29" s="960" t="s">
        <v>638</v>
      </c>
      <c r="O29" s="960">
        <v>0</v>
      </c>
      <c r="P29" s="960">
        <v>0</v>
      </c>
      <c r="Q29" s="960">
        <v>0</v>
      </c>
      <c r="R29" s="960">
        <v>0</v>
      </c>
      <c r="S29" s="960">
        <v>0</v>
      </c>
      <c r="T29" s="960">
        <v>0</v>
      </c>
      <c r="U29" s="960">
        <v>0</v>
      </c>
      <c r="V29" s="960">
        <v>0</v>
      </c>
      <c r="W29" s="960">
        <v>0</v>
      </c>
      <c r="X29" s="960">
        <v>0</v>
      </c>
      <c r="Y29" s="960">
        <v>0</v>
      </c>
      <c r="Z29" s="960">
        <v>0</v>
      </c>
      <c r="AA29" s="960">
        <v>0</v>
      </c>
      <c r="AB29" s="960">
        <v>0</v>
      </c>
      <c r="AC29" s="960">
        <v>0</v>
      </c>
      <c r="AD29" s="960">
        <v>0</v>
      </c>
      <c r="AE29" s="960">
        <v>1</v>
      </c>
      <c r="AF29" s="960">
        <v>2010</v>
      </c>
      <c r="AG29" s="960">
        <v>0</v>
      </c>
      <c r="AH29" s="960">
        <v>0</v>
      </c>
      <c r="AI29" s="960">
        <v>0</v>
      </c>
      <c r="AJ29" s="960">
        <v>0</v>
      </c>
      <c r="AK29" s="960">
        <v>0</v>
      </c>
      <c r="AL29" s="960">
        <v>0</v>
      </c>
      <c r="AM29" s="960">
        <v>0</v>
      </c>
      <c r="AN29" s="960">
        <v>1</v>
      </c>
      <c r="AO29" s="960">
        <v>0</v>
      </c>
      <c r="AP29" s="960">
        <v>0</v>
      </c>
      <c r="AQ29" s="960">
        <v>0</v>
      </c>
      <c r="AR29" s="960">
        <v>0</v>
      </c>
      <c r="AS29" s="960">
        <v>0</v>
      </c>
      <c r="AT29" s="960">
        <v>0</v>
      </c>
      <c r="AU29" s="960">
        <v>0</v>
      </c>
      <c r="AV29" s="960">
        <v>0</v>
      </c>
      <c r="AW29" s="960">
        <v>4.1267663818563527</v>
      </c>
      <c r="AX29" s="960">
        <v>3.8227935484987974</v>
      </c>
      <c r="AY29" s="960">
        <v>4.214907197875311</v>
      </c>
      <c r="AZ29" s="960">
        <v>-1.7978117473700186</v>
      </c>
      <c r="BA29" s="960">
        <v>-1.8340199979426568</v>
      </c>
      <c r="BB29" s="960">
        <v>19.55769230769231</v>
      </c>
      <c r="BC29" s="960">
        <v>-246.15037593984962</v>
      </c>
      <c r="BD29" s="960">
        <v>-55.646437994722959</v>
      </c>
      <c r="BE29" s="960">
        <v>4047</v>
      </c>
      <c r="BF29" s="960">
        <v>-72484</v>
      </c>
      <c r="BG29" s="960">
        <v>1.0076767335920365E-2</v>
      </c>
      <c r="BH29" s="960">
        <v>6.1208660993213411E-3</v>
      </c>
      <c r="BI29" s="960">
        <v>4.8626686416894816E-3</v>
      </c>
      <c r="BJ29" s="960">
        <v>9.2721690694176385E-3</v>
      </c>
      <c r="BK29" s="960">
        <v>1.0385561595393882E-2</v>
      </c>
      <c r="BL29" s="960">
        <v>7.6767335920364433E-4</v>
      </c>
      <c r="BM29" s="960">
        <v>5.7309059571259292E-4</v>
      </c>
      <c r="BN29" s="960">
        <v>7.2159413281139924E-4</v>
      </c>
      <c r="BO29" s="960">
        <v>1.7170683461884517E-6</v>
      </c>
      <c r="BP29" s="960">
        <v>1.7300619016148395E-6</v>
      </c>
      <c r="BQ29" s="960">
        <v>8.5247663707804622E-2</v>
      </c>
      <c r="BR29" s="960">
        <v>8.6367489270865933E-2</v>
      </c>
      <c r="BS29" s="960">
        <v>6.048927195817968</v>
      </c>
      <c r="BT29" s="960">
        <v>-5.5228929537043999E-3</v>
      </c>
      <c r="BU29" s="960">
        <v>79920.264993999997</v>
      </c>
      <c r="BV29" s="960">
        <v>79310.088516000003</v>
      </c>
      <c r="BW29" s="960">
        <v>93347.128511999996</v>
      </c>
      <c r="BX29" s="960">
        <v>95584.409068000008</v>
      </c>
      <c r="BY29" s="960">
        <v>91390.197469999999</v>
      </c>
      <c r="BZ29" s="960">
        <v>462.785706</v>
      </c>
      <c r="CA29" s="960">
        <v>0</v>
      </c>
      <c r="CB29" s="960">
        <v>0</v>
      </c>
      <c r="CC29" s="960">
        <v>0</v>
      </c>
      <c r="CD29" s="960">
        <v>0</v>
      </c>
      <c r="CE29" s="960" t="e">
        <v>#DIV/0!</v>
      </c>
      <c r="CF29" s="960" t="e">
        <v>#DIV/0!</v>
      </c>
      <c r="CG29" s="960" t="e">
        <v>#DIV/0!</v>
      </c>
      <c r="CH29" s="960" t="e">
        <v>#DIV/0!</v>
      </c>
      <c r="CI29" s="960" t="e">
        <v>#DIV/0!</v>
      </c>
      <c r="CJ29" s="960" t="e">
        <v>#DIV/0!</v>
      </c>
      <c r="CK29" s="960">
        <v>-0.12671784283868667</v>
      </c>
      <c r="CL29" s="960">
        <v>7.0140106899970181E-3</v>
      </c>
      <c r="CM29" s="960">
        <v>-4.035035356782074E-2</v>
      </c>
      <c r="CN29" s="960" t="s">
        <v>619</v>
      </c>
      <c r="CO29" s="960">
        <v>1837.8</v>
      </c>
    </row>
    <row r="30" spans="1:93">
      <c r="A30" s="960">
        <v>1</v>
      </c>
      <c r="B30" s="960" t="s">
        <v>614</v>
      </c>
      <c r="C30" s="960">
        <v>0</v>
      </c>
      <c r="D30" s="960">
        <v>0</v>
      </c>
      <c r="E30" s="960">
        <v>0</v>
      </c>
      <c r="F30" s="960">
        <v>0</v>
      </c>
      <c r="G30" s="960">
        <v>1</v>
      </c>
      <c r="H30" s="960">
        <v>0</v>
      </c>
      <c r="I30" s="960">
        <v>0</v>
      </c>
      <c r="J30" s="960">
        <v>0</v>
      </c>
      <c r="K30" s="960">
        <v>0</v>
      </c>
      <c r="L30" s="960">
        <v>0</v>
      </c>
      <c r="M30" s="960">
        <v>0</v>
      </c>
      <c r="N30" s="960" t="s">
        <v>631</v>
      </c>
      <c r="O30" s="960">
        <v>0</v>
      </c>
      <c r="P30" s="960">
        <v>0</v>
      </c>
      <c r="Q30" s="960">
        <v>0</v>
      </c>
      <c r="R30" s="960">
        <v>0</v>
      </c>
      <c r="S30" s="960">
        <v>0</v>
      </c>
      <c r="T30" s="960">
        <v>0</v>
      </c>
      <c r="U30" s="960">
        <v>1</v>
      </c>
      <c r="V30" s="960">
        <v>0</v>
      </c>
      <c r="W30" s="960">
        <v>0</v>
      </c>
      <c r="X30" s="960">
        <v>0</v>
      </c>
      <c r="Y30" s="960">
        <v>0</v>
      </c>
      <c r="Z30" s="960">
        <v>0</v>
      </c>
      <c r="AA30" s="960">
        <v>0</v>
      </c>
      <c r="AB30" s="960">
        <v>0</v>
      </c>
      <c r="AC30" s="960">
        <v>0</v>
      </c>
      <c r="AD30" s="960">
        <v>0</v>
      </c>
      <c r="AE30" s="960">
        <v>0</v>
      </c>
      <c r="AF30" s="960">
        <v>2010</v>
      </c>
      <c r="AG30" s="960">
        <v>0</v>
      </c>
      <c r="AH30" s="960">
        <v>0</v>
      </c>
      <c r="AI30" s="960">
        <v>0</v>
      </c>
      <c r="AJ30" s="960">
        <v>0</v>
      </c>
      <c r="AK30" s="960">
        <v>0</v>
      </c>
      <c r="AL30" s="960">
        <v>0</v>
      </c>
      <c r="AM30" s="960">
        <v>0</v>
      </c>
      <c r="AN30" s="960">
        <v>1</v>
      </c>
      <c r="AO30" s="960">
        <v>0</v>
      </c>
      <c r="AP30" s="960">
        <v>0</v>
      </c>
      <c r="AQ30" s="960">
        <v>0</v>
      </c>
      <c r="AR30" s="960">
        <v>0</v>
      </c>
      <c r="AS30" s="960">
        <v>0</v>
      </c>
      <c r="AT30" s="960">
        <v>0</v>
      </c>
      <c r="AU30" s="960">
        <v>0</v>
      </c>
      <c r="AV30" s="960">
        <v>0</v>
      </c>
      <c r="AW30" s="960">
        <v>11.074969959169394</v>
      </c>
      <c r="AX30" s="960">
        <v>11.193168590023484</v>
      </c>
      <c r="AY30" s="960">
        <v>11.362179948009736</v>
      </c>
      <c r="AZ30" s="960">
        <v>11.48137929496605</v>
      </c>
      <c r="BA30" s="960">
        <v>11.551911534346811</v>
      </c>
      <c r="BB30" s="960">
        <v>-3.611371281577732E-2</v>
      </c>
      <c r="BC30" s="960">
        <v>8.8297602901041258E-2</v>
      </c>
      <c r="BD30" s="960">
        <v>6.9248355901829636E-2</v>
      </c>
      <c r="BE30" s="960">
        <v>5.3963347392788817E-2</v>
      </c>
      <c r="BF30" s="960">
        <v>5.6842296126358563E-2</v>
      </c>
      <c r="BG30" s="960">
        <v>0.56807067177270376</v>
      </c>
      <c r="BH30" s="960">
        <v>0.4936612402175321</v>
      </c>
      <c r="BI30" s="960">
        <v>0.35831920605280798</v>
      </c>
      <c r="BJ30" s="960">
        <v>0.42909988635918334</v>
      </c>
      <c r="BK30" s="960">
        <v>0.65627484760137822</v>
      </c>
      <c r="BL30" s="960">
        <v>0.88182672666105189</v>
      </c>
      <c r="BM30" s="960">
        <v>1.0731033887154582</v>
      </c>
      <c r="BN30" s="960">
        <v>1.7259928820010682</v>
      </c>
      <c r="BO30" s="960">
        <v>2.2920059563462516</v>
      </c>
      <c r="BP30" s="960">
        <v>1.9600480688143025</v>
      </c>
      <c r="BQ30" s="960">
        <v>8.1085366273948162E-3</v>
      </c>
      <c r="BR30" s="960">
        <v>-0.13787264134018784</v>
      </c>
      <c r="BS30" s="960">
        <v>-0.18973158633707526</v>
      </c>
      <c r="BT30" s="960">
        <v>-0.29795564154857024</v>
      </c>
      <c r="BU30" s="960">
        <v>31610.238817000001</v>
      </c>
      <c r="BV30" s="960">
        <v>34271.330159999998</v>
      </c>
      <c r="BW30" s="960">
        <v>31975.292052000001</v>
      </c>
      <c r="BX30" s="960">
        <v>24134.985429</v>
      </c>
      <c r="BY30" s="960">
        <v>18233.751250000001</v>
      </c>
      <c r="BZ30" s="960">
        <v>20991.537361999999</v>
      </c>
      <c r="CA30" s="960">
        <v>10631.436312</v>
      </c>
      <c r="CB30" s="960">
        <v>331.29558000000003</v>
      </c>
      <c r="CC30" s="960">
        <v>421.93856700000003</v>
      </c>
      <c r="CD30" s="960">
        <v>686.69146000000001</v>
      </c>
      <c r="CE30" s="960">
        <v>8.6067938576081904</v>
      </c>
      <c r="CF30" s="960">
        <v>12.392226148409893</v>
      </c>
      <c r="CG30" s="960">
        <v>17.977358490566036</v>
      </c>
      <c r="CH30" s="960">
        <v>5.7598359599877336</v>
      </c>
      <c r="CI30" s="960">
        <v>5.4411658236504428</v>
      </c>
      <c r="CJ30" s="960">
        <v>6.5611314749700345</v>
      </c>
      <c r="CK30" s="960">
        <v>0.32413581599123764</v>
      </c>
      <c r="CL30" s="960">
        <v>0.21664641805489776</v>
      </c>
      <c r="CM30" s="960">
        <v>0.1862631746510498</v>
      </c>
      <c r="CN30" s="960" t="s">
        <v>614</v>
      </c>
      <c r="CO30" s="960">
        <v>1816.2</v>
      </c>
    </row>
    <row r="31" spans="1:93">
      <c r="A31" s="960">
        <v>1</v>
      </c>
      <c r="B31" s="960" t="s">
        <v>614</v>
      </c>
      <c r="C31" s="960">
        <v>0</v>
      </c>
      <c r="D31" s="960">
        <v>0</v>
      </c>
      <c r="E31" s="960">
        <v>0</v>
      </c>
      <c r="F31" s="960">
        <v>0</v>
      </c>
      <c r="G31" s="960">
        <v>1</v>
      </c>
      <c r="H31" s="960">
        <v>0</v>
      </c>
      <c r="I31" s="960">
        <v>0</v>
      </c>
      <c r="J31" s="960">
        <v>0</v>
      </c>
      <c r="K31" s="960">
        <v>0</v>
      </c>
      <c r="L31" s="960">
        <v>0</v>
      </c>
      <c r="M31" s="960">
        <v>0</v>
      </c>
      <c r="N31" s="960" t="s">
        <v>634</v>
      </c>
      <c r="O31" s="960">
        <v>0</v>
      </c>
      <c r="P31" s="960">
        <v>0</v>
      </c>
      <c r="Q31" s="960">
        <v>0</v>
      </c>
      <c r="R31" s="960">
        <v>0</v>
      </c>
      <c r="S31" s="960">
        <v>0</v>
      </c>
      <c r="T31" s="960">
        <v>0</v>
      </c>
      <c r="U31" s="960">
        <v>0</v>
      </c>
      <c r="V31" s="960">
        <v>0</v>
      </c>
      <c r="W31" s="960">
        <v>0</v>
      </c>
      <c r="X31" s="960">
        <v>0</v>
      </c>
      <c r="Y31" s="960">
        <v>0</v>
      </c>
      <c r="Z31" s="960">
        <v>1</v>
      </c>
      <c r="AA31" s="960">
        <v>0</v>
      </c>
      <c r="AB31" s="960">
        <v>0</v>
      </c>
      <c r="AC31" s="960">
        <v>0</v>
      </c>
      <c r="AD31" s="960">
        <v>0</v>
      </c>
      <c r="AE31" s="960">
        <v>0</v>
      </c>
      <c r="AF31" s="960">
        <v>2016</v>
      </c>
      <c r="AG31" s="960">
        <v>0</v>
      </c>
      <c r="AH31" s="960">
        <v>0</v>
      </c>
      <c r="AI31" s="960">
        <v>0</v>
      </c>
      <c r="AJ31" s="960">
        <v>0</v>
      </c>
      <c r="AK31" s="960">
        <v>0</v>
      </c>
      <c r="AL31" s="960">
        <v>0</v>
      </c>
      <c r="AM31" s="960">
        <v>0</v>
      </c>
      <c r="AN31" s="960">
        <v>0</v>
      </c>
      <c r="AO31" s="960">
        <v>0</v>
      </c>
      <c r="AP31" s="960">
        <v>0</v>
      </c>
      <c r="AQ31" s="960">
        <v>0</v>
      </c>
      <c r="AR31" s="960">
        <v>0</v>
      </c>
      <c r="AS31" s="960">
        <v>0</v>
      </c>
      <c r="AT31" s="960">
        <v>1</v>
      </c>
      <c r="AU31" s="960">
        <v>0</v>
      </c>
      <c r="AV31" s="960">
        <v>0</v>
      </c>
      <c r="AW31" s="960">
        <v>9.0186886212975761</v>
      </c>
      <c r="AX31" s="960">
        <v>8.4545545718421593</v>
      </c>
      <c r="AY31" s="960">
        <v>8.4401917886495887</v>
      </c>
      <c r="AZ31" s="960">
        <v>8.3164909724127796</v>
      </c>
      <c r="BA31" s="960">
        <v>8.5964254232968269</v>
      </c>
      <c r="BB31" s="960">
        <v>2.2539560121744642</v>
      </c>
      <c r="BC31" s="960">
        <v>3.2247964606403308</v>
      </c>
      <c r="BD31" s="960">
        <v>3.2427887758571092</v>
      </c>
      <c r="BE31" s="960">
        <v>1.4435842961497045</v>
      </c>
      <c r="BF31" s="960">
        <v>-3.7527543150936468E-2</v>
      </c>
      <c r="BG31" s="960">
        <v>0.46564206902355315</v>
      </c>
      <c r="BH31" s="960">
        <v>0.37324192468352413</v>
      </c>
      <c r="BI31" s="960">
        <v>0.38145706570403221</v>
      </c>
      <c r="BJ31" s="960">
        <v>0.38409890698920968</v>
      </c>
      <c r="BK31" s="960">
        <v>0.84497325735529905</v>
      </c>
      <c r="BL31" s="960">
        <v>2.3592150267678354E-2</v>
      </c>
      <c r="BM31" s="960">
        <v>2.4360830330665478E-2</v>
      </c>
      <c r="BN31" s="960">
        <v>2.6960580400894007E-2</v>
      </c>
      <c r="BO31" s="960">
        <v>2.6692923784443046E-2</v>
      </c>
      <c r="BP31" s="960">
        <v>7.4711352634223377E-2</v>
      </c>
      <c r="BQ31" s="960">
        <v>9.0231201024457905E-2</v>
      </c>
      <c r="BR31" s="960">
        <v>0.15943006238073837</v>
      </c>
      <c r="BS31" s="960">
        <v>-0.15623363464723675</v>
      </c>
      <c r="BT31" s="960">
        <v>-0.46351619165126684</v>
      </c>
      <c r="BU31" s="960">
        <v>186995.620826</v>
      </c>
      <c r="BV31" s="960">
        <v>120829.607556</v>
      </c>
      <c r="BW31" s="960">
        <v>106210.838602</v>
      </c>
      <c r="BX31" s="960">
        <v>94388.909043000007</v>
      </c>
      <c r="BY31" s="960">
        <v>11230.403078000001</v>
      </c>
      <c r="BZ31" s="960">
        <v>208129.56679899999</v>
      </c>
      <c r="CA31" s="960">
        <v>78412.991664000001</v>
      </c>
      <c r="CB31" s="960">
        <v>71647.827327999999</v>
      </c>
      <c r="CC31" s="960">
        <v>87736.822668000008</v>
      </c>
      <c r="CD31" s="960">
        <v>50610.541982000002</v>
      </c>
      <c r="CE31" s="960">
        <v>-4.013185831367649E-3</v>
      </c>
      <c r="CF31" s="960">
        <v>6.7307953256368083E-2</v>
      </c>
      <c r="CG31" s="960">
        <v>0.2095291040337407</v>
      </c>
      <c r="CH31" s="960">
        <v>-6.1947788370897965E-3</v>
      </c>
      <c r="CI31" s="960">
        <v>6.4386396870994705E-2</v>
      </c>
      <c r="CJ31" s="960">
        <v>0.16735394271257431</v>
      </c>
      <c r="CK31" s="960">
        <v>-1.8085682997245663E-2</v>
      </c>
      <c r="CL31" s="960">
        <v>6.2564405276786597E-2</v>
      </c>
      <c r="CM31" s="960">
        <v>0.1413443793834927</v>
      </c>
      <c r="CN31" s="960" t="s">
        <v>614</v>
      </c>
      <c r="CO31" s="960">
        <v>2421.6</v>
      </c>
    </row>
    <row r="32" spans="1:93">
      <c r="A32" s="960">
        <v>1</v>
      </c>
      <c r="B32" s="960" t="s">
        <v>616</v>
      </c>
      <c r="C32" s="960">
        <v>0</v>
      </c>
      <c r="D32" s="960">
        <v>0</v>
      </c>
      <c r="E32" s="960">
        <v>0</v>
      </c>
      <c r="F32" s="960">
        <v>0</v>
      </c>
      <c r="G32" s="960">
        <v>0</v>
      </c>
      <c r="H32" s="960">
        <v>0</v>
      </c>
      <c r="I32" s="960">
        <v>1</v>
      </c>
      <c r="J32" s="960">
        <v>0</v>
      </c>
      <c r="K32" s="960">
        <v>0</v>
      </c>
      <c r="L32" s="960">
        <v>0</v>
      </c>
      <c r="M32" s="960">
        <v>0</v>
      </c>
      <c r="N32" s="960" t="s">
        <v>576</v>
      </c>
      <c r="O32" s="960">
        <v>1</v>
      </c>
      <c r="P32" s="960">
        <v>0</v>
      </c>
      <c r="Q32" s="960">
        <v>0</v>
      </c>
      <c r="R32" s="960">
        <v>0</v>
      </c>
      <c r="S32" s="960">
        <v>0</v>
      </c>
      <c r="T32" s="960">
        <v>0</v>
      </c>
      <c r="U32" s="960">
        <v>0</v>
      </c>
      <c r="V32" s="960">
        <v>0</v>
      </c>
      <c r="W32" s="960">
        <v>0</v>
      </c>
      <c r="X32" s="960">
        <v>0</v>
      </c>
      <c r="Y32" s="960">
        <v>0</v>
      </c>
      <c r="Z32" s="960">
        <v>0</v>
      </c>
      <c r="AA32" s="960">
        <v>0</v>
      </c>
      <c r="AB32" s="960">
        <v>0</v>
      </c>
      <c r="AC32" s="960">
        <v>0</v>
      </c>
      <c r="AD32" s="960">
        <v>0</v>
      </c>
      <c r="AE32" s="960">
        <v>0</v>
      </c>
      <c r="AF32" s="960">
        <v>2008</v>
      </c>
      <c r="AG32" s="960">
        <v>0</v>
      </c>
      <c r="AH32" s="960">
        <v>0</v>
      </c>
      <c r="AI32" s="960">
        <v>0</v>
      </c>
      <c r="AJ32" s="960">
        <v>0</v>
      </c>
      <c r="AK32" s="960">
        <v>0</v>
      </c>
      <c r="AL32" s="960">
        <v>1</v>
      </c>
      <c r="AM32" s="960">
        <v>0</v>
      </c>
      <c r="AN32" s="960">
        <v>0</v>
      </c>
      <c r="AO32" s="960">
        <v>0</v>
      </c>
      <c r="AP32" s="960">
        <v>0</v>
      </c>
      <c r="AQ32" s="960">
        <v>0</v>
      </c>
      <c r="AR32" s="960">
        <v>0</v>
      </c>
      <c r="AS32" s="960">
        <v>0</v>
      </c>
      <c r="AT32" s="960">
        <v>0</v>
      </c>
      <c r="AU32" s="960">
        <v>0</v>
      </c>
      <c r="AV32" s="960">
        <v>0</v>
      </c>
      <c r="AW32" s="960">
        <v>12.587163072462419</v>
      </c>
      <c r="AX32" s="960">
        <v>12.679691696791746</v>
      </c>
      <c r="AY32" s="960">
        <v>12.391983673167102</v>
      </c>
      <c r="AZ32" s="960">
        <v>12.75834169234283</v>
      </c>
      <c r="BA32" s="960">
        <v>12.220800691951617</v>
      </c>
      <c r="BB32" s="960">
        <v>0.32633530976258451</v>
      </c>
      <c r="BC32" s="960">
        <v>0.35313403333862908</v>
      </c>
      <c r="BD32" s="960">
        <v>0.31734171950587742</v>
      </c>
      <c r="BE32" s="960">
        <v>0.32937078171434131</v>
      </c>
      <c r="BF32" s="960">
        <v>0.29542045934510064</v>
      </c>
      <c r="BG32" s="960">
        <v>0.49784489087703493</v>
      </c>
      <c r="BH32" s="960">
        <v>0.59005557848127999</v>
      </c>
      <c r="BI32" s="960">
        <v>0.53695582457180535</v>
      </c>
      <c r="BJ32" s="960">
        <v>0.56613250317365427</v>
      </c>
      <c r="BK32" s="960">
        <v>0.63177327034397446</v>
      </c>
      <c r="BL32" s="960">
        <v>0.29001095776219638</v>
      </c>
      <c r="BM32" s="960">
        <v>0.30604821306168506</v>
      </c>
      <c r="BN32" s="960">
        <v>0.26874388220171036</v>
      </c>
      <c r="BO32" s="960">
        <v>0.34068132068443396</v>
      </c>
      <c r="BP32" s="960">
        <v>0.21590862344321038</v>
      </c>
      <c r="BQ32" s="960">
        <v>2.1499820970414169E-2</v>
      </c>
      <c r="BR32" s="960">
        <v>1.0961392137622428E-2</v>
      </c>
      <c r="BS32" s="960">
        <v>0.17118298121548664</v>
      </c>
      <c r="BT32" s="960">
        <v>-9.4817445772169107E-2</v>
      </c>
      <c r="BU32" s="960">
        <v>506942.60284800001</v>
      </c>
      <c r="BV32" s="960">
        <v>430184.84025800001</v>
      </c>
      <c r="BW32" s="960">
        <v>415005.61063000001</v>
      </c>
      <c r="BX32" s="960">
        <v>442472.583102</v>
      </c>
      <c r="BY32" s="960">
        <v>346155.64042399998</v>
      </c>
      <c r="BZ32" s="960">
        <v>402308.74292400002</v>
      </c>
      <c r="CA32" s="960">
        <v>405075.93381000002</v>
      </c>
      <c r="CB32" s="960">
        <v>391702.67681999999</v>
      </c>
      <c r="CC32" s="960">
        <v>411854.308158</v>
      </c>
      <c r="CD32" s="960">
        <v>394433.69343999994</v>
      </c>
      <c r="CE32" s="960">
        <v>0.15201724855972792</v>
      </c>
      <c r="CF32" s="960">
        <v>0.27785540703412731</v>
      </c>
      <c r="CG32" s="960">
        <v>0.19513751057444204</v>
      </c>
      <c r="CH32" s="960">
        <v>0.15982428807698831</v>
      </c>
      <c r="CI32" s="960">
        <v>0.26951340250144995</v>
      </c>
      <c r="CJ32" s="960">
        <v>0.19006386857996463</v>
      </c>
      <c r="CK32" s="960">
        <v>0.17321897381927723</v>
      </c>
      <c r="CL32" s="960">
        <v>0.25862833269744062</v>
      </c>
      <c r="CM32" s="960">
        <v>0.18418036595689966</v>
      </c>
      <c r="CN32" s="960" t="s">
        <v>616</v>
      </c>
      <c r="CO32" s="960">
        <v>1620.8000000000002</v>
      </c>
    </row>
    <row r="33" spans="1:93">
      <c r="A33" s="960">
        <v>1</v>
      </c>
      <c r="B33" s="960" t="s">
        <v>617</v>
      </c>
      <c r="C33" s="960">
        <v>0</v>
      </c>
      <c r="D33" s="960">
        <v>0</v>
      </c>
      <c r="E33" s="960">
        <v>0</v>
      </c>
      <c r="F33" s="960">
        <v>0</v>
      </c>
      <c r="G33" s="960">
        <v>0</v>
      </c>
      <c r="H33" s="960">
        <v>0</v>
      </c>
      <c r="I33" s="960">
        <v>0</v>
      </c>
      <c r="J33" s="960">
        <v>1</v>
      </c>
      <c r="K33" s="960">
        <v>0</v>
      </c>
      <c r="L33" s="960">
        <v>0</v>
      </c>
      <c r="M33" s="960">
        <v>0</v>
      </c>
      <c r="N33" s="960" t="s">
        <v>630</v>
      </c>
      <c r="O33" s="960">
        <v>0</v>
      </c>
      <c r="P33" s="960">
        <v>0</v>
      </c>
      <c r="Q33" s="960">
        <v>0</v>
      </c>
      <c r="R33" s="960">
        <v>0</v>
      </c>
      <c r="S33" s="960">
        <v>0</v>
      </c>
      <c r="T33" s="960">
        <v>1</v>
      </c>
      <c r="U33" s="960">
        <v>0</v>
      </c>
      <c r="V33" s="960">
        <v>0</v>
      </c>
      <c r="W33" s="960">
        <v>0</v>
      </c>
      <c r="X33" s="960">
        <v>0</v>
      </c>
      <c r="Y33" s="960">
        <v>0</v>
      </c>
      <c r="Z33" s="960">
        <v>0</v>
      </c>
      <c r="AA33" s="960">
        <v>0</v>
      </c>
      <c r="AB33" s="960">
        <v>0</v>
      </c>
      <c r="AC33" s="960">
        <v>0</v>
      </c>
      <c r="AD33" s="960">
        <v>0</v>
      </c>
      <c r="AE33" s="960">
        <v>0</v>
      </c>
      <c r="AF33" s="960">
        <v>2008</v>
      </c>
      <c r="AG33" s="960">
        <v>0</v>
      </c>
      <c r="AH33" s="960">
        <v>0</v>
      </c>
      <c r="AI33" s="960">
        <v>0</v>
      </c>
      <c r="AJ33" s="960">
        <v>0</v>
      </c>
      <c r="AK33" s="960">
        <v>0</v>
      </c>
      <c r="AL33" s="960">
        <v>1</v>
      </c>
      <c r="AM33" s="960">
        <v>0</v>
      </c>
      <c r="AN33" s="960">
        <v>0</v>
      </c>
      <c r="AO33" s="960">
        <v>0</v>
      </c>
      <c r="AP33" s="960">
        <v>0</v>
      </c>
      <c r="AQ33" s="960">
        <v>0</v>
      </c>
      <c r="AR33" s="960">
        <v>0</v>
      </c>
      <c r="AS33" s="960">
        <v>0</v>
      </c>
      <c r="AT33" s="960">
        <v>0</v>
      </c>
      <c r="AU33" s="960">
        <v>0</v>
      </c>
      <c r="AV33" s="960">
        <v>0</v>
      </c>
      <c r="AW33" s="960">
        <v>11.588700469709837</v>
      </c>
      <c r="AX33" s="960">
        <v>11.690582668897068</v>
      </c>
      <c r="AY33" s="960">
        <v>11.717525014187153</v>
      </c>
      <c r="AZ33" s="960">
        <v>11.706776197994026</v>
      </c>
      <c r="BA33" s="960">
        <v>11.637583868800165</v>
      </c>
      <c r="BB33" s="960">
        <v>0.14238410596026491</v>
      </c>
      <c r="BC33" s="960">
        <v>-0.78502080443828015</v>
      </c>
      <c r="BD33" s="960">
        <v>-0.44401041666666669</v>
      </c>
      <c r="BE33" s="960">
        <v>-1.6014514218009479</v>
      </c>
      <c r="BF33" s="960">
        <v>-6.1646525679758311</v>
      </c>
      <c r="BG33" s="960">
        <v>0.14731839782756281</v>
      </c>
      <c r="BH33" s="960">
        <v>0.10162856248042594</v>
      </c>
      <c r="BI33" s="960">
        <v>0.31541218637992829</v>
      </c>
      <c r="BJ33" s="960">
        <v>0.41521332653408127</v>
      </c>
      <c r="BK33" s="960">
        <v>0.48158529430936708</v>
      </c>
      <c r="BL33" s="960">
        <v>0.20502376103190767</v>
      </c>
      <c r="BM33" s="960">
        <v>0.11290322580645162</v>
      </c>
      <c r="BN33" s="960">
        <v>8.3414793092212447E-2</v>
      </c>
      <c r="BO33" s="960">
        <v>5.738568757436683E-2</v>
      </c>
      <c r="BP33" s="960">
        <v>4.3152336875040741E-2</v>
      </c>
      <c r="BQ33" s="960">
        <v>0.22898212729384099</v>
      </c>
      <c r="BR33" s="960">
        <v>0.45897396065772605</v>
      </c>
      <c r="BS33" s="960">
        <v>7.9941145386986934E-2</v>
      </c>
      <c r="BT33" s="960">
        <v>-0.16617310792943879</v>
      </c>
      <c r="BU33" s="960">
        <v>448633.152</v>
      </c>
      <c r="BV33" s="960">
        <v>950397.15700000001</v>
      </c>
      <c r="BW33" s="960">
        <v>1007030.3099999999</v>
      </c>
      <c r="BX33" s="960">
        <v>1237035.5516000001</v>
      </c>
      <c r="BY33" s="960">
        <v>1361024.848</v>
      </c>
      <c r="BZ33" s="960">
        <v>16966.62</v>
      </c>
      <c r="CA33" s="960">
        <v>97408.668000000005</v>
      </c>
      <c r="CB33" s="960">
        <v>447675.54</v>
      </c>
      <c r="CC33" s="960">
        <v>735666.3334</v>
      </c>
      <c r="CD33" s="960">
        <v>1003229.656</v>
      </c>
      <c r="CE33" s="960">
        <v>-0.69606003752345214</v>
      </c>
      <c r="CF33" s="960">
        <v>-0.26425376964246439</v>
      </c>
      <c r="CG33" s="960">
        <v>-0.12169878658101356</v>
      </c>
      <c r="CH33" s="960">
        <v>-0.60119225376243413</v>
      </c>
      <c r="CI33" s="960">
        <v>-0.20162207769941315</v>
      </c>
      <c r="CJ33" s="960">
        <v>-7.5422317392338817E-2</v>
      </c>
      <c r="CK33" s="960">
        <v>-0.51307518229821469</v>
      </c>
      <c r="CL33" s="960">
        <v>-0.15715199255878848</v>
      </c>
      <c r="CM33" s="960">
        <v>-5.410122164048866E-2</v>
      </c>
      <c r="CN33" s="960" t="s">
        <v>617</v>
      </c>
      <c r="CO33" s="960">
        <v>1624</v>
      </c>
    </row>
    <row r="34" spans="1:93">
      <c r="A34" s="960">
        <v>1</v>
      </c>
      <c r="B34" s="960" t="s">
        <v>616</v>
      </c>
      <c r="C34" s="960">
        <v>0</v>
      </c>
      <c r="D34" s="960">
        <v>0</v>
      </c>
      <c r="E34" s="960">
        <v>0</v>
      </c>
      <c r="F34" s="960">
        <v>0</v>
      </c>
      <c r="G34" s="960">
        <v>0</v>
      </c>
      <c r="H34" s="960">
        <v>0</v>
      </c>
      <c r="I34" s="960">
        <v>1</v>
      </c>
      <c r="J34" s="960">
        <v>0</v>
      </c>
      <c r="K34" s="960">
        <v>0</v>
      </c>
      <c r="L34" s="960">
        <v>0</v>
      </c>
      <c r="M34" s="960">
        <v>0</v>
      </c>
      <c r="N34" s="960" t="s">
        <v>639</v>
      </c>
      <c r="O34" s="960">
        <v>0</v>
      </c>
      <c r="P34" s="960">
        <v>0</v>
      </c>
      <c r="Q34" s="960">
        <v>0</v>
      </c>
      <c r="R34" s="960">
        <v>0</v>
      </c>
      <c r="S34" s="960">
        <v>0</v>
      </c>
      <c r="T34" s="960">
        <v>0</v>
      </c>
      <c r="U34" s="960">
        <v>0</v>
      </c>
      <c r="V34" s="960">
        <v>0</v>
      </c>
      <c r="W34" s="960">
        <v>0</v>
      </c>
      <c r="X34" s="960">
        <v>0</v>
      </c>
      <c r="Y34" s="960">
        <v>0</v>
      </c>
      <c r="Z34" s="960">
        <v>0</v>
      </c>
      <c r="AA34" s="960">
        <v>0</v>
      </c>
      <c r="AB34" s="960">
        <v>0</v>
      </c>
      <c r="AC34" s="960">
        <v>0</v>
      </c>
      <c r="AD34" s="960">
        <v>0</v>
      </c>
      <c r="AE34" s="960">
        <v>0</v>
      </c>
      <c r="AF34" s="960">
        <v>2008</v>
      </c>
      <c r="AG34" s="960">
        <v>0</v>
      </c>
      <c r="AH34" s="960">
        <v>0</v>
      </c>
      <c r="AI34" s="960">
        <v>0</v>
      </c>
      <c r="AJ34" s="960">
        <v>0</v>
      </c>
      <c r="AK34" s="960">
        <v>0</v>
      </c>
      <c r="AL34" s="960">
        <v>1</v>
      </c>
      <c r="AM34" s="960">
        <v>0</v>
      </c>
      <c r="AN34" s="960">
        <v>0</v>
      </c>
      <c r="AO34" s="960">
        <v>0</v>
      </c>
      <c r="AP34" s="960">
        <v>0</v>
      </c>
      <c r="AQ34" s="960">
        <v>0</v>
      </c>
      <c r="AR34" s="960">
        <v>0</v>
      </c>
      <c r="AS34" s="960">
        <v>0</v>
      </c>
      <c r="AT34" s="960">
        <v>0</v>
      </c>
      <c r="AU34" s="960">
        <v>0</v>
      </c>
      <c r="AV34" s="960">
        <v>0</v>
      </c>
      <c r="AW34" s="960">
        <v>10.193579186212212</v>
      </c>
      <c r="AX34" s="960">
        <v>10.02031640376998</v>
      </c>
      <c r="AY34" s="960">
        <v>9.835644223464902</v>
      </c>
      <c r="AZ34" s="960">
        <v>9.9072705723847161</v>
      </c>
      <c r="BA34" s="960">
        <v>8.3148150645445646</v>
      </c>
      <c r="BB34" s="960">
        <v>0.22751598484696639</v>
      </c>
      <c r="BC34" s="960">
        <v>0.15334217702115116</v>
      </c>
      <c r="BD34" s="960">
        <v>0.11112346006206772</v>
      </c>
      <c r="BE34" s="960">
        <v>0.19221779429543723</v>
      </c>
      <c r="BF34" s="960">
        <v>-1.1941174005949639E-2</v>
      </c>
      <c r="BG34" s="960">
        <v>0.21849280934073759</v>
      </c>
      <c r="BH34" s="960">
        <v>0.18776082149190987</v>
      </c>
      <c r="BI34" s="960">
        <v>0.1279419077872388</v>
      </c>
      <c r="BJ34" s="960">
        <v>0.15018377547917655</v>
      </c>
      <c r="BK34" s="960">
        <v>0.12676812891674127</v>
      </c>
      <c r="BL34" s="960">
        <v>0.53279581375480567</v>
      </c>
      <c r="BM34" s="960">
        <v>0.59418036914588479</v>
      </c>
      <c r="BN34" s="960">
        <v>0.59355241391209035</v>
      </c>
      <c r="BO34" s="960">
        <v>0.59568327669812271</v>
      </c>
      <c r="BP34" s="960">
        <v>0.15827447859677043</v>
      </c>
      <c r="BQ34" s="960">
        <v>6.7847581051729056E-2</v>
      </c>
      <c r="BR34" s="960">
        <v>7.7799202815695037E-2</v>
      </c>
      <c r="BS34" s="960">
        <v>1.5208291589203375</v>
      </c>
      <c r="BT34" s="960">
        <v>1.1737788704975216E-3</v>
      </c>
      <c r="BU34" s="960">
        <v>39208.965840000004</v>
      </c>
      <c r="BV34" s="960">
        <v>30727.796246000002</v>
      </c>
      <c r="BW34" s="960">
        <v>27456.794040000001</v>
      </c>
      <c r="BX34" s="960">
        <v>28640.628944</v>
      </c>
      <c r="BY34" s="960">
        <v>22531.857047999998</v>
      </c>
      <c r="BZ34" s="960">
        <v>0</v>
      </c>
      <c r="CA34" s="960">
        <v>0</v>
      </c>
      <c r="CB34" s="960">
        <v>0</v>
      </c>
      <c r="CC34" s="960">
        <v>0</v>
      </c>
      <c r="CD34" s="960">
        <v>13.175623999999999</v>
      </c>
      <c r="CE34" s="960">
        <v>-3.7012987012987013</v>
      </c>
      <c r="CF34" s="960" t="e">
        <v>#DIV/0!</v>
      </c>
      <c r="CG34" s="960" t="e">
        <v>#DIV/0!</v>
      </c>
      <c r="CH34" s="960">
        <v>-0.47109669401522586</v>
      </c>
      <c r="CI34" s="960" t="e">
        <v>#DIV/0!</v>
      </c>
      <c r="CJ34" s="960" t="e">
        <v>#DIV/0!</v>
      </c>
      <c r="CK34" s="960">
        <v>-2.1643542250472741E-3</v>
      </c>
      <c r="CL34" s="960">
        <v>0.13473610204389092</v>
      </c>
      <c r="CM34" s="960">
        <v>7.5634848590647757E-2</v>
      </c>
      <c r="CN34" s="960" t="s">
        <v>616</v>
      </c>
      <c r="CO34" s="960">
        <v>1620.8000000000002</v>
      </c>
    </row>
    <row r="35" spans="1:93">
      <c r="A35" s="960">
        <v>1</v>
      </c>
      <c r="B35" s="960" t="s">
        <v>616</v>
      </c>
      <c r="C35" s="960">
        <v>0</v>
      </c>
      <c r="D35" s="960">
        <v>0</v>
      </c>
      <c r="E35" s="960">
        <v>0</v>
      </c>
      <c r="F35" s="960">
        <v>0</v>
      </c>
      <c r="G35" s="960">
        <v>0</v>
      </c>
      <c r="H35" s="960">
        <v>0</v>
      </c>
      <c r="I35" s="960">
        <v>1</v>
      </c>
      <c r="J35" s="960">
        <v>0</v>
      </c>
      <c r="K35" s="960">
        <v>0</v>
      </c>
      <c r="L35" s="960">
        <v>0</v>
      </c>
      <c r="M35" s="960">
        <v>0</v>
      </c>
      <c r="N35" s="960" t="s">
        <v>631</v>
      </c>
      <c r="O35" s="960">
        <v>0</v>
      </c>
      <c r="P35" s="960">
        <v>0</v>
      </c>
      <c r="Q35" s="960">
        <v>0</v>
      </c>
      <c r="R35" s="960">
        <v>0</v>
      </c>
      <c r="S35" s="960">
        <v>0</v>
      </c>
      <c r="T35" s="960">
        <v>0</v>
      </c>
      <c r="U35" s="960">
        <v>1</v>
      </c>
      <c r="V35" s="960">
        <v>0</v>
      </c>
      <c r="W35" s="960">
        <v>0</v>
      </c>
      <c r="X35" s="960">
        <v>0</v>
      </c>
      <c r="Y35" s="960">
        <v>0</v>
      </c>
      <c r="Z35" s="960">
        <v>0</v>
      </c>
      <c r="AA35" s="960">
        <v>0</v>
      </c>
      <c r="AB35" s="960">
        <v>0</v>
      </c>
      <c r="AC35" s="960">
        <v>0</v>
      </c>
      <c r="AD35" s="960">
        <v>0</v>
      </c>
      <c r="AE35" s="960">
        <v>0</v>
      </c>
      <c r="AF35" s="960">
        <v>2008</v>
      </c>
      <c r="AG35" s="960">
        <v>0</v>
      </c>
      <c r="AH35" s="960">
        <v>0</v>
      </c>
      <c r="AI35" s="960">
        <v>0</v>
      </c>
      <c r="AJ35" s="960">
        <v>0</v>
      </c>
      <c r="AK35" s="960">
        <v>0</v>
      </c>
      <c r="AL35" s="960">
        <v>1</v>
      </c>
      <c r="AM35" s="960">
        <v>0</v>
      </c>
      <c r="AN35" s="960">
        <v>0</v>
      </c>
      <c r="AO35" s="960">
        <v>0</v>
      </c>
      <c r="AP35" s="960">
        <v>0</v>
      </c>
      <c r="AQ35" s="960">
        <v>0</v>
      </c>
      <c r="AR35" s="960">
        <v>0</v>
      </c>
      <c r="AS35" s="960">
        <v>0</v>
      </c>
      <c r="AT35" s="960">
        <v>0</v>
      </c>
      <c r="AU35" s="960">
        <v>0</v>
      </c>
      <c r="AV35" s="960">
        <v>0</v>
      </c>
      <c r="AW35" s="960">
        <v>7.3708404130376524</v>
      </c>
      <c r="AX35" s="960">
        <v>7.9036820125746345</v>
      </c>
      <c r="AY35" s="960">
        <v>7.5482548379409939</v>
      </c>
      <c r="AZ35" s="960">
        <v>7.7007158989805173</v>
      </c>
      <c r="BA35" s="960">
        <v>7.4741709035377708</v>
      </c>
      <c r="BB35" s="960">
        <v>4.3622569405417551</v>
      </c>
      <c r="BC35" s="960">
        <v>2.0610084444988375</v>
      </c>
      <c r="BD35" s="960">
        <v>2.8636746379252274</v>
      </c>
      <c r="BE35" s="960">
        <v>-1.2530100878620241</v>
      </c>
      <c r="BF35" s="960">
        <v>1.6214431387782848</v>
      </c>
      <c r="BG35" s="960">
        <v>0.6584325465494566</v>
      </c>
      <c r="BH35" s="960">
        <v>0.78404871767357021</v>
      </c>
      <c r="BI35" s="960">
        <v>0.8574143502374042</v>
      </c>
      <c r="BJ35" s="960">
        <v>0.70232111090871741</v>
      </c>
      <c r="BK35" s="960">
        <v>0.52152500840820648</v>
      </c>
      <c r="BL35" s="960">
        <v>3.8489824877137119E-2</v>
      </c>
      <c r="BM35" s="960">
        <v>4.3840540830561221E-2</v>
      </c>
      <c r="BN35" s="960">
        <v>3.6169493486993783E-2</v>
      </c>
      <c r="BO35" s="960">
        <v>4.7639163950500538E-2</v>
      </c>
      <c r="BP35" s="960">
        <v>8.2456477522061533E-2</v>
      </c>
      <c r="BQ35" s="960">
        <v>-3.0120828560666779E-2</v>
      </c>
      <c r="BR35" s="960">
        <v>0.44699787641077704</v>
      </c>
      <c r="BS35" s="960">
        <v>7.4083934403222598E-2</v>
      </c>
      <c r="BT35" s="960">
        <v>0.33588934182919772</v>
      </c>
      <c r="BU35" s="960">
        <v>14100.868584</v>
      </c>
      <c r="BV35" s="960">
        <v>13335.379178000001</v>
      </c>
      <c r="BW35" s="960">
        <v>7479.9520899999998</v>
      </c>
      <c r="BX35" s="960">
        <v>13809.003087999999</v>
      </c>
      <c r="BY35" s="960">
        <v>10224.113111999999</v>
      </c>
      <c r="BZ35" s="960">
        <v>0</v>
      </c>
      <c r="CA35" s="960">
        <v>0</v>
      </c>
      <c r="CB35" s="960">
        <v>0</v>
      </c>
      <c r="CC35" s="960">
        <v>0</v>
      </c>
      <c r="CD35" s="960">
        <v>0</v>
      </c>
      <c r="CE35" s="960" t="e">
        <v>#DIV/0!</v>
      </c>
      <c r="CF35" s="960" t="e">
        <v>#DIV/0!</v>
      </c>
      <c r="CG35" s="960" t="e">
        <v>#DIV/0!</v>
      </c>
      <c r="CH35" s="960" t="e">
        <v>#DIV/0!</v>
      </c>
      <c r="CI35" s="960" t="e">
        <v>#DIV/0!</v>
      </c>
      <c r="CJ35" s="960" t="e">
        <v>#DIV/0!</v>
      </c>
      <c r="CK35" s="960">
        <v>0.27942628575253969</v>
      </c>
      <c r="CL35" s="960">
        <v>-0.20052598687636705</v>
      </c>
      <c r="CM35" s="960">
        <v>0.72642416216331673</v>
      </c>
      <c r="CN35" s="960" t="s">
        <v>616</v>
      </c>
      <c r="CO35" s="960">
        <v>1620.8000000000002</v>
      </c>
    </row>
    <row r="36" spans="1:93">
      <c r="A36" s="960">
        <v>1</v>
      </c>
      <c r="B36" s="960" t="s">
        <v>616</v>
      </c>
      <c r="C36" s="960">
        <v>0</v>
      </c>
      <c r="D36" s="960">
        <v>0</v>
      </c>
      <c r="E36" s="960">
        <v>0</v>
      </c>
      <c r="F36" s="960">
        <v>0</v>
      </c>
      <c r="G36" s="960">
        <v>0</v>
      </c>
      <c r="H36" s="960">
        <v>0</v>
      </c>
      <c r="I36" s="960">
        <v>1</v>
      </c>
      <c r="J36" s="960">
        <v>0</v>
      </c>
      <c r="K36" s="960">
        <v>0</v>
      </c>
      <c r="L36" s="960">
        <v>0</v>
      </c>
      <c r="M36" s="960">
        <v>0</v>
      </c>
      <c r="N36" s="960" t="s">
        <v>629</v>
      </c>
      <c r="O36" s="960">
        <v>0</v>
      </c>
      <c r="P36" s="960">
        <v>0</v>
      </c>
      <c r="Q36" s="960">
        <v>0</v>
      </c>
      <c r="R36" s="960">
        <v>0</v>
      </c>
      <c r="S36" s="960">
        <v>1</v>
      </c>
      <c r="T36" s="960">
        <v>0</v>
      </c>
      <c r="U36" s="960">
        <v>0</v>
      </c>
      <c r="V36" s="960">
        <v>0</v>
      </c>
      <c r="W36" s="960">
        <v>0</v>
      </c>
      <c r="X36" s="960">
        <v>0</v>
      </c>
      <c r="Y36" s="960">
        <v>0</v>
      </c>
      <c r="Z36" s="960">
        <v>0</v>
      </c>
      <c r="AA36" s="960">
        <v>0</v>
      </c>
      <c r="AB36" s="960">
        <v>0</v>
      </c>
      <c r="AC36" s="960">
        <v>0</v>
      </c>
      <c r="AD36" s="960">
        <v>0</v>
      </c>
      <c r="AE36" s="960">
        <v>0</v>
      </c>
      <c r="AF36" s="960">
        <v>2006</v>
      </c>
      <c r="AG36" s="960">
        <v>0</v>
      </c>
      <c r="AH36" s="960">
        <v>0</v>
      </c>
      <c r="AI36" s="960">
        <v>0</v>
      </c>
      <c r="AJ36" s="960">
        <v>1</v>
      </c>
      <c r="AK36" s="960">
        <v>0</v>
      </c>
      <c r="AL36" s="960">
        <v>0</v>
      </c>
      <c r="AM36" s="960">
        <v>0</v>
      </c>
      <c r="AN36" s="960">
        <v>0</v>
      </c>
      <c r="AO36" s="960">
        <v>0</v>
      </c>
      <c r="AP36" s="960">
        <v>0</v>
      </c>
      <c r="AQ36" s="960">
        <v>0</v>
      </c>
      <c r="AR36" s="960">
        <v>0</v>
      </c>
      <c r="AS36" s="960">
        <v>0</v>
      </c>
      <c r="AT36" s="960">
        <v>0</v>
      </c>
      <c r="AU36" s="960">
        <v>0</v>
      </c>
      <c r="AV36" s="960">
        <v>0</v>
      </c>
      <c r="AW36" s="960">
        <v>11.893854260535866</v>
      </c>
      <c r="AX36" s="960">
        <v>11.851558486613129</v>
      </c>
      <c r="AY36" s="960">
        <v>11.791517865679912</v>
      </c>
      <c r="AZ36" s="960">
        <v>11.64111831813724</v>
      </c>
      <c r="BA36" s="960">
        <v>11.420164367375508</v>
      </c>
      <c r="BB36" s="960">
        <v>1.1222647457575315E-2</v>
      </c>
      <c r="BC36" s="960">
        <v>4.463164477157517E-3</v>
      </c>
      <c r="BD36" s="960">
        <v>2.4986855158087771E-2</v>
      </c>
      <c r="BE36" s="960">
        <v>9.1953265329663986E-3</v>
      </c>
      <c r="BF36" s="960">
        <v>2.6197714609371536E-2</v>
      </c>
      <c r="BG36" s="960">
        <v>0.29455691274514573</v>
      </c>
      <c r="BH36" s="960">
        <v>0.24979880640500304</v>
      </c>
      <c r="BI36" s="960">
        <v>0.30039584798349867</v>
      </c>
      <c r="BJ36" s="960">
        <v>0.63418841726601904</v>
      </c>
      <c r="BK36" s="960">
        <v>0.69598513677313123</v>
      </c>
      <c r="BL36" s="960">
        <v>1.1145238211105162</v>
      </c>
      <c r="BM36" s="960">
        <v>1.0278826004091046</v>
      </c>
      <c r="BN36" s="960">
        <v>0.95429395574857023</v>
      </c>
      <c r="BO36" s="960">
        <v>0.84994362468748463</v>
      </c>
      <c r="BP36" s="960">
        <v>0.9909234912353958</v>
      </c>
      <c r="BQ36" s="960">
        <v>-2.1151259725788289E-3</v>
      </c>
      <c r="BR36" s="960">
        <v>-5.1306933021091176E-2</v>
      </c>
      <c r="BS36" s="960">
        <v>0.37135349830440423</v>
      </c>
      <c r="BT36" s="960">
        <v>-0.39558928878963256</v>
      </c>
      <c r="BU36" s="960">
        <v>92641.835649999994</v>
      </c>
      <c r="BV36" s="960">
        <v>102399.81309</v>
      </c>
      <c r="BW36" s="960">
        <v>96863.423183999999</v>
      </c>
      <c r="BX36" s="960">
        <v>48926.120495999996</v>
      </c>
      <c r="BY36" s="960">
        <v>27962.053336999998</v>
      </c>
      <c r="BZ36" s="960">
        <v>199.87226999999999</v>
      </c>
      <c r="CA36" s="960">
        <v>2654.3605040000002</v>
      </c>
      <c r="CB36" s="960">
        <v>3762.2395439999996</v>
      </c>
      <c r="CC36" s="960">
        <v>5539.8045959999999</v>
      </c>
      <c r="CD36" s="960">
        <v>22871.654455</v>
      </c>
      <c r="CE36" s="960">
        <v>0.104395118800775</v>
      </c>
      <c r="CF36" s="960">
        <v>0.18868881562262238</v>
      </c>
      <c r="CG36" s="960">
        <v>0.87751853367899213</v>
      </c>
      <c r="CH36" s="960">
        <v>9.8617381860111653E-2</v>
      </c>
      <c r="CI36" s="960">
        <v>0.12747977049912504</v>
      </c>
      <c r="CJ36" s="960">
        <v>0.28744843939195747</v>
      </c>
      <c r="CK36" s="960">
        <v>8.5390334365772688E-2</v>
      </c>
      <c r="CL36" s="960">
        <v>2.1364848825188573E-2</v>
      </c>
      <c r="CM36" s="960">
        <v>3.4083401344681512E-2</v>
      </c>
      <c r="CN36" s="960" t="s">
        <v>616</v>
      </c>
      <c r="CO36" s="960">
        <v>1418.1999999999998</v>
      </c>
    </row>
    <row r="37" spans="1:93">
      <c r="A37" s="960">
        <v>1</v>
      </c>
      <c r="B37" s="960" t="s">
        <v>615</v>
      </c>
      <c r="C37" s="960">
        <v>0</v>
      </c>
      <c r="D37" s="960">
        <v>0</v>
      </c>
      <c r="E37" s="960">
        <v>0</v>
      </c>
      <c r="F37" s="960">
        <v>0</v>
      </c>
      <c r="G37" s="960">
        <v>0</v>
      </c>
      <c r="H37" s="960">
        <v>1</v>
      </c>
      <c r="I37" s="960">
        <v>0</v>
      </c>
      <c r="J37" s="960">
        <v>0</v>
      </c>
      <c r="K37" s="960">
        <v>0</v>
      </c>
      <c r="L37" s="960">
        <v>0</v>
      </c>
      <c r="M37" s="960">
        <v>0</v>
      </c>
      <c r="N37" s="960" t="s">
        <v>629</v>
      </c>
      <c r="O37" s="960">
        <v>0</v>
      </c>
      <c r="P37" s="960">
        <v>0</v>
      </c>
      <c r="Q37" s="960">
        <v>0</v>
      </c>
      <c r="R37" s="960">
        <v>0</v>
      </c>
      <c r="S37" s="960">
        <v>1</v>
      </c>
      <c r="T37" s="960">
        <v>0</v>
      </c>
      <c r="U37" s="960">
        <v>0</v>
      </c>
      <c r="V37" s="960">
        <v>0</v>
      </c>
      <c r="W37" s="960">
        <v>0</v>
      </c>
      <c r="X37" s="960">
        <v>0</v>
      </c>
      <c r="Y37" s="960">
        <v>0</v>
      </c>
      <c r="Z37" s="960">
        <v>0</v>
      </c>
      <c r="AA37" s="960">
        <v>0</v>
      </c>
      <c r="AB37" s="960">
        <v>0</v>
      </c>
      <c r="AC37" s="960">
        <v>0</v>
      </c>
      <c r="AD37" s="960">
        <v>0</v>
      </c>
      <c r="AE37" s="960">
        <v>0</v>
      </c>
      <c r="AF37" s="960">
        <v>2005</v>
      </c>
      <c r="AG37" s="960">
        <v>0</v>
      </c>
      <c r="AH37" s="960">
        <v>0</v>
      </c>
      <c r="AI37" s="960">
        <v>1</v>
      </c>
      <c r="AJ37" s="960">
        <v>0</v>
      </c>
      <c r="AK37" s="960">
        <v>0</v>
      </c>
      <c r="AL37" s="960">
        <v>0</v>
      </c>
      <c r="AM37" s="960">
        <v>0</v>
      </c>
      <c r="AN37" s="960">
        <v>0</v>
      </c>
      <c r="AO37" s="960">
        <v>0</v>
      </c>
      <c r="AP37" s="960">
        <v>0</v>
      </c>
      <c r="AQ37" s="960">
        <v>0</v>
      </c>
      <c r="AR37" s="960">
        <v>0</v>
      </c>
      <c r="AS37" s="960">
        <v>0</v>
      </c>
      <c r="AT37" s="960">
        <v>0</v>
      </c>
      <c r="AU37" s="960">
        <v>0</v>
      </c>
      <c r="AV37" s="960">
        <v>0</v>
      </c>
      <c r="AW37" s="960">
        <v>10.133331102806116</v>
      </c>
      <c r="AX37" s="960">
        <v>9.9431950752553249</v>
      </c>
      <c r="AY37" s="960">
        <v>9.6749815275763602</v>
      </c>
      <c r="AZ37" s="960">
        <v>9.5276547903243305</v>
      </c>
      <c r="BA37" s="960">
        <v>9.3448571235750588</v>
      </c>
      <c r="BB37" s="960">
        <v>0.19492960161155518</v>
      </c>
      <c r="BC37" s="960">
        <v>0.18325563038062112</v>
      </c>
      <c r="BD37" s="960">
        <v>0.15750649860218746</v>
      </c>
      <c r="BE37" s="960">
        <v>0.16808558813540134</v>
      </c>
      <c r="BF37" s="960">
        <v>6.0869113213431754E-2</v>
      </c>
      <c r="BG37" s="960">
        <v>0.85162121748711284</v>
      </c>
      <c r="BH37" s="960">
        <v>0.8618290660518545</v>
      </c>
      <c r="BI37" s="960">
        <v>0.84405148909395966</v>
      </c>
      <c r="BJ37" s="960">
        <v>0.8174378931655828</v>
      </c>
      <c r="BK37" s="960">
        <v>0.67274167987321709</v>
      </c>
      <c r="BL37" s="960">
        <v>1.377139652933538</v>
      </c>
      <c r="BM37" s="960">
        <v>1.2297961412449945</v>
      </c>
      <c r="BN37" s="960">
        <v>1.3363176384228186</v>
      </c>
      <c r="BO37" s="960">
        <v>1.1772310480861499</v>
      </c>
      <c r="BP37" s="960">
        <v>1.3858233683907217</v>
      </c>
      <c r="BQ37" s="960">
        <v>0.12612487274392795</v>
      </c>
      <c r="BR37" s="960">
        <v>1.0917953570201064</v>
      </c>
      <c r="BS37" s="960">
        <v>0.33012440400130078</v>
      </c>
      <c r="BT37" s="960">
        <v>0.17130980922074257</v>
      </c>
      <c r="BU37" s="960">
        <v>2711.7122380000001</v>
      </c>
      <c r="BV37" s="960">
        <v>2338.2454799999996</v>
      </c>
      <c r="BW37" s="960">
        <v>1857.3729839999999</v>
      </c>
      <c r="BX37" s="960">
        <v>2129.8883219999998</v>
      </c>
      <c r="BY37" s="960">
        <v>2701.4858639999998</v>
      </c>
      <c r="BZ37" s="960">
        <v>4841.9965519999996</v>
      </c>
      <c r="CA37" s="960">
        <v>4246.9998399999995</v>
      </c>
      <c r="CB37" s="960">
        <v>3368.4984239999999</v>
      </c>
      <c r="CC37" s="960">
        <v>2613.3036229999998</v>
      </c>
      <c r="CD37" s="960">
        <v>2826.956592</v>
      </c>
      <c r="CE37" s="960">
        <v>0.24631888935633151</v>
      </c>
      <c r="CF37" s="960">
        <v>0.88338192419825068</v>
      </c>
      <c r="CG37" s="960">
        <v>0.74413754750208538</v>
      </c>
      <c r="CH37" s="960">
        <v>0.25006282291447773</v>
      </c>
      <c r="CI37" s="960">
        <v>0.91998543206599204</v>
      </c>
      <c r="CJ37" s="960">
        <v>0.83855812530255713</v>
      </c>
      <c r="CK37" s="960">
        <v>0.25775918996257979</v>
      </c>
      <c r="CL37" s="960">
        <v>1.0838808585194919</v>
      </c>
      <c r="CM37" s="960">
        <v>1.3495545469826862</v>
      </c>
      <c r="CN37" s="960" t="s">
        <v>615</v>
      </c>
      <c r="CO37" s="960">
        <v>1314.3</v>
      </c>
    </row>
    <row r="38" spans="1:93">
      <c r="A38" s="960">
        <v>1</v>
      </c>
      <c r="B38" s="960" t="s">
        <v>619</v>
      </c>
      <c r="C38" s="960">
        <v>0</v>
      </c>
      <c r="D38" s="960">
        <v>0</v>
      </c>
      <c r="E38" s="960">
        <v>0</v>
      </c>
      <c r="F38" s="960">
        <v>0</v>
      </c>
      <c r="G38" s="960">
        <v>0</v>
      </c>
      <c r="H38" s="960">
        <v>0</v>
      </c>
      <c r="I38" s="960">
        <v>0</v>
      </c>
      <c r="J38" s="960">
        <v>0</v>
      </c>
      <c r="K38" s="960">
        <v>0</v>
      </c>
      <c r="L38" s="960">
        <v>0</v>
      </c>
      <c r="M38" s="960">
        <v>1</v>
      </c>
      <c r="N38" s="960" t="s">
        <v>629</v>
      </c>
      <c r="O38" s="960">
        <v>0</v>
      </c>
      <c r="P38" s="960">
        <v>0</v>
      </c>
      <c r="Q38" s="960">
        <v>0</v>
      </c>
      <c r="R38" s="960">
        <v>0</v>
      </c>
      <c r="S38" s="960">
        <v>1</v>
      </c>
      <c r="T38" s="960">
        <v>0</v>
      </c>
      <c r="U38" s="960">
        <v>0</v>
      </c>
      <c r="V38" s="960">
        <v>0</v>
      </c>
      <c r="W38" s="960">
        <v>0</v>
      </c>
      <c r="X38" s="960">
        <v>0</v>
      </c>
      <c r="Y38" s="960">
        <v>0</v>
      </c>
      <c r="Z38" s="960">
        <v>0</v>
      </c>
      <c r="AA38" s="960">
        <v>0</v>
      </c>
      <c r="AB38" s="960">
        <v>0</v>
      </c>
      <c r="AC38" s="960">
        <v>0</v>
      </c>
      <c r="AD38" s="960">
        <v>0</v>
      </c>
      <c r="AE38" s="960">
        <v>0</v>
      </c>
      <c r="AF38" s="960">
        <v>2005</v>
      </c>
      <c r="AG38" s="960">
        <v>0</v>
      </c>
      <c r="AH38" s="960">
        <v>0</v>
      </c>
      <c r="AI38" s="960">
        <v>1</v>
      </c>
      <c r="AJ38" s="960">
        <v>0</v>
      </c>
      <c r="AK38" s="960">
        <v>0</v>
      </c>
      <c r="AL38" s="960">
        <v>0</v>
      </c>
      <c r="AM38" s="960">
        <v>0</v>
      </c>
      <c r="AN38" s="960">
        <v>0</v>
      </c>
      <c r="AO38" s="960">
        <v>0</v>
      </c>
      <c r="AP38" s="960">
        <v>0</v>
      </c>
      <c r="AQ38" s="960">
        <v>0</v>
      </c>
      <c r="AR38" s="960">
        <v>0</v>
      </c>
      <c r="AS38" s="960">
        <v>0</v>
      </c>
      <c r="AT38" s="960">
        <v>0</v>
      </c>
      <c r="AU38" s="960">
        <v>0</v>
      </c>
      <c r="AV38" s="960">
        <v>0</v>
      </c>
      <c r="AW38" s="960">
        <v>10.567919262748541</v>
      </c>
      <c r="AX38" s="960">
        <v>10.747787795495315</v>
      </c>
      <c r="AY38" s="960">
        <v>10.19346532785322</v>
      </c>
      <c r="AZ38" s="960">
        <v>10.029729701697129</v>
      </c>
      <c r="BA38" s="960">
        <v>10.084773798819414</v>
      </c>
      <c r="BB38" s="960">
        <v>2.6022332159633E-2</v>
      </c>
      <c r="BC38" s="960">
        <v>0.25316732284246485</v>
      </c>
      <c r="BD38" s="960">
        <v>0.11457891308115728</v>
      </c>
      <c r="BE38" s="960">
        <v>0.58779838431444054</v>
      </c>
      <c r="BF38" s="960">
        <v>0.36815137076168747</v>
      </c>
      <c r="BG38" s="960">
        <v>0.92606917606139127</v>
      </c>
      <c r="BH38" s="960">
        <v>0.94300868553583561</v>
      </c>
      <c r="BI38" s="960">
        <v>0.9341476363396658</v>
      </c>
      <c r="BJ38" s="960">
        <v>0.91166118919973127</v>
      </c>
      <c r="BK38" s="960">
        <v>0.93260833304548263</v>
      </c>
      <c r="BL38" s="960">
        <v>2.5827488921881653E-2</v>
      </c>
      <c r="BM38" s="960">
        <v>1.8419635102265512E-2</v>
      </c>
      <c r="BN38" s="960">
        <v>1.4359597827930295E-2</v>
      </c>
      <c r="BO38" s="960">
        <v>1.8139108098428822E-2</v>
      </c>
      <c r="BP38" s="960">
        <v>1.9463476848193603E-2</v>
      </c>
      <c r="BQ38" s="960">
        <v>-5.5201985700440419E-3</v>
      </c>
      <c r="BR38" s="960">
        <v>-8.1341257330579841E-2</v>
      </c>
      <c r="BS38" s="960">
        <v>0.10869152903380605</v>
      </c>
      <c r="BT38" s="960">
        <v>1.5393032941831697E-3</v>
      </c>
      <c r="BU38" s="960">
        <v>111258.147830769</v>
      </c>
      <c r="BV38" s="960">
        <v>143957.11722326299</v>
      </c>
      <c r="BW38" s="960">
        <v>122572.845569193</v>
      </c>
      <c r="BX38" s="960">
        <v>110507.38537617</v>
      </c>
      <c r="BY38" s="960">
        <v>83013.4100517482</v>
      </c>
      <c r="BZ38" s="960">
        <v>29653.715611338601</v>
      </c>
      <c r="CA38" s="960">
        <v>37723.475248575203</v>
      </c>
      <c r="CB38" s="960">
        <v>30617.093180984299</v>
      </c>
      <c r="CC38" s="960">
        <v>2845.19940534234</v>
      </c>
      <c r="CD38" s="960">
        <v>42798.0129644275</v>
      </c>
      <c r="CE38" s="960">
        <v>0.20623597678916822</v>
      </c>
      <c r="CF38" s="960">
        <v>4.6878309625168679</v>
      </c>
      <c r="CG38" s="960">
        <v>0.10002452220825085</v>
      </c>
      <c r="CH38" s="960">
        <v>0.19950286939422202</v>
      </c>
      <c r="CI38" s="960">
        <v>4.2843761943815295</v>
      </c>
      <c r="CJ38" s="960">
        <v>9.5082986268528263E-2</v>
      </c>
      <c r="CK38" s="960">
        <v>0.10632607433970015</v>
      </c>
      <c r="CL38" s="960">
        <v>0.12069613104586754</v>
      </c>
      <c r="CM38" s="960">
        <v>2.4984817009120305E-2</v>
      </c>
      <c r="CN38" s="960" t="s">
        <v>619</v>
      </c>
      <c r="CO38" s="960">
        <v>1327.3</v>
      </c>
    </row>
    <row r="39" spans="1:93">
      <c r="A39" s="960">
        <v>1</v>
      </c>
      <c r="B39" s="960" t="s">
        <v>619</v>
      </c>
      <c r="C39" s="960">
        <v>0</v>
      </c>
      <c r="D39" s="960">
        <v>0</v>
      </c>
      <c r="E39" s="960">
        <v>0</v>
      </c>
      <c r="F39" s="960">
        <v>0</v>
      </c>
      <c r="G39" s="960">
        <v>0</v>
      </c>
      <c r="H39" s="960">
        <v>0</v>
      </c>
      <c r="I39" s="960">
        <v>0</v>
      </c>
      <c r="J39" s="960">
        <v>0</v>
      </c>
      <c r="K39" s="960">
        <v>0</v>
      </c>
      <c r="L39" s="960">
        <v>0</v>
      </c>
      <c r="M39" s="960">
        <v>1</v>
      </c>
      <c r="N39" s="960" t="s">
        <v>636</v>
      </c>
      <c r="O39" s="960">
        <v>0</v>
      </c>
      <c r="P39" s="960">
        <v>0</v>
      </c>
      <c r="Q39" s="960">
        <v>0</v>
      </c>
      <c r="R39" s="960">
        <v>0</v>
      </c>
      <c r="S39" s="960">
        <v>0</v>
      </c>
      <c r="T39" s="960">
        <v>0</v>
      </c>
      <c r="U39" s="960">
        <v>0</v>
      </c>
      <c r="V39" s="960">
        <v>0</v>
      </c>
      <c r="W39" s="960">
        <v>0</v>
      </c>
      <c r="X39" s="960">
        <v>0</v>
      </c>
      <c r="Y39" s="960">
        <v>0</v>
      </c>
      <c r="Z39" s="960">
        <v>0</v>
      </c>
      <c r="AA39" s="960">
        <v>0</v>
      </c>
      <c r="AB39" s="960">
        <v>0</v>
      </c>
      <c r="AC39" s="960">
        <v>1</v>
      </c>
      <c r="AD39" s="960">
        <v>0</v>
      </c>
      <c r="AE39" s="960">
        <v>0</v>
      </c>
      <c r="AF39" s="960">
        <v>2007</v>
      </c>
      <c r="AG39" s="960">
        <v>0</v>
      </c>
      <c r="AH39" s="960">
        <v>0</v>
      </c>
      <c r="AI39" s="960">
        <v>0</v>
      </c>
      <c r="AJ39" s="960">
        <v>0</v>
      </c>
      <c r="AK39" s="960">
        <v>1</v>
      </c>
      <c r="AL39" s="960">
        <v>0</v>
      </c>
      <c r="AM39" s="960">
        <v>0</v>
      </c>
      <c r="AN39" s="960">
        <v>0</v>
      </c>
      <c r="AO39" s="960">
        <v>0</v>
      </c>
      <c r="AP39" s="960">
        <v>0</v>
      </c>
      <c r="AQ39" s="960">
        <v>0</v>
      </c>
      <c r="AR39" s="960">
        <v>0</v>
      </c>
      <c r="AS39" s="960">
        <v>0</v>
      </c>
      <c r="AT39" s="960">
        <v>0</v>
      </c>
      <c r="AU39" s="960">
        <v>0</v>
      </c>
      <c r="AV39" s="960">
        <v>0</v>
      </c>
      <c r="AW39" s="960">
        <v>6.8853212433727657</v>
      </c>
      <c r="AX39" s="960">
        <v>7.2272779483488812</v>
      </c>
      <c r="AY39" s="960">
        <v>7.4543065488224141</v>
      </c>
      <c r="AZ39" s="960">
        <v>6.7442572957550713</v>
      </c>
      <c r="BA39" s="960">
        <v>0</v>
      </c>
      <c r="BB39" s="960">
        <v>-0.1</v>
      </c>
      <c r="BC39" s="960">
        <v>3.8771995977878304</v>
      </c>
      <c r="BD39" s="960">
        <v>-2.3304110495409858</v>
      </c>
      <c r="BE39" s="960">
        <v>2.0430996952546838</v>
      </c>
      <c r="BF39" s="960">
        <v>504.63259658217402</v>
      </c>
      <c r="BG39" s="960">
        <v>0.15918261368804398</v>
      </c>
      <c r="BH39" s="960">
        <v>0.20355522923680405</v>
      </c>
      <c r="BI39" s="960">
        <v>0.27670562866384396</v>
      </c>
      <c r="BJ39" s="960">
        <v>4.5757604375037675E-2</v>
      </c>
      <c r="BK39" s="960">
        <v>4.7901054268746746E-2</v>
      </c>
      <c r="BL39" s="960">
        <v>4.6204162728964559E-3</v>
      </c>
      <c r="BM39" s="960">
        <v>6.072174618523816E-3</v>
      </c>
      <c r="BN39" s="960">
        <v>8.6332835895494998E-3</v>
      </c>
      <c r="BO39" s="960">
        <v>7.8881171713356211E-3</v>
      </c>
      <c r="BP39" s="960">
        <v>1.2912780748392049E-5</v>
      </c>
      <c r="BQ39" s="960">
        <v>-2.6635309549064408E-2</v>
      </c>
      <c r="BR39" s="960">
        <v>-3.4659996134424255E-2</v>
      </c>
      <c r="BS39" s="960">
        <v>7.4543065488224141</v>
      </c>
      <c r="BT39" s="960">
        <v>0.22880457439509722</v>
      </c>
      <c r="BU39" s="960">
        <v>177941.64485409899</v>
      </c>
      <c r="BV39" s="960">
        <v>180542.03990832</v>
      </c>
      <c r="BW39" s="960">
        <v>144711.43504053398</v>
      </c>
      <c r="BX39" s="960">
        <v>102725.878554761</v>
      </c>
      <c r="BY39" s="960">
        <v>73733.068367153406</v>
      </c>
      <c r="BZ39" s="960">
        <v>32346.246938779997</v>
      </c>
      <c r="CA39" s="960">
        <v>41187.888905107997</v>
      </c>
      <c r="CB39" s="960">
        <v>40318.430373802803</v>
      </c>
      <c r="CC39" s="960">
        <v>2977.4491841793101</v>
      </c>
      <c r="CD39" s="960">
        <v>3264.377053231</v>
      </c>
      <c r="CE39" s="960">
        <v>0.15458771715194514</v>
      </c>
      <c r="CF39" s="960">
        <v>0.5826918301465116</v>
      </c>
      <c r="CG39" s="960">
        <v>-9.9837366110498912E-2</v>
      </c>
      <c r="CH39" s="960">
        <v>1.3921124706734385E-2</v>
      </c>
      <c r="CI39" s="960">
        <v>4.2778718572199184E-2</v>
      </c>
      <c r="CJ39" s="960">
        <v>-4.7744694715589411E-2</v>
      </c>
      <c r="CK39" s="960">
        <v>6.8440471522134248E-3</v>
      </c>
      <c r="CL39" s="960">
        <v>1.6888980057472299E-2</v>
      </c>
      <c r="CM39" s="960">
        <v>-2.781594898221083E-2</v>
      </c>
      <c r="CN39" s="960" t="s">
        <v>619</v>
      </c>
      <c r="CO39" s="960">
        <v>1531.5</v>
      </c>
    </row>
    <row r="40" spans="1:93">
      <c r="A40" s="960">
        <v>1</v>
      </c>
      <c r="B40" s="960" t="s">
        <v>622</v>
      </c>
      <c r="C40" s="960">
        <v>0</v>
      </c>
      <c r="D40" s="960">
        <v>1</v>
      </c>
      <c r="E40" s="960">
        <v>0</v>
      </c>
      <c r="F40" s="960">
        <v>0</v>
      </c>
      <c r="G40" s="960">
        <v>0</v>
      </c>
      <c r="H40" s="960">
        <v>0</v>
      </c>
      <c r="I40" s="960">
        <v>0</v>
      </c>
      <c r="J40" s="960">
        <v>0</v>
      </c>
      <c r="K40" s="960">
        <v>0</v>
      </c>
      <c r="L40" s="960">
        <v>0</v>
      </c>
      <c r="M40" s="960">
        <v>0</v>
      </c>
      <c r="N40" s="960" t="s">
        <v>625</v>
      </c>
      <c r="O40" s="960">
        <v>0</v>
      </c>
      <c r="P40" s="960">
        <v>0</v>
      </c>
      <c r="Q40" s="960">
        <v>0</v>
      </c>
      <c r="R40" s="960">
        <v>0</v>
      </c>
      <c r="S40" s="960">
        <v>0</v>
      </c>
      <c r="T40" s="960">
        <v>0</v>
      </c>
      <c r="U40" s="960">
        <v>0</v>
      </c>
      <c r="V40" s="960">
        <v>0</v>
      </c>
      <c r="W40" s="960">
        <v>0</v>
      </c>
      <c r="X40" s="960">
        <v>0</v>
      </c>
      <c r="Y40" s="960">
        <v>0</v>
      </c>
      <c r="Z40" s="960">
        <v>0</v>
      </c>
      <c r="AA40" s="960">
        <v>0</v>
      </c>
      <c r="AB40" s="960">
        <v>0</v>
      </c>
      <c r="AC40" s="960">
        <v>0</v>
      </c>
      <c r="AD40" s="960">
        <v>1</v>
      </c>
      <c r="AE40" s="960">
        <v>0</v>
      </c>
      <c r="AF40" s="960">
        <v>2007</v>
      </c>
      <c r="AG40" s="960">
        <v>0</v>
      </c>
      <c r="AH40" s="960">
        <v>0</v>
      </c>
      <c r="AI40" s="960">
        <v>0</v>
      </c>
      <c r="AJ40" s="960">
        <v>0</v>
      </c>
      <c r="AK40" s="960">
        <v>1</v>
      </c>
      <c r="AL40" s="960">
        <v>0</v>
      </c>
      <c r="AM40" s="960">
        <v>0</v>
      </c>
      <c r="AN40" s="960">
        <v>0</v>
      </c>
      <c r="AO40" s="960">
        <v>0</v>
      </c>
      <c r="AP40" s="960">
        <v>0</v>
      </c>
      <c r="AQ40" s="960">
        <v>0</v>
      </c>
      <c r="AR40" s="960">
        <v>0</v>
      </c>
      <c r="AS40" s="960">
        <v>0</v>
      </c>
      <c r="AT40" s="960">
        <v>0</v>
      </c>
      <c r="AU40" s="960">
        <v>0</v>
      </c>
      <c r="AV40" s="960">
        <v>0</v>
      </c>
      <c r="AW40" s="960">
        <v>5.8292467538767774</v>
      </c>
      <c r="AX40" s="960">
        <v>6.0680410378643357</v>
      </c>
      <c r="AY40" s="960">
        <v>5.7647432191493708</v>
      </c>
      <c r="AZ40" s="960">
        <v>6.579969792573535</v>
      </c>
      <c r="BA40" s="960">
        <v>6.4319842687858317</v>
      </c>
      <c r="BB40" s="960">
        <v>-65.321123933768121</v>
      </c>
      <c r="BC40" s="960">
        <v>-6.4919871794871824</v>
      </c>
      <c r="BD40" s="960">
        <v>2.8405017921146931</v>
      </c>
      <c r="BE40" s="960">
        <v>-8.9851205746536653</v>
      </c>
      <c r="BF40" s="960">
        <v>-0.38431876606683807</v>
      </c>
      <c r="BG40" s="960">
        <v>0.45728911406106781</v>
      </c>
      <c r="BH40" s="960">
        <v>0.31398964787128941</v>
      </c>
      <c r="BI40" s="960">
        <v>0.21066272823364215</v>
      </c>
      <c r="BJ40" s="960">
        <v>0.18928181661529042</v>
      </c>
      <c r="BK40" s="960">
        <v>5.3743100074566764E-2</v>
      </c>
      <c r="BL40" s="960">
        <v>1.4981132642783097E-2</v>
      </c>
      <c r="BM40" s="960">
        <v>8.4828999554783773E-3</v>
      </c>
      <c r="BN40" s="960">
        <v>8.0795795143564705E-3</v>
      </c>
      <c r="BO40" s="960">
        <v>1.4926573359627798E-2</v>
      </c>
      <c r="BP40" s="960">
        <v>1.9467423343892808E-2</v>
      </c>
      <c r="BQ40" s="960">
        <v>3.043175620808836E-2</v>
      </c>
      <c r="BR40" s="960">
        <v>3.698185583625755E-2</v>
      </c>
      <c r="BS40" s="960">
        <v>-0.66724104963646025</v>
      </c>
      <c r="BT40" s="960">
        <v>0.1569196281590754</v>
      </c>
      <c r="BU40" s="960">
        <v>12320.4782746732</v>
      </c>
      <c r="BV40" s="960">
        <v>34922.318026870496</v>
      </c>
      <c r="BW40" s="960">
        <v>31150.715678259701</v>
      </c>
      <c r="BX40" s="960">
        <v>39134.0113005042</v>
      </c>
      <c r="BY40" s="960">
        <v>30204.792854368701</v>
      </c>
      <c r="BZ40" s="960">
        <v>77.645054087042794</v>
      </c>
      <c r="CA40" s="960">
        <v>180.96885651350001</v>
      </c>
      <c r="CB40" s="960">
        <v>240.000010728836</v>
      </c>
      <c r="CC40" s="960">
        <v>177.26432627439499</v>
      </c>
      <c r="CD40" s="960">
        <v>327.316299587488</v>
      </c>
      <c r="CE40" s="960">
        <v>-0.72962420693021013</v>
      </c>
      <c r="CF40" s="960">
        <v>-36.5213764337852</v>
      </c>
      <c r="CG40" s="960">
        <v>3.7738095238095228</v>
      </c>
      <c r="CH40" s="960">
        <v>-4.6693962887902243E-2</v>
      </c>
      <c r="CI40" s="960">
        <v>-7.0469495380803906</v>
      </c>
      <c r="CJ40" s="960">
        <v>0.81795403110801146</v>
      </c>
      <c r="CK40" s="960">
        <v>-7.9066225235612016E-3</v>
      </c>
      <c r="CL40" s="960">
        <v>-0.16542994119453047</v>
      </c>
      <c r="CM40" s="960">
        <v>2.907523331269635E-2</v>
      </c>
      <c r="CN40" s="960" t="s">
        <v>622</v>
      </c>
      <c r="CO40" s="960">
        <v>1504.5</v>
      </c>
    </row>
    <row r="41" spans="1:93">
      <c r="A41" s="960">
        <v>1</v>
      </c>
      <c r="B41" s="960" t="s">
        <v>622</v>
      </c>
      <c r="C41" s="960">
        <v>0</v>
      </c>
      <c r="D41" s="960">
        <v>1</v>
      </c>
      <c r="E41" s="960">
        <v>0</v>
      </c>
      <c r="F41" s="960">
        <v>0</v>
      </c>
      <c r="G41" s="960">
        <v>0</v>
      </c>
      <c r="H41" s="960">
        <v>0</v>
      </c>
      <c r="I41" s="960">
        <v>0</v>
      </c>
      <c r="J41" s="960">
        <v>0</v>
      </c>
      <c r="K41" s="960">
        <v>0</v>
      </c>
      <c r="L41" s="960">
        <v>0</v>
      </c>
      <c r="M41" s="960">
        <v>0</v>
      </c>
      <c r="N41" s="960" t="s">
        <v>628</v>
      </c>
      <c r="O41" s="960">
        <v>0</v>
      </c>
      <c r="P41" s="960">
        <v>0</v>
      </c>
      <c r="Q41" s="960">
        <v>0</v>
      </c>
      <c r="R41" s="960">
        <v>1</v>
      </c>
      <c r="S41" s="960">
        <v>0</v>
      </c>
      <c r="T41" s="960">
        <v>0</v>
      </c>
      <c r="U41" s="960">
        <v>0</v>
      </c>
      <c r="V41" s="960">
        <v>0</v>
      </c>
      <c r="W41" s="960">
        <v>0</v>
      </c>
      <c r="X41" s="960">
        <v>0</v>
      </c>
      <c r="Y41" s="960">
        <v>0</v>
      </c>
      <c r="Z41" s="960">
        <v>0</v>
      </c>
      <c r="AA41" s="960">
        <v>0</v>
      </c>
      <c r="AB41" s="960">
        <v>0</v>
      </c>
      <c r="AC41" s="960">
        <v>0</v>
      </c>
      <c r="AD41" s="960">
        <v>0</v>
      </c>
      <c r="AE41" s="960">
        <v>0</v>
      </c>
      <c r="AF41" s="960">
        <v>2005</v>
      </c>
      <c r="AG41" s="960">
        <v>0</v>
      </c>
      <c r="AH41" s="960">
        <v>0</v>
      </c>
      <c r="AI41" s="960">
        <v>1</v>
      </c>
      <c r="AJ41" s="960">
        <v>0</v>
      </c>
      <c r="AK41" s="960">
        <v>0</v>
      </c>
      <c r="AL41" s="960">
        <v>0</v>
      </c>
      <c r="AM41" s="960">
        <v>0</v>
      </c>
      <c r="AN41" s="960">
        <v>0</v>
      </c>
      <c r="AO41" s="960">
        <v>0</v>
      </c>
      <c r="AP41" s="960">
        <v>0</v>
      </c>
      <c r="AQ41" s="960">
        <v>0</v>
      </c>
      <c r="AR41" s="960">
        <v>0</v>
      </c>
      <c r="AS41" s="960">
        <v>0</v>
      </c>
      <c r="AT41" s="960">
        <v>0</v>
      </c>
      <c r="AU41" s="960">
        <v>0</v>
      </c>
      <c r="AV41" s="960">
        <v>0</v>
      </c>
      <c r="AW41" s="960">
        <v>14.701248792229137</v>
      </c>
      <c r="AX41" s="960">
        <v>14.691200207581929</v>
      </c>
      <c r="AY41" s="960">
        <v>13.690914195319959</v>
      </c>
      <c r="AZ41" s="960">
        <v>12.574075765936394</v>
      </c>
      <c r="BA41" s="960">
        <v>12.758023002321853</v>
      </c>
      <c r="BB41" s="960">
        <v>-0.21138874471713501</v>
      </c>
      <c r="BC41" s="960">
        <v>3.5640459049112556E-4</v>
      </c>
      <c r="BD41" s="960">
        <v>0.32720939279272909</v>
      </c>
      <c r="BE41" s="960">
        <v>0.20175737373248209</v>
      </c>
      <c r="BF41" s="960">
        <v>-9.3835870903235641E-2</v>
      </c>
      <c r="BG41" s="960">
        <v>0.57670654468684035</v>
      </c>
      <c r="BH41" s="960">
        <v>0.46150196264504162</v>
      </c>
      <c r="BI41" s="960">
        <v>0.50320979169256186</v>
      </c>
      <c r="BJ41" s="960">
        <v>0.57285525398980175</v>
      </c>
      <c r="BK41" s="960">
        <v>0.88716815115481551</v>
      </c>
      <c r="BL41" s="960">
        <v>0.5932002111189304</v>
      </c>
      <c r="BM41" s="960">
        <v>0.60514169865849976</v>
      </c>
      <c r="BN41" s="960">
        <v>0.20675006763228509</v>
      </c>
      <c r="BO41" s="960">
        <v>0.46197827941053282</v>
      </c>
      <c r="BP41" s="960">
        <v>0.77674430820613705</v>
      </c>
      <c r="BQ41" s="960">
        <v>0.14053704271946982</v>
      </c>
      <c r="BR41" s="960">
        <v>0.78215916989023737</v>
      </c>
      <c r="BS41" s="960">
        <v>0.93289119299810519</v>
      </c>
      <c r="BT41" s="960">
        <v>-0.38395835946225365</v>
      </c>
      <c r="BU41" s="960">
        <v>1730440.25</v>
      </c>
      <c r="BV41" s="960">
        <v>2136162.2079999996</v>
      </c>
      <c r="BW41" s="960">
        <v>2121367.2228000001</v>
      </c>
      <c r="BX41" s="960">
        <v>267180.79141399998</v>
      </c>
      <c r="BY41" s="960">
        <v>50452.909559999993</v>
      </c>
      <c r="BZ41" s="960">
        <v>1366014.0279999999</v>
      </c>
      <c r="CA41" s="960">
        <v>1230808.6159999999</v>
      </c>
      <c r="CB41" s="960">
        <v>1480746.8232</v>
      </c>
      <c r="CC41" s="960">
        <v>253583.74483099999</v>
      </c>
      <c r="CD41" s="960">
        <v>328572.15775199997</v>
      </c>
      <c r="CE41" s="960">
        <v>-9.9192107849258623E-2</v>
      </c>
      <c r="CF41" s="960">
        <v>0.22991098665198337</v>
      </c>
      <c r="CG41" s="960">
        <v>0.19508929512724818</v>
      </c>
      <c r="CH41" s="960">
        <v>-0.16088682500138998</v>
      </c>
      <c r="CI41" s="960">
        <v>0.22491324102888777</v>
      </c>
      <c r="CJ41" s="960">
        <v>0.16582140765224695</v>
      </c>
      <c r="CK41" s="960">
        <v>-0.64598385290824445</v>
      </c>
      <c r="CL41" s="960">
        <v>0.21821063057883081</v>
      </c>
      <c r="CM41" s="960">
        <v>0.13617531698199292</v>
      </c>
      <c r="CN41" s="960" t="s">
        <v>622</v>
      </c>
      <c r="CO41" s="960">
        <v>1303.9000000000001</v>
      </c>
    </row>
    <row r="42" spans="1:93">
      <c r="A42" s="960">
        <v>1</v>
      </c>
      <c r="B42" s="960" t="s">
        <v>615</v>
      </c>
      <c r="C42" s="960">
        <v>0</v>
      </c>
      <c r="D42" s="960">
        <v>0</v>
      </c>
      <c r="E42" s="960">
        <v>0</v>
      </c>
      <c r="F42" s="960">
        <v>0</v>
      </c>
      <c r="G42" s="960">
        <v>0</v>
      </c>
      <c r="H42" s="960">
        <v>1</v>
      </c>
      <c r="I42" s="960">
        <v>0</v>
      </c>
      <c r="J42" s="960">
        <v>0</v>
      </c>
      <c r="K42" s="960">
        <v>0</v>
      </c>
      <c r="L42" s="960">
        <v>0</v>
      </c>
      <c r="M42" s="960">
        <v>0</v>
      </c>
      <c r="N42" s="960" t="s">
        <v>629</v>
      </c>
      <c r="O42" s="960">
        <v>0</v>
      </c>
      <c r="P42" s="960">
        <v>0</v>
      </c>
      <c r="Q42" s="960">
        <v>0</v>
      </c>
      <c r="R42" s="960">
        <v>0</v>
      </c>
      <c r="S42" s="960">
        <v>1</v>
      </c>
      <c r="T42" s="960">
        <v>0</v>
      </c>
      <c r="U42" s="960">
        <v>0</v>
      </c>
      <c r="V42" s="960">
        <v>0</v>
      </c>
      <c r="W42" s="960">
        <v>0</v>
      </c>
      <c r="X42" s="960">
        <v>0</v>
      </c>
      <c r="Y42" s="960">
        <v>0</v>
      </c>
      <c r="Z42" s="960">
        <v>0</v>
      </c>
      <c r="AA42" s="960">
        <v>0</v>
      </c>
      <c r="AB42" s="960">
        <v>0</v>
      </c>
      <c r="AC42" s="960">
        <v>0</v>
      </c>
      <c r="AD42" s="960">
        <v>0</v>
      </c>
      <c r="AE42" s="960">
        <v>0</v>
      </c>
      <c r="AF42" s="960">
        <v>2007</v>
      </c>
      <c r="AG42" s="960">
        <v>0</v>
      </c>
      <c r="AH42" s="960">
        <v>0</v>
      </c>
      <c r="AI42" s="960">
        <v>0</v>
      </c>
      <c r="AJ42" s="960">
        <v>0</v>
      </c>
      <c r="AK42" s="960">
        <v>1</v>
      </c>
      <c r="AL42" s="960">
        <v>0</v>
      </c>
      <c r="AM42" s="960">
        <v>0</v>
      </c>
      <c r="AN42" s="960">
        <v>0</v>
      </c>
      <c r="AO42" s="960">
        <v>0</v>
      </c>
      <c r="AP42" s="960">
        <v>0</v>
      </c>
      <c r="AQ42" s="960">
        <v>0</v>
      </c>
      <c r="AR42" s="960">
        <v>0</v>
      </c>
      <c r="AS42" s="960">
        <v>0</v>
      </c>
      <c r="AT42" s="960">
        <v>0</v>
      </c>
      <c r="AU42" s="960">
        <v>0</v>
      </c>
      <c r="AV42" s="960">
        <v>0</v>
      </c>
      <c r="AW42" s="960">
        <v>11.696942430413046</v>
      </c>
      <c r="AX42" s="960">
        <v>11.658250392169123</v>
      </c>
      <c r="AY42" s="960">
        <v>11.890898068479409</v>
      </c>
      <c r="AZ42" s="960">
        <v>11.594051760119978</v>
      </c>
      <c r="BA42" s="960">
        <v>11.512172489555381</v>
      </c>
      <c r="BB42" s="960">
        <v>0.12582690187431092</v>
      </c>
      <c r="BC42" s="960">
        <v>-0.78985907709311953</v>
      </c>
      <c r="BD42" s="960">
        <v>-1.2568966366884315</v>
      </c>
      <c r="BE42" s="960">
        <v>1.7444114862732722</v>
      </c>
      <c r="BF42" s="960">
        <v>1.1090454616466177</v>
      </c>
      <c r="BG42" s="960">
        <v>0.77556728046158019</v>
      </c>
      <c r="BH42" s="960">
        <v>0.76664611912697322</v>
      </c>
      <c r="BI42" s="960">
        <v>0.72386596403998671</v>
      </c>
      <c r="BJ42" s="960">
        <v>0.65004866939705042</v>
      </c>
      <c r="BK42" s="960">
        <v>0.71257325265615323</v>
      </c>
      <c r="BL42" s="960">
        <v>8.5265396773170077E-2</v>
      </c>
      <c r="BM42" s="960">
        <v>7.5621911339107534E-2</v>
      </c>
      <c r="BN42" s="960">
        <v>7.1053414800679296E-2</v>
      </c>
      <c r="BO42" s="960">
        <v>5.8201252548256165E-2</v>
      </c>
      <c r="BP42" s="960">
        <v>6.0993853923483735E-2</v>
      </c>
      <c r="BQ42" s="960">
        <v>-0.15695175497037822</v>
      </c>
      <c r="BR42" s="960">
        <v>-0.55874700805789212</v>
      </c>
      <c r="BS42" s="960">
        <v>0.37872557892402881</v>
      </c>
      <c r="BT42" s="960">
        <v>1.1292711383833476E-2</v>
      </c>
      <c r="BU42" s="960">
        <v>316395.94390000001</v>
      </c>
      <c r="BV42" s="960">
        <v>356846.29499999998</v>
      </c>
      <c r="BW42" s="960">
        <v>567152.91559999995</v>
      </c>
      <c r="BX42" s="960">
        <v>652090.72079999989</v>
      </c>
      <c r="BY42" s="960">
        <v>470899.78200000001</v>
      </c>
      <c r="BZ42" s="960">
        <v>1057115.9732000001</v>
      </c>
      <c r="CA42" s="960">
        <v>1140406.3059999999</v>
      </c>
      <c r="CB42" s="960">
        <v>1398393.4865999999</v>
      </c>
      <c r="CC42" s="960">
        <v>1188886.176</v>
      </c>
      <c r="CD42" s="960">
        <v>1128848.1695999999</v>
      </c>
      <c r="CE42" s="960">
        <v>9.8171811041044374E-2</v>
      </c>
      <c r="CF42" s="960">
        <v>0.15912607944732296</v>
      </c>
      <c r="CG42" s="960">
        <v>-0.1311660945475116</v>
      </c>
      <c r="CH42" s="960">
        <v>0.13759825244850055</v>
      </c>
      <c r="CI42" s="960">
        <v>0.20496662967177126</v>
      </c>
      <c r="CJ42" s="960">
        <v>-0.1842518566900741</v>
      </c>
      <c r="CK42" s="960">
        <v>0.23533896900381235</v>
      </c>
      <c r="CL42" s="960">
        <v>0.29011729512713536</v>
      </c>
      <c r="CM42" s="960">
        <v>-0.32340803905407978</v>
      </c>
      <c r="CN42" s="960" t="s">
        <v>615</v>
      </c>
      <c r="CO42" s="960">
        <v>1516.5</v>
      </c>
    </row>
    <row r="43" spans="1:93">
      <c r="A43" s="960">
        <v>1</v>
      </c>
      <c r="B43" s="960" t="s">
        <v>616</v>
      </c>
      <c r="C43" s="960">
        <v>0</v>
      </c>
      <c r="D43" s="960">
        <v>0</v>
      </c>
      <c r="E43" s="960">
        <v>0</v>
      </c>
      <c r="F43" s="960">
        <v>0</v>
      </c>
      <c r="G43" s="960">
        <v>0</v>
      </c>
      <c r="H43" s="960">
        <v>0</v>
      </c>
      <c r="I43" s="960">
        <v>1</v>
      </c>
      <c r="J43" s="960">
        <v>0</v>
      </c>
      <c r="K43" s="960">
        <v>0</v>
      </c>
      <c r="L43" s="960">
        <v>0</v>
      </c>
      <c r="M43" s="960">
        <v>0</v>
      </c>
      <c r="N43" s="960" t="s">
        <v>636</v>
      </c>
      <c r="O43" s="960">
        <v>0</v>
      </c>
      <c r="P43" s="960">
        <v>0</v>
      </c>
      <c r="Q43" s="960">
        <v>0</v>
      </c>
      <c r="R43" s="960">
        <v>0</v>
      </c>
      <c r="S43" s="960">
        <v>0</v>
      </c>
      <c r="T43" s="960">
        <v>0</v>
      </c>
      <c r="U43" s="960">
        <v>0</v>
      </c>
      <c r="V43" s="960">
        <v>0</v>
      </c>
      <c r="W43" s="960">
        <v>0</v>
      </c>
      <c r="X43" s="960">
        <v>0</v>
      </c>
      <c r="Y43" s="960">
        <v>0</v>
      </c>
      <c r="Z43" s="960">
        <v>0</v>
      </c>
      <c r="AA43" s="960">
        <v>0</v>
      </c>
      <c r="AB43" s="960">
        <v>0</v>
      </c>
      <c r="AC43" s="960">
        <v>1</v>
      </c>
      <c r="AD43" s="960">
        <v>0</v>
      </c>
      <c r="AE43" s="960">
        <v>0</v>
      </c>
      <c r="AF43" s="960">
        <v>2003</v>
      </c>
      <c r="AG43" s="960">
        <v>1</v>
      </c>
      <c r="AH43" s="960">
        <v>0</v>
      </c>
      <c r="AI43" s="960">
        <v>0</v>
      </c>
      <c r="AJ43" s="960">
        <v>0</v>
      </c>
      <c r="AK43" s="960">
        <v>0</v>
      </c>
      <c r="AL43" s="960">
        <v>0</v>
      </c>
      <c r="AM43" s="960">
        <v>0</v>
      </c>
      <c r="AN43" s="960">
        <v>0</v>
      </c>
      <c r="AO43" s="960">
        <v>0</v>
      </c>
      <c r="AP43" s="960">
        <v>0</v>
      </c>
      <c r="AQ43" s="960">
        <v>0</v>
      </c>
      <c r="AR43" s="960">
        <v>0</v>
      </c>
      <c r="AS43" s="960">
        <v>0</v>
      </c>
      <c r="AT43" s="960">
        <v>0</v>
      </c>
      <c r="AU43" s="960">
        <v>0</v>
      </c>
      <c r="AV43" s="960">
        <v>0</v>
      </c>
      <c r="AW43" s="960">
        <v>10.450943576489607</v>
      </c>
      <c r="AX43" s="960">
        <v>10.334937975253958</v>
      </c>
      <c r="AY43" s="960">
        <v>10.347148134765753</v>
      </c>
      <c r="AZ43" s="960">
        <v>10.257251886195386</v>
      </c>
      <c r="BA43" s="960">
        <v>10.574633203510292</v>
      </c>
      <c r="BB43" s="960">
        <v>-6.0904584322825899E-3</v>
      </c>
      <c r="BC43" s="960">
        <v>-9.6581641155646686E-2</v>
      </c>
      <c r="BD43" s="960">
        <v>2.2932694830127304E-2</v>
      </c>
      <c r="BE43" s="960">
        <v>-0.17746986996511258</v>
      </c>
      <c r="BF43" s="960">
        <v>-0.17453437073875031</v>
      </c>
      <c r="BG43" s="960">
        <v>0.70832084961528896</v>
      </c>
      <c r="BH43" s="960">
        <v>0.67886530818158886</v>
      </c>
      <c r="BI43" s="960">
        <v>0.53425784628800077</v>
      </c>
      <c r="BJ43" s="960">
        <v>0.60814561044230508</v>
      </c>
      <c r="BK43" s="960">
        <v>0.48019309725429815</v>
      </c>
      <c r="BL43" s="960">
        <v>1.4119499461340845</v>
      </c>
      <c r="BM43" s="960">
        <v>1.3499792068610541</v>
      </c>
      <c r="BN43" s="960">
        <v>1.4743707850155767</v>
      </c>
      <c r="BO43" s="960">
        <v>1.2873739210319814</v>
      </c>
      <c r="BP43" s="960">
        <v>1.6662122572919338</v>
      </c>
      <c r="BQ43" s="960">
        <v>0.32462260312285784</v>
      </c>
      <c r="BR43" s="960">
        <v>0.63205576607616643</v>
      </c>
      <c r="BS43" s="960">
        <v>-0.22748506874453905</v>
      </c>
      <c r="BT43" s="960">
        <v>5.4064749033702619E-2</v>
      </c>
      <c r="BU43" s="960">
        <v>7142.8776479999997</v>
      </c>
      <c r="BV43" s="960">
        <v>7324.3093449999997</v>
      </c>
      <c r="BW43" s="960">
        <v>9845.8842599999989</v>
      </c>
      <c r="BX43" s="960">
        <v>8671.3736939999999</v>
      </c>
      <c r="BY43" s="960">
        <v>12207.214217999999</v>
      </c>
      <c r="BZ43" s="960">
        <v>1742.3213880000001</v>
      </c>
      <c r="CA43" s="960">
        <v>6342.0853319999997</v>
      </c>
      <c r="CB43" s="960">
        <v>4285.033488</v>
      </c>
      <c r="CC43" s="960">
        <v>4860.5829329999997</v>
      </c>
      <c r="CD43" s="960">
        <v>642.54442799999993</v>
      </c>
      <c r="CE43" s="960">
        <v>-10.628761234857366</v>
      </c>
      <c r="CF43" s="960">
        <v>-1.0401696244445089</v>
      </c>
      <c r="CG43" s="960">
        <v>0.16680543991118513</v>
      </c>
      <c r="CH43" s="960">
        <v>-5.3946690851862185</v>
      </c>
      <c r="CI43" s="960">
        <v>-0.86104467358337211</v>
      </c>
      <c r="CJ43" s="960">
        <v>0.12292754589198857</v>
      </c>
      <c r="CK43" s="960">
        <v>-0.559460265547705</v>
      </c>
      <c r="CL43" s="960">
        <v>-0.58304841913320959</v>
      </c>
      <c r="CM43" s="960">
        <v>7.2595500528461435E-2</v>
      </c>
      <c r="CN43" s="960" t="s">
        <v>616</v>
      </c>
      <c r="CO43" s="960">
        <v>1114.3000000000002</v>
      </c>
    </row>
    <row r="44" spans="1:93">
      <c r="A44" s="960">
        <v>1</v>
      </c>
      <c r="B44" s="960" t="s">
        <v>620</v>
      </c>
      <c r="C44" s="960">
        <v>0</v>
      </c>
      <c r="D44" s="960">
        <v>0</v>
      </c>
      <c r="E44" s="960">
        <v>0</v>
      </c>
      <c r="F44" s="960">
        <v>0</v>
      </c>
      <c r="G44" s="960">
        <v>0</v>
      </c>
      <c r="H44" s="960">
        <v>0</v>
      </c>
      <c r="I44" s="960">
        <v>0</v>
      </c>
      <c r="J44" s="960">
        <v>0</v>
      </c>
      <c r="K44" s="960">
        <v>1</v>
      </c>
      <c r="L44" s="960">
        <v>0</v>
      </c>
      <c r="M44" s="960">
        <v>0</v>
      </c>
      <c r="N44" s="960" t="s">
        <v>636</v>
      </c>
      <c r="O44" s="960">
        <v>0</v>
      </c>
      <c r="P44" s="960">
        <v>0</v>
      </c>
      <c r="Q44" s="960">
        <v>0</v>
      </c>
      <c r="R44" s="960">
        <v>0</v>
      </c>
      <c r="S44" s="960">
        <v>0</v>
      </c>
      <c r="T44" s="960">
        <v>0</v>
      </c>
      <c r="U44" s="960">
        <v>0</v>
      </c>
      <c r="V44" s="960">
        <v>0</v>
      </c>
      <c r="W44" s="960">
        <v>0</v>
      </c>
      <c r="X44" s="960">
        <v>0</v>
      </c>
      <c r="Y44" s="960">
        <v>0</v>
      </c>
      <c r="Z44" s="960">
        <v>0</v>
      </c>
      <c r="AA44" s="960">
        <v>0</v>
      </c>
      <c r="AB44" s="960">
        <v>0</v>
      </c>
      <c r="AC44" s="960">
        <v>1</v>
      </c>
      <c r="AD44" s="960">
        <v>0</v>
      </c>
      <c r="AE44" s="960">
        <v>0</v>
      </c>
      <c r="AF44" s="960">
        <v>2018</v>
      </c>
      <c r="AG44" s="960">
        <v>0</v>
      </c>
      <c r="AH44" s="960">
        <v>0</v>
      </c>
      <c r="AI44" s="960">
        <v>0</v>
      </c>
      <c r="AJ44" s="960">
        <v>0</v>
      </c>
      <c r="AK44" s="960">
        <v>0</v>
      </c>
      <c r="AL44" s="960">
        <v>0</v>
      </c>
      <c r="AM44" s="960">
        <v>0</v>
      </c>
      <c r="AN44" s="960">
        <v>0</v>
      </c>
      <c r="AO44" s="960">
        <v>0</v>
      </c>
      <c r="AP44" s="960">
        <v>0</v>
      </c>
      <c r="AQ44" s="960">
        <v>0</v>
      </c>
      <c r="AR44" s="960">
        <v>0</v>
      </c>
      <c r="AS44" s="960">
        <v>0</v>
      </c>
      <c r="AT44" s="960">
        <v>0</v>
      </c>
      <c r="AU44" s="960">
        <v>0</v>
      </c>
      <c r="AV44" s="960">
        <v>1</v>
      </c>
      <c r="AW44" s="960">
        <v>14.913303545440741</v>
      </c>
      <c r="AX44" s="960">
        <v>14.648299917376944</v>
      </c>
      <c r="AY44" s="960">
        <v>14.254428054547491</v>
      </c>
      <c r="AZ44" s="960">
        <v>13.855828967519521</v>
      </c>
      <c r="BA44" s="960">
        <v>13.698266480102426</v>
      </c>
      <c r="BB44" s="960">
        <v>8.5832195685877251E-3</v>
      </c>
      <c r="BC44" s="960">
        <v>6.1424857892410072E-3</v>
      </c>
      <c r="BD44" s="960">
        <v>-8.9844191740062534E-4</v>
      </c>
      <c r="BE44" s="960">
        <v>1.69814377985761E-3</v>
      </c>
      <c r="BF44" s="960">
        <v>-6.1121282241753732E-3</v>
      </c>
      <c r="BG44" s="960">
        <v>0.80888944505374516</v>
      </c>
      <c r="BH44" s="960">
        <v>0.82529860042384073</v>
      </c>
      <c r="BI44" s="960">
        <v>0.85990332730584729</v>
      </c>
      <c r="BJ44" s="960">
        <v>0.82932502182527756</v>
      </c>
      <c r="BK44" s="960">
        <v>0.81664440583668696</v>
      </c>
      <c r="BL44" s="960">
        <v>2.3414125134967394</v>
      </c>
      <c r="BM44" s="960">
        <v>3.1065420184821648</v>
      </c>
      <c r="BN44" s="960">
        <v>3.2589629726063651</v>
      </c>
      <c r="BO44" s="960">
        <v>2.6337414274473545</v>
      </c>
      <c r="BP44" s="960">
        <v>2.3653965953402207</v>
      </c>
      <c r="BQ44" s="960">
        <v>1.1529618349901195E-2</v>
      </c>
      <c r="BR44" s="960">
        <v>5.795032691320362E-2</v>
      </c>
      <c r="BS44" s="960">
        <v>0.55616157444506553</v>
      </c>
      <c r="BT44" s="960">
        <v>4.3258921469160327E-2</v>
      </c>
      <c r="BU44" s="960">
        <v>244665.18505113601</v>
      </c>
      <c r="BV44" s="960">
        <v>129328.718861669</v>
      </c>
      <c r="BW44" s="960">
        <v>66675.739553876207</v>
      </c>
      <c r="BX44" s="960">
        <v>67469.390013083801</v>
      </c>
      <c r="BY44" s="960">
        <v>68940.073384657502</v>
      </c>
      <c r="BZ44" s="960">
        <v>232588.881575957</v>
      </c>
      <c r="CA44" s="960">
        <v>53876.083035156102</v>
      </c>
      <c r="CB44" s="960">
        <v>52446.582541741402</v>
      </c>
      <c r="CC44" s="960">
        <v>58128.308322504199</v>
      </c>
      <c r="CD44" s="960">
        <v>59933.008789643602</v>
      </c>
      <c r="CE44" s="960">
        <v>-9.0700132100396347E-2</v>
      </c>
      <c r="CF44" s="960">
        <v>3.0415631464855836E-2</v>
      </c>
      <c r="CG44" s="960">
        <v>-2.6570043063666143E-2</v>
      </c>
      <c r="CH44" s="960">
        <v>-8.8527362780184707E-2</v>
      </c>
      <c r="CI44" s="960">
        <v>2.9696915851194189E-2</v>
      </c>
      <c r="CJ44" s="960">
        <v>-2.5775657378952294E-2</v>
      </c>
      <c r="CK44" s="960">
        <v>-7.8850101943823109E-2</v>
      </c>
      <c r="CL44" s="960">
        <v>2.6204612243714433E-2</v>
      </c>
      <c r="CM44" s="960">
        <v>-2.0899775030619485E-2</v>
      </c>
      <c r="CN44" s="960" t="s">
        <v>620</v>
      </c>
      <c r="CO44" s="960">
        <v>2644.2000000000003</v>
      </c>
    </row>
    <row r="45" spans="1:93">
      <c r="A45" s="960">
        <v>1</v>
      </c>
      <c r="B45" s="960" t="s">
        <v>616</v>
      </c>
      <c r="C45" s="960">
        <v>0</v>
      </c>
      <c r="D45" s="960">
        <v>0</v>
      </c>
      <c r="E45" s="960">
        <v>0</v>
      </c>
      <c r="F45" s="960">
        <v>0</v>
      </c>
      <c r="G45" s="960">
        <v>0</v>
      </c>
      <c r="H45" s="960">
        <v>0</v>
      </c>
      <c r="I45" s="960">
        <v>1</v>
      </c>
      <c r="J45" s="960">
        <v>0</v>
      </c>
      <c r="K45" s="960">
        <v>0</v>
      </c>
      <c r="L45" s="960">
        <v>0</v>
      </c>
      <c r="M45" s="960">
        <v>0</v>
      </c>
      <c r="N45" s="960" t="s">
        <v>576</v>
      </c>
      <c r="O45" s="960">
        <v>1</v>
      </c>
      <c r="P45" s="960">
        <v>0</v>
      </c>
      <c r="Q45" s="960">
        <v>0</v>
      </c>
      <c r="R45" s="960">
        <v>0</v>
      </c>
      <c r="S45" s="960">
        <v>0</v>
      </c>
      <c r="T45" s="960">
        <v>0</v>
      </c>
      <c r="U45" s="960">
        <v>0</v>
      </c>
      <c r="V45" s="960">
        <v>0</v>
      </c>
      <c r="W45" s="960">
        <v>0</v>
      </c>
      <c r="X45" s="960">
        <v>0</v>
      </c>
      <c r="Y45" s="960">
        <v>0</v>
      </c>
      <c r="Z45" s="960">
        <v>0</v>
      </c>
      <c r="AA45" s="960">
        <v>0</v>
      </c>
      <c r="AB45" s="960">
        <v>0</v>
      </c>
      <c r="AC45" s="960">
        <v>0</v>
      </c>
      <c r="AD45" s="960">
        <v>0</v>
      </c>
      <c r="AE45" s="960">
        <v>0</v>
      </c>
      <c r="AF45" s="960">
        <v>2006</v>
      </c>
      <c r="AG45" s="960">
        <v>0</v>
      </c>
      <c r="AH45" s="960">
        <v>0</v>
      </c>
      <c r="AI45" s="960">
        <v>0</v>
      </c>
      <c r="AJ45" s="960">
        <v>1</v>
      </c>
      <c r="AK45" s="960">
        <v>0</v>
      </c>
      <c r="AL45" s="960">
        <v>0</v>
      </c>
      <c r="AM45" s="960">
        <v>0</v>
      </c>
      <c r="AN45" s="960">
        <v>0</v>
      </c>
      <c r="AO45" s="960">
        <v>0</v>
      </c>
      <c r="AP45" s="960">
        <v>0</v>
      </c>
      <c r="AQ45" s="960">
        <v>0</v>
      </c>
      <c r="AR45" s="960">
        <v>0</v>
      </c>
      <c r="AS45" s="960">
        <v>0</v>
      </c>
      <c r="AT45" s="960">
        <v>0</v>
      </c>
      <c r="AU45" s="960">
        <v>0</v>
      </c>
      <c r="AV45" s="960">
        <v>0</v>
      </c>
      <c r="AW45" s="960">
        <v>13.199767668235239</v>
      </c>
      <c r="AX45" s="960">
        <v>13.213224728224306</v>
      </c>
      <c r="AY45" s="960">
        <v>13.051886025026352</v>
      </c>
      <c r="AZ45" s="960">
        <v>12.793651240253862</v>
      </c>
      <c r="BA45" s="960">
        <v>12.599659162513897</v>
      </c>
      <c r="BB45" s="960">
        <v>8.1438014382982926E-2</v>
      </c>
      <c r="BC45" s="960">
        <v>9.752585111765677E-2</v>
      </c>
      <c r="BD45" s="960">
        <v>5.6917692446385941E-2</v>
      </c>
      <c r="BE45" s="960">
        <v>5.3416961020395413E-2</v>
      </c>
      <c r="BF45" s="960">
        <v>6.5378204502851658E-2</v>
      </c>
      <c r="BG45" s="960">
        <v>0.76170049196715628</v>
      </c>
      <c r="BH45" s="960">
        <v>0.86217341025421612</v>
      </c>
      <c r="BI45" s="960">
        <v>0.78192298702418617</v>
      </c>
      <c r="BJ45" s="960">
        <v>0.80178514517123056</v>
      </c>
      <c r="BK45" s="960">
        <v>0.38999120420108957</v>
      </c>
      <c r="BL45" s="960">
        <v>0.83051252514485152</v>
      </c>
      <c r="BM45" s="960">
        <v>0.76200637804822513</v>
      </c>
      <c r="BN45" s="960">
        <v>0.77247081689987429</v>
      </c>
      <c r="BO45" s="960">
        <v>0.77267013387248296</v>
      </c>
      <c r="BP45" s="960">
        <v>0.84399563884192919</v>
      </c>
      <c r="BQ45" s="960">
        <v>-1.1211663095607019E-2</v>
      </c>
      <c r="BR45" s="960">
        <v>0.11115743183916779</v>
      </c>
      <c r="BS45" s="960">
        <v>0.45222686251245625</v>
      </c>
      <c r="BT45" s="960">
        <v>0.3919317828230966</v>
      </c>
      <c r="BU45" s="960">
        <v>155011.09078</v>
      </c>
      <c r="BV45" s="960">
        <v>99038.534033999997</v>
      </c>
      <c r="BW45" s="960">
        <v>131549.70781599998</v>
      </c>
      <c r="BX45" s="960">
        <v>92332.418219999992</v>
      </c>
      <c r="BY45" s="960">
        <v>214268.35118099998</v>
      </c>
      <c r="BZ45" s="960">
        <v>2029640</v>
      </c>
      <c r="CA45" s="960">
        <v>2061191</v>
      </c>
      <c r="CB45" s="960">
        <v>1741283</v>
      </c>
      <c r="CC45" s="960">
        <v>1600934</v>
      </c>
      <c r="CD45" s="960">
        <v>308857</v>
      </c>
      <c r="CE45" s="960">
        <v>6.2753505146394606E-2</v>
      </c>
      <c r="CF45" s="960">
        <v>1.2009305300530815E-2</v>
      </c>
      <c r="CG45" s="960">
        <v>1.5231406318214786E-2</v>
      </c>
      <c r="CH45" s="960">
        <v>7.9652269775058127E-2</v>
      </c>
      <c r="CI45" s="960">
        <v>5.0902573016481857E-2</v>
      </c>
      <c r="CJ45" s="960">
        <v>5.5877043105033122E-2</v>
      </c>
      <c r="CK45" s="960">
        <v>9.0456006368516195E-2</v>
      </c>
      <c r="CL45" s="960">
        <v>0.20822702949456012</v>
      </c>
      <c r="CM45" s="960">
        <v>0.20161343820768399</v>
      </c>
      <c r="CN45" s="960" t="s">
        <v>616</v>
      </c>
      <c r="CO45" s="960">
        <v>1418.1999999999998</v>
      </c>
    </row>
    <row r="46" spans="1:93">
      <c r="A46" s="960">
        <v>0</v>
      </c>
      <c r="B46" s="960" t="s">
        <v>620</v>
      </c>
      <c r="C46" s="960">
        <v>0</v>
      </c>
      <c r="D46" s="960">
        <v>0</v>
      </c>
      <c r="E46" s="960">
        <v>0</v>
      </c>
      <c r="F46" s="960">
        <v>0</v>
      </c>
      <c r="G46" s="960">
        <v>0</v>
      </c>
      <c r="H46" s="960">
        <v>0</v>
      </c>
      <c r="I46" s="960">
        <v>0</v>
      </c>
      <c r="J46" s="960">
        <v>0</v>
      </c>
      <c r="K46" s="960">
        <v>1</v>
      </c>
      <c r="L46" s="960">
        <v>0</v>
      </c>
      <c r="M46" s="960">
        <v>0</v>
      </c>
      <c r="N46" s="960" t="s">
        <v>1036</v>
      </c>
      <c r="O46" s="960">
        <v>0</v>
      </c>
      <c r="P46" s="960">
        <v>0</v>
      </c>
      <c r="Q46" s="960">
        <v>0</v>
      </c>
      <c r="R46" s="960">
        <v>0</v>
      </c>
      <c r="S46" s="960">
        <v>0</v>
      </c>
      <c r="T46" s="960">
        <v>0</v>
      </c>
      <c r="U46" s="960">
        <v>0</v>
      </c>
      <c r="V46" s="960">
        <v>0</v>
      </c>
      <c r="W46" s="960">
        <v>0</v>
      </c>
      <c r="X46" s="960">
        <v>0</v>
      </c>
      <c r="Y46" s="960">
        <v>0</v>
      </c>
      <c r="Z46" s="960">
        <v>0</v>
      </c>
      <c r="AA46" s="960">
        <v>0</v>
      </c>
      <c r="AB46" s="960">
        <v>0</v>
      </c>
      <c r="AC46" s="960">
        <v>0</v>
      </c>
      <c r="AD46" s="960">
        <v>0</v>
      </c>
      <c r="AE46" s="960">
        <v>0</v>
      </c>
      <c r="AF46" s="960">
        <v>2012</v>
      </c>
      <c r="AG46" s="960">
        <v>0</v>
      </c>
      <c r="AH46" s="960">
        <v>0</v>
      </c>
      <c r="AI46" s="960">
        <v>0</v>
      </c>
      <c r="AJ46" s="960">
        <v>0</v>
      </c>
      <c r="AK46" s="960">
        <v>0</v>
      </c>
      <c r="AL46" s="960">
        <v>0</v>
      </c>
      <c r="AM46" s="960">
        <v>0</v>
      </c>
      <c r="AN46" s="960">
        <v>0</v>
      </c>
      <c r="AO46" s="960">
        <v>0</v>
      </c>
      <c r="AP46" s="960">
        <v>1</v>
      </c>
      <c r="AQ46" s="960">
        <v>0</v>
      </c>
      <c r="AR46" s="960">
        <v>0</v>
      </c>
      <c r="AS46" s="960">
        <v>0</v>
      </c>
      <c r="AT46" s="960">
        <v>0</v>
      </c>
      <c r="AU46" s="960">
        <v>0</v>
      </c>
      <c r="AV46" s="960">
        <v>0</v>
      </c>
      <c r="AW46" s="960">
        <v>9.2904558897374621</v>
      </c>
      <c r="AX46" s="960">
        <v>9.5396750405831554</v>
      </c>
      <c r="AY46" s="960">
        <v>9.0629978020361115</v>
      </c>
      <c r="AZ46" s="960">
        <v>8.3918299810900887</v>
      </c>
      <c r="BA46" s="960">
        <v>8.414862903975969</v>
      </c>
      <c r="BB46" s="960">
        <v>8.3520346737298325</v>
      </c>
      <c r="BC46" s="960">
        <v>8.4300193547648234</v>
      </c>
      <c r="BD46" s="960">
        <v>17.136707112557961</v>
      </c>
      <c r="BE46" s="960">
        <v>18.939390396008729</v>
      </c>
      <c r="BF46" s="960">
        <v>22.043287302655006</v>
      </c>
      <c r="BG46" s="960">
        <v>6.630384100084534E-2</v>
      </c>
      <c r="BH46" s="960">
        <v>7.5048920356665091E-2</v>
      </c>
      <c r="BI46" s="960">
        <v>8.1474551367411441E-2</v>
      </c>
      <c r="BJ46" s="960">
        <v>0.17698843989236943</v>
      </c>
      <c r="BK46" s="960">
        <v>0.18001260796956392</v>
      </c>
      <c r="BL46" s="960">
        <v>1.4972610387657266E-2</v>
      </c>
      <c r="BM46" s="960">
        <v>1.6380323201709072E-2</v>
      </c>
      <c r="BN46" s="960">
        <v>1.041720831970851E-2</v>
      </c>
      <c r="BO46" s="960">
        <v>5.5222991671565269E-3</v>
      </c>
      <c r="BP46" s="960">
        <v>5.590196750682932E-3</v>
      </c>
      <c r="BQ46" s="960">
        <v>5.5290334851674422E-2</v>
      </c>
      <c r="BR46" s="960">
        <v>4.4072987215246856E-2</v>
      </c>
      <c r="BS46" s="960">
        <v>0.64813489806014335</v>
      </c>
      <c r="BT46" s="960">
        <v>-9.853805660215248E-2</v>
      </c>
      <c r="BU46" s="960">
        <v>675618.87770199997</v>
      </c>
      <c r="BV46" s="960">
        <v>784918.42966500006</v>
      </c>
      <c r="BW46" s="960">
        <v>760939.22809800005</v>
      </c>
      <c r="BX46" s="960">
        <v>657372.21680399997</v>
      </c>
      <c r="BY46" s="960">
        <v>662077.33930800005</v>
      </c>
      <c r="BZ46" s="960">
        <v>11423.20183</v>
      </c>
      <c r="CA46" s="960">
        <v>17049.466110000001</v>
      </c>
      <c r="CB46" s="960">
        <v>19360.890303</v>
      </c>
      <c r="CC46" s="960">
        <v>90651.227100000004</v>
      </c>
      <c r="CD46" s="960">
        <v>22033.38852</v>
      </c>
      <c r="CE46" s="960">
        <v>4.5156845262219338</v>
      </c>
      <c r="CF46" s="960">
        <v>0.92154757953629496</v>
      </c>
      <c r="CG46" s="960">
        <v>7.6385686269336643</v>
      </c>
      <c r="CH46" s="960">
        <v>0.93610625432705286</v>
      </c>
      <c r="CI46" s="960">
        <v>0.26769230581820269</v>
      </c>
      <c r="CJ46" s="960">
        <v>0.80086527067279256</v>
      </c>
      <c r="CK46" s="960">
        <v>0.15027826160610264</v>
      </c>
      <c r="CL46" s="960">
        <v>0.12708084823260465</v>
      </c>
      <c r="CM46" s="960">
        <v>0.19435124882134949</v>
      </c>
      <c r="CN46" s="960" t="s">
        <v>620</v>
      </c>
      <c r="CO46" s="960">
        <v>2034</v>
      </c>
    </row>
    <row r="47" spans="1:93">
      <c r="A47" s="960">
        <v>0</v>
      </c>
      <c r="B47" s="960" t="s">
        <v>620</v>
      </c>
      <c r="C47" s="960">
        <v>0</v>
      </c>
      <c r="D47" s="960">
        <v>0</v>
      </c>
      <c r="E47" s="960">
        <v>0</v>
      </c>
      <c r="F47" s="960">
        <v>0</v>
      </c>
      <c r="G47" s="960">
        <v>0</v>
      </c>
      <c r="H47" s="960">
        <v>0</v>
      </c>
      <c r="I47" s="960">
        <v>0</v>
      </c>
      <c r="J47" s="960">
        <v>0</v>
      </c>
      <c r="K47" s="960">
        <v>1</v>
      </c>
      <c r="L47" s="960">
        <v>0</v>
      </c>
      <c r="M47" s="960">
        <v>0</v>
      </c>
      <c r="N47" s="960" t="s">
        <v>1036</v>
      </c>
      <c r="O47" s="960">
        <v>0</v>
      </c>
      <c r="P47" s="960">
        <v>0</v>
      </c>
      <c r="Q47" s="960">
        <v>0</v>
      </c>
      <c r="R47" s="960">
        <v>0</v>
      </c>
      <c r="S47" s="960">
        <v>0</v>
      </c>
      <c r="T47" s="960">
        <v>0</v>
      </c>
      <c r="U47" s="960">
        <v>0</v>
      </c>
      <c r="V47" s="960">
        <v>0</v>
      </c>
      <c r="W47" s="960">
        <v>0</v>
      </c>
      <c r="X47" s="960">
        <v>0</v>
      </c>
      <c r="Y47" s="960">
        <v>0</v>
      </c>
      <c r="Z47" s="960">
        <v>0</v>
      </c>
      <c r="AA47" s="960">
        <v>0</v>
      </c>
      <c r="AB47" s="960">
        <v>0</v>
      </c>
      <c r="AC47" s="960">
        <v>0</v>
      </c>
      <c r="AD47" s="960">
        <v>0</v>
      </c>
      <c r="AE47" s="960">
        <v>0</v>
      </c>
      <c r="AF47" s="960">
        <v>2012</v>
      </c>
      <c r="AG47" s="960">
        <v>0</v>
      </c>
      <c r="AH47" s="960">
        <v>0</v>
      </c>
      <c r="AI47" s="960">
        <v>0</v>
      </c>
      <c r="AJ47" s="960">
        <v>0</v>
      </c>
      <c r="AK47" s="960">
        <v>0</v>
      </c>
      <c r="AL47" s="960">
        <v>0</v>
      </c>
      <c r="AM47" s="960">
        <v>0</v>
      </c>
      <c r="AN47" s="960">
        <v>0</v>
      </c>
      <c r="AO47" s="960">
        <v>0</v>
      </c>
      <c r="AP47" s="960">
        <v>1</v>
      </c>
      <c r="AQ47" s="960">
        <v>0</v>
      </c>
      <c r="AR47" s="960">
        <v>0</v>
      </c>
      <c r="AS47" s="960">
        <v>0</v>
      </c>
      <c r="AT47" s="960">
        <v>0</v>
      </c>
      <c r="AU47" s="960">
        <v>0</v>
      </c>
      <c r="AV47" s="960">
        <v>0</v>
      </c>
      <c r="AW47" s="960">
        <v>12.845406814928216</v>
      </c>
      <c r="AX47" s="960">
        <v>12.875465117137466</v>
      </c>
      <c r="AY47" s="960">
        <v>13.035840896715969</v>
      </c>
      <c r="AZ47" s="960">
        <v>12.91765808959458</v>
      </c>
      <c r="BA47" s="960">
        <v>13.358690196018586</v>
      </c>
      <c r="BB47" s="960">
        <v>-1.3162832327677607E-2</v>
      </c>
      <c r="BC47" s="960">
        <v>-8.8924373323421603E-3</v>
      </c>
      <c r="BD47" s="960">
        <v>-8.4422169141386325E-2</v>
      </c>
      <c r="BE47" s="960">
        <v>0.19005859304124298</v>
      </c>
      <c r="BF47" s="960">
        <v>6.4569274489637363E-3</v>
      </c>
      <c r="BG47" s="960">
        <v>0.71754580973808324</v>
      </c>
      <c r="BH47" s="960">
        <v>0.74689246465962555</v>
      </c>
      <c r="BI47" s="960">
        <v>0.74527403707409701</v>
      </c>
      <c r="BJ47" s="960">
        <v>0.63571518223920309</v>
      </c>
      <c r="BK47" s="960">
        <v>0.76185243110116008</v>
      </c>
      <c r="BL47" s="960">
        <v>1.0085076762442478</v>
      </c>
      <c r="BM47" s="960">
        <v>1.0174917695669501</v>
      </c>
      <c r="BN47" s="960">
        <v>1.2106156270761919</v>
      </c>
      <c r="BO47" s="960">
        <v>1.0083226079575551</v>
      </c>
      <c r="BP47" s="960">
        <v>1.0048531625044312</v>
      </c>
      <c r="BQ47" s="960">
        <v>-0.10869106120138461</v>
      </c>
      <c r="BR47" s="960">
        <v>-0.42847118393567912</v>
      </c>
      <c r="BS47" s="960">
        <v>-0.32284929930261635</v>
      </c>
      <c r="BT47" s="960">
        <v>-1.657839402706307E-2</v>
      </c>
      <c r="BU47" s="960">
        <v>106159.31591600001</v>
      </c>
      <c r="BV47" s="960">
        <v>97166.737785000005</v>
      </c>
      <c r="BW47" s="960">
        <v>96485.200890000007</v>
      </c>
      <c r="BX47" s="960">
        <v>147200.46917999999</v>
      </c>
      <c r="BY47" s="960">
        <v>150089.04226799999</v>
      </c>
      <c r="BZ47" s="960">
        <v>6407.7013059999999</v>
      </c>
      <c r="CA47" s="960">
        <v>19020.459405000001</v>
      </c>
      <c r="CB47" s="960">
        <v>49342.354998000003</v>
      </c>
      <c r="CC47" s="960">
        <v>19605.869112</v>
      </c>
      <c r="CD47" s="960">
        <v>109737.955008</v>
      </c>
      <c r="CE47" s="960">
        <v>3.7262713850480432E-2</v>
      </c>
      <c r="CF47" s="960">
        <v>3.9497448219014712</v>
      </c>
      <c r="CG47" s="960">
        <v>-0.78456765840562603</v>
      </c>
      <c r="CH47" s="960">
        <v>3.4876953103568267E-2</v>
      </c>
      <c r="CI47" s="960">
        <v>2.7025531254535324</v>
      </c>
      <c r="CJ47" s="960">
        <v>-0.68692070337196365</v>
      </c>
      <c r="CK47" s="960">
        <v>2.7244720561934263E-2</v>
      </c>
      <c r="CL47" s="960">
        <v>0.526072915632537</v>
      </c>
      <c r="CM47" s="960">
        <v>-0.40122646337374485</v>
      </c>
      <c r="CN47" s="960" t="s">
        <v>620</v>
      </c>
      <c r="CO47" s="960">
        <v>2034</v>
      </c>
    </row>
    <row r="48" spans="1:93">
      <c r="A48" s="960">
        <v>0</v>
      </c>
      <c r="B48" s="960" t="s">
        <v>614</v>
      </c>
      <c r="C48" s="960">
        <v>0</v>
      </c>
      <c r="D48" s="960">
        <v>0</v>
      </c>
      <c r="E48" s="960">
        <v>0</v>
      </c>
      <c r="F48" s="960">
        <v>0</v>
      </c>
      <c r="G48" s="960">
        <v>1</v>
      </c>
      <c r="H48" s="960">
        <v>0</v>
      </c>
      <c r="I48" s="960">
        <v>0</v>
      </c>
      <c r="J48" s="960">
        <v>0</v>
      </c>
      <c r="K48" s="960">
        <v>0</v>
      </c>
      <c r="L48" s="960">
        <v>0</v>
      </c>
      <c r="M48" s="960">
        <v>0</v>
      </c>
      <c r="N48" s="960" t="s">
        <v>1036</v>
      </c>
      <c r="O48" s="960">
        <v>0</v>
      </c>
      <c r="P48" s="960">
        <v>0</v>
      </c>
      <c r="Q48" s="960">
        <v>0</v>
      </c>
      <c r="R48" s="960">
        <v>0</v>
      </c>
      <c r="S48" s="960">
        <v>0</v>
      </c>
      <c r="T48" s="960">
        <v>0</v>
      </c>
      <c r="U48" s="960">
        <v>0</v>
      </c>
      <c r="V48" s="960">
        <v>0</v>
      </c>
      <c r="W48" s="960">
        <v>0</v>
      </c>
      <c r="X48" s="960">
        <v>0</v>
      </c>
      <c r="Y48" s="960">
        <v>0</v>
      </c>
      <c r="Z48" s="960">
        <v>0</v>
      </c>
      <c r="AA48" s="960">
        <v>0</v>
      </c>
      <c r="AB48" s="960">
        <v>0</v>
      </c>
      <c r="AC48" s="960">
        <v>0</v>
      </c>
      <c r="AD48" s="960">
        <v>0</v>
      </c>
      <c r="AE48" s="960">
        <v>0</v>
      </c>
      <c r="AF48" s="960">
        <v>2016</v>
      </c>
      <c r="AG48" s="960">
        <v>0</v>
      </c>
      <c r="AH48" s="960">
        <v>0</v>
      </c>
      <c r="AI48" s="960">
        <v>0</v>
      </c>
      <c r="AJ48" s="960">
        <v>0</v>
      </c>
      <c r="AK48" s="960">
        <v>0</v>
      </c>
      <c r="AL48" s="960">
        <v>0</v>
      </c>
      <c r="AM48" s="960">
        <v>0</v>
      </c>
      <c r="AN48" s="960">
        <v>0</v>
      </c>
      <c r="AO48" s="960">
        <v>0</v>
      </c>
      <c r="AP48" s="960">
        <v>0</v>
      </c>
      <c r="AQ48" s="960">
        <v>0</v>
      </c>
      <c r="AR48" s="960">
        <v>0</v>
      </c>
      <c r="AS48" s="960">
        <v>0</v>
      </c>
      <c r="AT48" s="960">
        <v>1</v>
      </c>
      <c r="AU48" s="960">
        <v>0</v>
      </c>
      <c r="AV48" s="960">
        <v>0</v>
      </c>
      <c r="AW48" s="960">
        <v>10.163483454222181</v>
      </c>
      <c r="AX48" s="960">
        <v>10.112624317132726</v>
      </c>
      <c r="AY48" s="960">
        <v>10.021324173156811</v>
      </c>
      <c r="AZ48" s="960">
        <v>10.757879688274317</v>
      </c>
      <c r="BA48" s="960">
        <v>10.250974319885531</v>
      </c>
      <c r="BB48" s="960">
        <v>0.28963437353427229</v>
      </c>
      <c r="BC48" s="960">
        <v>-0.33760404562297702</v>
      </c>
      <c r="BD48" s="960">
        <v>2.9334065070833266E-2</v>
      </c>
      <c r="BE48" s="960">
        <v>3.2722602609600963E-2</v>
      </c>
      <c r="BF48" s="960">
        <v>8.3908167026486222E-2</v>
      </c>
      <c r="BG48" s="960">
        <v>0.18003935243036959</v>
      </c>
      <c r="BH48" s="960">
        <v>0.30238250456943339</v>
      </c>
      <c r="BI48" s="960">
        <v>0.48152095586172972</v>
      </c>
      <c r="BJ48" s="960">
        <v>0.33238407681822568</v>
      </c>
      <c r="BK48" s="960">
        <v>0.28989065974796147</v>
      </c>
      <c r="BL48" s="960">
        <v>0.45249146107798682</v>
      </c>
      <c r="BM48" s="960">
        <v>0.40097627894141125</v>
      </c>
      <c r="BN48" s="960">
        <v>0.80198404308109206</v>
      </c>
      <c r="BO48" s="960">
        <v>1.4123398576830746</v>
      </c>
      <c r="BP48" s="960">
        <v>0.87986471460340987</v>
      </c>
      <c r="BQ48" s="960">
        <v>-5.0302383328143851E-2</v>
      </c>
      <c r="BR48" s="960">
        <v>-5.8592886818102582E-2</v>
      </c>
      <c r="BS48" s="960">
        <v>-0.2296501467287192</v>
      </c>
      <c r="BT48" s="960">
        <v>0.19163029611376825</v>
      </c>
      <c r="BU48" s="960">
        <v>47003.424894999996</v>
      </c>
      <c r="BV48" s="960">
        <v>42889.957992000003</v>
      </c>
      <c r="BW48" s="960">
        <v>14546.927362</v>
      </c>
      <c r="BX48" s="960">
        <v>22216.599383000001</v>
      </c>
      <c r="BY48" s="960">
        <v>22848.142824000002</v>
      </c>
      <c r="BZ48" s="960">
        <v>1993.2922309999999</v>
      </c>
      <c r="CA48" s="960">
        <v>2074.9596419999998</v>
      </c>
      <c r="CB48" s="960">
        <v>1784.0285760000002</v>
      </c>
      <c r="CC48" s="960">
        <v>1463.16137</v>
      </c>
      <c r="CD48" s="960">
        <v>1289.9627840000001</v>
      </c>
      <c r="CE48" s="960">
        <v>1.8414869029275809</v>
      </c>
      <c r="CF48" s="960">
        <v>1.0510984540276649</v>
      </c>
      <c r="CG48" s="960">
        <v>0.36997828447339842</v>
      </c>
      <c r="CH48" s="960">
        <v>0.60765768864056124</v>
      </c>
      <c r="CI48" s="960">
        <v>0.39558240996411059</v>
      </c>
      <c r="CJ48" s="960">
        <v>0.20167774929322446</v>
      </c>
      <c r="CK48" s="960">
        <v>0.10396685587525281</v>
      </c>
      <c r="CL48" s="960">
        <v>6.9224215078425175E-2</v>
      </c>
      <c r="CM48" s="960">
        <v>4.5373969057150229E-2</v>
      </c>
      <c r="CN48" s="960" t="s">
        <v>614</v>
      </c>
      <c r="CO48" s="960">
        <v>2421.6</v>
      </c>
    </row>
    <row r="49" spans="1:93">
      <c r="A49" s="960">
        <v>0</v>
      </c>
      <c r="B49" s="960" t="s">
        <v>614</v>
      </c>
      <c r="C49" s="960">
        <v>0</v>
      </c>
      <c r="D49" s="960">
        <v>0</v>
      </c>
      <c r="E49" s="960">
        <v>0</v>
      </c>
      <c r="F49" s="960">
        <v>0</v>
      </c>
      <c r="G49" s="960">
        <v>1</v>
      </c>
      <c r="H49" s="960">
        <v>0</v>
      </c>
      <c r="I49" s="960">
        <v>0</v>
      </c>
      <c r="J49" s="960">
        <v>0</v>
      </c>
      <c r="K49" s="960">
        <v>0</v>
      </c>
      <c r="L49" s="960">
        <v>0</v>
      </c>
      <c r="M49" s="960">
        <v>0</v>
      </c>
      <c r="N49" s="960" t="s">
        <v>1036</v>
      </c>
      <c r="O49" s="960">
        <v>0</v>
      </c>
      <c r="P49" s="960">
        <v>0</v>
      </c>
      <c r="Q49" s="960">
        <v>0</v>
      </c>
      <c r="R49" s="960">
        <v>0</v>
      </c>
      <c r="S49" s="960">
        <v>0</v>
      </c>
      <c r="T49" s="960">
        <v>0</v>
      </c>
      <c r="U49" s="960">
        <v>0</v>
      </c>
      <c r="V49" s="960">
        <v>0</v>
      </c>
      <c r="W49" s="960">
        <v>0</v>
      </c>
      <c r="X49" s="960">
        <v>0</v>
      </c>
      <c r="Y49" s="960">
        <v>0</v>
      </c>
      <c r="Z49" s="960">
        <v>0</v>
      </c>
      <c r="AA49" s="960">
        <v>0</v>
      </c>
      <c r="AB49" s="960">
        <v>0</v>
      </c>
      <c r="AC49" s="960">
        <v>0</v>
      </c>
      <c r="AD49" s="960">
        <v>0</v>
      </c>
      <c r="AE49" s="960">
        <v>0</v>
      </c>
      <c r="AF49" s="960">
        <v>2016</v>
      </c>
      <c r="AG49" s="960">
        <v>0</v>
      </c>
      <c r="AH49" s="960">
        <v>0</v>
      </c>
      <c r="AI49" s="960">
        <v>0</v>
      </c>
      <c r="AJ49" s="960">
        <v>0</v>
      </c>
      <c r="AK49" s="960">
        <v>0</v>
      </c>
      <c r="AL49" s="960">
        <v>0</v>
      </c>
      <c r="AM49" s="960">
        <v>0</v>
      </c>
      <c r="AN49" s="960">
        <v>0</v>
      </c>
      <c r="AO49" s="960">
        <v>0</v>
      </c>
      <c r="AP49" s="960">
        <v>0</v>
      </c>
      <c r="AQ49" s="960">
        <v>0</v>
      </c>
      <c r="AR49" s="960">
        <v>0</v>
      </c>
      <c r="AS49" s="960">
        <v>0</v>
      </c>
      <c r="AT49" s="960">
        <v>1</v>
      </c>
      <c r="AU49" s="960">
        <v>0</v>
      </c>
      <c r="AV49" s="960">
        <v>0</v>
      </c>
      <c r="AW49" s="960">
        <v>10.373903557868156</v>
      </c>
      <c r="AX49" s="960">
        <v>10.013055983188636</v>
      </c>
      <c r="AY49" s="960">
        <v>9.8130261105105472</v>
      </c>
      <c r="AZ49" s="960">
        <v>9.7467884333356523</v>
      </c>
      <c r="BA49" s="960">
        <v>9.7252787692029425</v>
      </c>
      <c r="BB49" s="960">
        <v>0.11305743795195272</v>
      </c>
      <c r="BC49" s="960">
        <v>-0.2022367913613575</v>
      </c>
      <c r="BD49" s="960">
        <v>-0.22991697092988581</v>
      </c>
      <c r="BE49" s="960">
        <v>0.24583817805844305</v>
      </c>
      <c r="BF49" s="960">
        <v>-0.26854814165992419</v>
      </c>
      <c r="BG49" s="960">
        <v>0.18947589294040845</v>
      </c>
      <c r="BH49" s="960">
        <v>0.23726189034412359</v>
      </c>
      <c r="BI49" s="960">
        <v>0.17111049452867549</v>
      </c>
      <c r="BJ49" s="960">
        <v>0.11861774141073497</v>
      </c>
      <c r="BK49" s="960">
        <v>0.15318191713228357</v>
      </c>
      <c r="BL49" s="960">
        <v>1.0940501725263452</v>
      </c>
      <c r="BM49" s="960">
        <v>0.78509143756812405</v>
      </c>
      <c r="BN49" s="960">
        <v>0.57359016947992958</v>
      </c>
      <c r="BO49" s="960">
        <v>0.50245407572476575</v>
      </c>
      <c r="BP49" s="960">
        <v>0.5430866974659152</v>
      </c>
      <c r="BQ49" s="960">
        <v>1.396680904271172E-2</v>
      </c>
      <c r="BR49" s="960">
        <v>1.3124818423468299E-2</v>
      </c>
      <c r="BS49" s="960">
        <v>8.7747341307604185E-2</v>
      </c>
      <c r="BT49" s="960">
        <v>1.792857739639192E-2</v>
      </c>
      <c r="BU49" s="960">
        <v>23716.891589999999</v>
      </c>
      <c r="BV49" s="960">
        <v>21680.543532</v>
      </c>
      <c r="BW49" s="960">
        <v>26402.073280000001</v>
      </c>
      <c r="BX49" s="960">
        <v>29994.569979</v>
      </c>
      <c r="BY49" s="960">
        <v>26094.913560000001</v>
      </c>
      <c r="BZ49" s="960">
        <v>1141.1032359999999</v>
      </c>
      <c r="CA49" s="960">
        <v>295.19334600000002</v>
      </c>
      <c r="CB49" s="960">
        <v>575.30563200000006</v>
      </c>
      <c r="CC49" s="960">
        <v>447.40117400000003</v>
      </c>
      <c r="CD49" s="960">
        <v>491.93495999999999</v>
      </c>
      <c r="CE49" s="960">
        <v>-9.1358585858585872</v>
      </c>
      <c r="CF49" s="960">
        <v>9.3956891963810527</v>
      </c>
      <c r="CG49" s="960">
        <v>-7.3015572390572387</v>
      </c>
      <c r="CH49" s="960">
        <v>-1.5452932561959485</v>
      </c>
      <c r="CI49" s="960">
        <v>1.2380221570113432</v>
      </c>
      <c r="CJ49" s="960">
        <v>-1.3812511843265001</v>
      </c>
      <c r="CK49" s="960">
        <v>-0.17222698276682855</v>
      </c>
      <c r="CL49" s="960">
        <v>0.14014677923181038</v>
      </c>
      <c r="CM49" s="960">
        <v>-0.15910216434336025</v>
      </c>
      <c r="CN49" s="960" t="s">
        <v>614</v>
      </c>
      <c r="CO49" s="960">
        <v>2421.6</v>
      </c>
    </row>
    <row r="50" spans="1:93">
      <c r="A50" s="960">
        <v>0</v>
      </c>
      <c r="B50" s="960" t="s">
        <v>614</v>
      </c>
      <c r="C50" s="960">
        <v>0</v>
      </c>
      <c r="D50" s="960">
        <v>0</v>
      </c>
      <c r="E50" s="960">
        <v>0</v>
      </c>
      <c r="F50" s="960">
        <v>0</v>
      </c>
      <c r="G50" s="960">
        <v>1</v>
      </c>
      <c r="H50" s="960">
        <v>0</v>
      </c>
      <c r="I50" s="960">
        <v>0</v>
      </c>
      <c r="J50" s="960">
        <v>0</v>
      </c>
      <c r="K50" s="960">
        <v>0</v>
      </c>
      <c r="L50" s="960">
        <v>0</v>
      </c>
      <c r="M50" s="960">
        <v>0</v>
      </c>
      <c r="N50" s="960" t="s">
        <v>1036</v>
      </c>
      <c r="O50" s="960">
        <v>0</v>
      </c>
      <c r="P50" s="960">
        <v>0</v>
      </c>
      <c r="Q50" s="960">
        <v>0</v>
      </c>
      <c r="R50" s="960">
        <v>0</v>
      </c>
      <c r="S50" s="960">
        <v>0</v>
      </c>
      <c r="T50" s="960">
        <v>0</v>
      </c>
      <c r="U50" s="960">
        <v>0</v>
      </c>
      <c r="V50" s="960">
        <v>0</v>
      </c>
      <c r="W50" s="960">
        <v>0</v>
      </c>
      <c r="X50" s="960">
        <v>0</v>
      </c>
      <c r="Y50" s="960">
        <v>0</v>
      </c>
      <c r="Z50" s="960">
        <v>0</v>
      </c>
      <c r="AA50" s="960">
        <v>0</v>
      </c>
      <c r="AB50" s="960">
        <v>0</v>
      </c>
      <c r="AC50" s="960">
        <v>0</v>
      </c>
      <c r="AD50" s="960">
        <v>0</v>
      </c>
      <c r="AE50" s="960">
        <v>0</v>
      </c>
      <c r="AF50" s="960">
        <v>2012</v>
      </c>
      <c r="AG50" s="960">
        <v>0</v>
      </c>
      <c r="AH50" s="960">
        <v>0</v>
      </c>
      <c r="AI50" s="960">
        <v>0</v>
      </c>
      <c r="AJ50" s="960">
        <v>0</v>
      </c>
      <c r="AK50" s="960">
        <v>0</v>
      </c>
      <c r="AL50" s="960">
        <v>0</v>
      </c>
      <c r="AM50" s="960">
        <v>0</v>
      </c>
      <c r="AN50" s="960">
        <v>0</v>
      </c>
      <c r="AO50" s="960">
        <v>0</v>
      </c>
      <c r="AP50" s="960">
        <v>1</v>
      </c>
      <c r="AQ50" s="960">
        <v>0</v>
      </c>
      <c r="AR50" s="960">
        <v>0</v>
      </c>
      <c r="AS50" s="960">
        <v>0</v>
      </c>
      <c r="AT50" s="960">
        <v>0</v>
      </c>
      <c r="AU50" s="960">
        <v>0</v>
      </c>
      <c r="AV50" s="960">
        <v>0</v>
      </c>
      <c r="AW50" s="960">
        <v>10.33693347573556</v>
      </c>
      <c r="AX50" s="960">
        <v>10.477606523594902</v>
      </c>
      <c r="AY50" s="960">
        <v>10.176947193683917</v>
      </c>
      <c r="AZ50" s="960">
        <v>9.632132008429199</v>
      </c>
      <c r="BA50" s="960">
        <v>9.4520085738514759</v>
      </c>
      <c r="BB50" s="960">
        <v>-4.4018876737481276E-2</v>
      </c>
      <c r="BC50" s="960">
        <v>5.8547169472985819E-3</v>
      </c>
      <c r="BD50" s="960">
        <v>-1.082890332742666E-2</v>
      </c>
      <c r="BE50" s="960">
        <v>-3.670335122457264E-2</v>
      </c>
      <c r="BF50" s="960">
        <v>-0.10040814036662506</v>
      </c>
      <c r="BG50" s="960">
        <v>0.57075615491812792</v>
      </c>
      <c r="BH50" s="960">
        <v>0.47827881539572792</v>
      </c>
      <c r="BI50" s="960">
        <v>0.40238490463769011</v>
      </c>
      <c r="BJ50" s="960">
        <v>0.27389701759239182</v>
      </c>
      <c r="BK50" s="960">
        <v>0.32957748504371837</v>
      </c>
      <c r="BL50" s="960">
        <v>0.90127453257461376</v>
      </c>
      <c r="BM50" s="960">
        <v>1.0462753632705133</v>
      </c>
      <c r="BN50" s="960">
        <v>0.86029337037162334</v>
      </c>
      <c r="BO50" s="960">
        <v>0.66305298651972699</v>
      </c>
      <c r="BP50" s="960">
        <v>0.51267688679245282</v>
      </c>
      <c r="BQ50" s="960">
        <v>4.2160899070800582E-2</v>
      </c>
      <c r="BR50" s="960">
        <v>6.1194136821458106E-2</v>
      </c>
      <c r="BS50" s="960">
        <v>0.72493861983244112</v>
      </c>
      <c r="BT50" s="960">
        <v>7.2807419593971745E-2</v>
      </c>
      <c r="BU50" s="960">
        <v>14693.451280000001</v>
      </c>
      <c r="BV50" s="960">
        <v>17707.578239999999</v>
      </c>
      <c r="BW50" s="960">
        <v>18262.784380130113</v>
      </c>
      <c r="BX50" s="960">
        <v>16696.571184</v>
      </c>
      <c r="BY50" s="960">
        <v>16651.755251999999</v>
      </c>
      <c r="BZ50" s="960">
        <v>7535.4249340000006</v>
      </c>
      <c r="CA50" s="960">
        <v>997.03828499999997</v>
      </c>
      <c r="CB50" s="960">
        <v>1366.562942</v>
      </c>
      <c r="CC50" s="960">
        <v>1464.6205559999999</v>
      </c>
      <c r="CD50" s="960">
        <v>1917.4066560000001</v>
      </c>
      <c r="CE50" s="960">
        <v>-0.66682190760059612</v>
      </c>
      <c r="CF50" s="960">
        <v>-0.38208709942481517</v>
      </c>
      <c r="CG50" s="960">
        <v>-0.20832761694978341</v>
      </c>
      <c r="CH50" s="960">
        <v>-0.27124642009084016</v>
      </c>
      <c r="CI50" s="960">
        <v>-0.12898974803984059</v>
      </c>
      <c r="CJ50" s="960">
        <v>-9.3143922020716405E-2</v>
      </c>
      <c r="CK50" s="960">
        <v>-7.6782822270128823E-2</v>
      </c>
      <c r="CL50" s="960">
        <v>-3.3516619300630171E-2</v>
      </c>
      <c r="CM50" s="960">
        <v>-1.5588685448670713E-2</v>
      </c>
      <c r="CN50" s="960" t="s">
        <v>614</v>
      </c>
      <c r="CO50" s="960">
        <v>2018</v>
      </c>
    </row>
    <row r="51" spans="1:93">
      <c r="A51" s="960">
        <v>0</v>
      </c>
      <c r="B51" s="960" t="s">
        <v>614</v>
      </c>
      <c r="C51" s="960">
        <v>0</v>
      </c>
      <c r="D51" s="960">
        <v>0</v>
      </c>
      <c r="E51" s="960">
        <v>0</v>
      </c>
      <c r="F51" s="960">
        <v>0</v>
      </c>
      <c r="G51" s="960">
        <v>1</v>
      </c>
      <c r="H51" s="960">
        <v>0</v>
      </c>
      <c r="I51" s="960">
        <v>0</v>
      </c>
      <c r="J51" s="960">
        <v>0</v>
      </c>
      <c r="K51" s="960">
        <v>0</v>
      </c>
      <c r="L51" s="960">
        <v>0</v>
      </c>
      <c r="M51" s="960">
        <v>0</v>
      </c>
      <c r="N51" s="960" t="s">
        <v>1036</v>
      </c>
      <c r="O51" s="960">
        <v>0</v>
      </c>
      <c r="P51" s="960">
        <v>0</v>
      </c>
      <c r="Q51" s="960">
        <v>0</v>
      </c>
      <c r="R51" s="960">
        <v>0</v>
      </c>
      <c r="S51" s="960">
        <v>0</v>
      </c>
      <c r="T51" s="960">
        <v>0</v>
      </c>
      <c r="U51" s="960">
        <v>0</v>
      </c>
      <c r="V51" s="960">
        <v>0</v>
      </c>
      <c r="W51" s="960">
        <v>0</v>
      </c>
      <c r="X51" s="960">
        <v>0</v>
      </c>
      <c r="Y51" s="960">
        <v>0</v>
      </c>
      <c r="Z51" s="960">
        <v>0</v>
      </c>
      <c r="AA51" s="960">
        <v>0</v>
      </c>
      <c r="AB51" s="960">
        <v>0</v>
      </c>
      <c r="AC51" s="960">
        <v>0</v>
      </c>
      <c r="AD51" s="960">
        <v>0</v>
      </c>
      <c r="AE51" s="960">
        <v>0</v>
      </c>
      <c r="AF51" s="960">
        <v>2012</v>
      </c>
      <c r="AG51" s="960">
        <v>0</v>
      </c>
      <c r="AH51" s="960">
        <v>0</v>
      </c>
      <c r="AI51" s="960">
        <v>0</v>
      </c>
      <c r="AJ51" s="960">
        <v>0</v>
      </c>
      <c r="AK51" s="960">
        <v>0</v>
      </c>
      <c r="AL51" s="960">
        <v>0</v>
      </c>
      <c r="AM51" s="960">
        <v>0</v>
      </c>
      <c r="AN51" s="960">
        <v>0</v>
      </c>
      <c r="AO51" s="960">
        <v>0</v>
      </c>
      <c r="AP51" s="960">
        <v>1</v>
      </c>
      <c r="AQ51" s="960">
        <v>0</v>
      </c>
      <c r="AR51" s="960">
        <v>0</v>
      </c>
      <c r="AS51" s="960">
        <v>0</v>
      </c>
      <c r="AT51" s="960">
        <v>0</v>
      </c>
      <c r="AU51" s="960">
        <v>0</v>
      </c>
      <c r="AV51" s="960">
        <v>0</v>
      </c>
      <c r="AW51" s="960">
        <v>9.7252787692029425</v>
      </c>
      <c r="AX51" s="960">
        <v>9.9295701079765255</v>
      </c>
      <c r="AY51" s="960">
        <v>9.5824513832865144</v>
      </c>
      <c r="AZ51" s="960">
        <v>10.060185231434252</v>
      </c>
      <c r="BA51" s="960">
        <v>9.9570558836340251</v>
      </c>
      <c r="BB51" s="960">
        <v>-0.26854814165992419</v>
      </c>
      <c r="BC51" s="960">
        <v>-0.19154414045536322</v>
      </c>
      <c r="BD51" s="960">
        <v>-0.85633809428802798</v>
      </c>
      <c r="BE51" s="960">
        <v>-0.43549774005071101</v>
      </c>
      <c r="BF51" s="960">
        <v>-0.16722388211296096</v>
      </c>
      <c r="BG51" s="960">
        <v>0.15318191713228357</v>
      </c>
      <c r="BH51" s="960">
        <v>0.11279884987378919</v>
      </c>
      <c r="BI51" s="960">
        <v>0.1080549902892028</v>
      </c>
      <c r="BJ51" s="960">
        <v>0.12174059651991553</v>
      </c>
      <c r="BK51" s="960">
        <v>0.13717072251037446</v>
      </c>
      <c r="BL51" s="960">
        <v>0.5430866974659152</v>
      </c>
      <c r="BM51" s="960">
        <v>0.47657800494495145</v>
      </c>
      <c r="BN51" s="960">
        <v>0.28239860005435397</v>
      </c>
      <c r="BO51" s="960">
        <v>0.31425384199659101</v>
      </c>
      <c r="BP51" s="960">
        <v>0.23203249126541933</v>
      </c>
      <c r="BQ51" s="960">
        <v>-0.20302730503440736</v>
      </c>
      <c r="BR51" s="960">
        <v>-0.22615506453972573</v>
      </c>
      <c r="BS51" s="960">
        <v>-0.37460450034751058</v>
      </c>
      <c r="BT51" s="960">
        <v>-2.9115732221171656E-2</v>
      </c>
      <c r="BU51" s="960">
        <v>26094.913560000001</v>
      </c>
      <c r="BV51" s="960">
        <v>38216.033309999999</v>
      </c>
      <c r="BW51" s="960">
        <v>45822.765841</v>
      </c>
      <c r="BX51" s="960">
        <v>65377.195631999995</v>
      </c>
      <c r="BY51" s="960">
        <v>78463.830851999999</v>
      </c>
      <c r="BZ51" s="960">
        <v>491.93495999999999</v>
      </c>
      <c r="CA51" s="960">
        <v>486.34072500000002</v>
      </c>
      <c r="CB51" s="960">
        <v>390.93303200000003</v>
      </c>
      <c r="CC51" s="960">
        <v>278.688804</v>
      </c>
      <c r="CD51" s="960">
        <v>213.60081600000001</v>
      </c>
      <c r="CE51" s="960">
        <v>-16.51923076923077</v>
      </c>
      <c r="CF51" s="960">
        <v>-36.555212831585436</v>
      </c>
      <c r="CG51" s="960">
        <v>-31.779616724738673</v>
      </c>
      <c r="CH51" s="960">
        <v>-2.304760720286505</v>
      </c>
      <c r="CI51" s="960">
        <v>-4.5870996597195246</v>
      </c>
      <c r="CJ51" s="960">
        <v>-3.6757748555863765</v>
      </c>
      <c r="CK51" s="960">
        <v>-4.4970034392732686E-2</v>
      </c>
      <c r="CL51" s="960">
        <v>-0.15582694310328504</v>
      </c>
      <c r="CM51" s="960">
        <v>-0.2711250989324584</v>
      </c>
      <c r="CN51" s="960" t="s">
        <v>614</v>
      </c>
      <c r="CO51" s="960">
        <v>2018</v>
      </c>
    </row>
    <row r="52" spans="1:93">
      <c r="A52" s="960">
        <v>0</v>
      </c>
      <c r="B52" s="960" t="s">
        <v>621</v>
      </c>
      <c r="C52" s="960">
        <v>0</v>
      </c>
      <c r="D52" s="960">
        <v>0</v>
      </c>
      <c r="E52" s="960">
        <v>0</v>
      </c>
      <c r="F52" s="960">
        <v>0</v>
      </c>
      <c r="G52" s="960">
        <v>0</v>
      </c>
      <c r="H52" s="960">
        <v>0</v>
      </c>
      <c r="I52" s="960">
        <v>0</v>
      </c>
      <c r="J52" s="960">
        <v>0</v>
      </c>
      <c r="K52" s="960">
        <v>0</v>
      </c>
      <c r="L52" s="960">
        <v>1</v>
      </c>
      <c r="M52" s="960">
        <v>0</v>
      </c>
      <c r="N52" s="960" t="s">
        <v>1036</v>
      </c>
      <c r="O52" s="960">
        <v>0</v>
      </c>
      <c r="P52" s="960">
        <v>0</v>
      </c>
      <c r="Q52" s="960">
        <v>0</v>
      </c>
      <c r="R52" s="960">
        <v>0</v>
      </c>
      <c r="S52" s="960">
        <v>0</v>
      </c>
      <c r="T52" s="960">
        <v>0</v>
      </c>
      <c r="U52" s="960">
        <v>0</v>
      </c>
      <c r="V52" s="960">
        <v>0</v>
      </c>
      <c r="W52" s="960">
        <v>0</v>
      </c>
      <c r="X52" s="960">
        <v>0</v>
      </c>
      <c r="Y52" s="960">
        <v>0</v>
      </c>
      <c r="Z52" s="960">
        <v>0</v>
      </c>
      <c r="AA52" s="960">
        <v>0</v>
      </c>
      <c r="AB52" s="960">
        <v>0</v>
      </c>
      <c r="AC52" s="960">
        <v>0</v>
      </c>
      <c r="AD52" s="960">
        <v>0</v>
      </c>
      <c r="AE52" s="960">
        <v>0</v>
      </c>
      <c r="AF52" s="960">
        <v>2007</v>
      </c>
      <c r="AG52" s="960">
        <v>0</v>
      </c>
      <c r="AH52" s="960">
        <v>0</v>
      </c>
      <c r="AI52" s="960">
        <v>0</v>
      </c>
      <c r="AJ52" s="960">
        <v>0</v>
      </c>
      <c r="AK52" s="960">
        <v>1</v>
      </c>
      <c r="AL52" s="960">
        <v>0</v>
      </c>
      <c r="AM52" s="960">
        <v>0</v>
      </c>
      <c r="AN52" s="960">
        <v>0</v>
      </c>
      <c r="AO52" s="960">
        <v>0</v>
      </c>
      <c r="AP52" s="960">
        <v>0</v>
      </c>
      <c r="AQ52" s="960">
        <v>0</v>
      </c>
      <c r="AR52" s="960">
        <v>0</v>
      </c>
      <c r="AS52" s="960">
        <v>0</v>
      </c>
      <c r="AT52" s="960">
        <v>0</v>
      </c>
      <c r="AU52" s="960">
        <v>0</v>
      </c>
      <c r="AV52" s="960">
        <v>0</v>
      </c>
      <c r="AW52" s="960">
        <v>13.715522072352218</v>
      </c>
      <c r="AX52" s="960">
        <v>13.446428804762856</v>
      </c>
      <c r="AY52" s="960">
        <v>13.567332824455562</v>
      </c>
      <c r="AZ52" s="960">
        <v>13.289716872376985</v>
      </c>
      <c r="BA52" s="960">
        <v>13.060535084967977</v>
      </c>
      <c r="BB52" s="960">
        <v>-2.5566980865225387E-2</v>
      </c>
      <c r="BC52" s="960">
        <v>0.16675155455764781</v>
      </c>
      <c r="BD52" s="960">
        <v>1.5012712795888769E-2</v>
      </c>
      <c r="BE52" s="960">
        <v>5.0353739208269153E-2</v>
      </c>
      <c r="BF52" s="960">
        <v>0.14928203666837384</v>
      </c>
      <c r="BG52" s="960">
        <v>0.75129957475653919</v>
      </c>
      <c r="BH52" s="960">
        <v>0.68743752778614886</v>
      </c>
      <c r="BI52" s="960">
        <v>0.72271264142229086</v>
      </c>
      <c r="BJ52" s="960">
        <v>0.72793816840086611</v>
      </c>
      <c r="BK52" s="960">
        <v>0.69073073049366862</v>
      </c>
      <c r="BL52" s="960">
        <v>0.20190534679914832</v>
      </c>
      <c r="BM52" s="960">
        <v>0.19863844714761769</v>
      </c>
      <c r="BN52" s="960">
        <v>0.21883782911674571</v>
      </c>
      <c r="BO52" s="960">
        <v>0.20633356252110371</v>
      </c>
      <c r="BP52" s="960">
        <v>0.28295696464623821</v>
      </c>
      <c r="BQ52" s="960">
        <v>-3.8955042494486003E-2</v>
      </c>
      <c r="BR52" s="960">
        <v>-0.12473309717451218</v>
      </c>
      <c r="BS52" s="960">
        <v>0.506797739487585</v>
      </c>
      <c r="BT52" s="960">
        <v>3.1981910928622237E-2</v>
      </c>
      <c r="BU52" s="960">
        <v>1114562.0725090001</v>
      </c>
      <c r="BV52" s="960">
        <v>1087886.0725199999</v>
      </c>
      <c r="BW52" s="960">
        <v>988610.67273400002</v>
      </c>
      <c r="BX52" s="960">
        <v>779378.3709199999</v>
      </c>
      <c r="BY52" s="960">
        <v>513729.72898800002</v>
      </c>
      <c r="BZ52" s="960">
        <v>2804854.267029</v>
      </c>
      <c r="CA52" s="960">
        <v>1912990.5973099999</v>
      </c>
      <c r="CB52" s="960">
        <v>2036992.8192420001</v>
      </c>
      <c r="CC52" s="960">
        <v>1807506.5340399998</v>
      </c>
      <c r="CD52" s="960">
        <v>917533.04372399999</v>
      </c>
      <c r="CE52" s="960">
        <v>7.6472300632593193E-2</v>
      </c>
      <c r="CF52" s="960">
        <v>1.6466547606594346E-2</v>
      </c>
      <c r="CG52" s="960">
        <v>5.7502596844493034E-3</v>
      </c>
      <c r="CH52" s="960">
        <v>9.5062160050374017E-2</v>
      </c>
      <c r="CI52" s="960">
        <v>2.2376296238288809E-2</v>
      </c>
      <c r="CJ52" s="960">
        <v>7.4411355932816736E-3</v>
      </c>
      <c r="CK52" s="960">
        <v>0.13658127766563219</v>
      </c>
      <c r="CL52" s="960">
        <v>3.8188630198790943E-2</v>
      </c>
      <c r="CM52" s="960">
        <v>1.1848180491120002E-2</v>
      </c>
      <c r="CN52" s="960" t="s">
        <v>621</v>
      </c>
      <c r="CO52" s="960">
        <v>1528.5</v>
      </c>
    </row>
    <row r="53" spans="1:93">
      <c r="A53" s="960">
        <v>0</v>
      </c>
      <c r="B53" s="960" t="s">
        <v>621</v>
      </c>
      <c r="C53" s="960">
        <v>0</v>
      </c>
      <c r="D53" s="960">
        <v>0</v>
      </c>
      <c r="E53" s="960">
        <v>0</v>
      </c>
      <c r="F53" s="960">
        <v>0</v>
      </c>
      <c r="G53" s="960">
        <v>0</v>
      </c>
      <c r="H53" s="960">
        <v>0</v>
      </c>
      <c r="I53" s="960">
        <v>0</v>
      </c>
      <c r="J53" s="960">
        <v>0</v>
      </c>
      <c r="K53" s="960">
        <v>0</v>
      </c>
      <c r="L53" s="960">
        <v>1</v>
      </c>
      <c r="M53" s="960">
        <v>0</v>
      </c>
      <c r="N53" s="960" t="s">
        <v>1036</v>
      </c>
      <c r="O53" s="960">
        <v>0</v>
      </c>
      <c r="P53" s="960">
        <v>0</v>
      </c>
      <c r="Q53" s="960">
        <v>0</v>
      </c>
      <c r="R53" s="960">
        <v>0</v>
      </c>
      <c r="S53" s="960">
        <v>0</v>
      </c>
      <c r="T53" s="960">
        <v>0</v>
      </c>
      <c r="U53" s="960">
        <v>0</v>
      </c>
      <c r="V53" s="960">
        <v>0</v>
      </c>
      <c r="W53" s="960">
        <v>0</v>
      </c>
      <c r="X53" s="960">
        <v>0</v>
      </c>
      <c r="Y53" s="960">
        <v>0</v>
      </c>
      <c r="Z53" s="960">
        <v>0</v>
      </c>
      <c r="AA53" s="960">
        <v>0</v>
      </c>
      <c r="AB53" s="960">
        <v>0</v>
      </c>
      <c r="AC53" s="960">
        <v>0</v>
      </c>
      <c r="AD53" s="960">
        <v>0</v>
      </c>
      <c r="AE53" s="960">
        <v>0</v>
      </c>
      <c r="AF53" s="960">
        <v>2007</v>
      </c>
      <c r="AG53" s="960">
        <v>0</v>
      </c>
      <c r="AH53" s="960">
        <v>0</v>
      </c>
      <c r="AI53" s="960">
        <v>0</v>
      </c>
      <c r="AJ53" s="960">
        <v>0</v>
      </c>
      <c r="AK53" s="960">
        <v>1</v>
      </c>
      <c r="AL53" s="960">
        <v>0</v>
      </c>
      <c r="AM53" s="960">
        <v>0</v>
      </c>
      <c r="AN53" s="960">
        <v>0</v>
      </c>
      <c r="AO53" s="960">
        <v>0</v>
      </c>
      <c r="AP53" s="960">
        <v>0</v>
      </c>
      <c r="AQ53" s="960">
        <v>0</v>
      </c>
      <c r="AR53" s="960">
        <v>0</v>
      </c>
      <c r="AS53" s="960">
        <v>0</v>
      </c>
      <c r="AT53" s="960">
        <v>0</v>
      </c>
      <c r="AU53" s="960">
        <v>0</v>
      </c>
      <c r="AV53" s="960">
        <v>0</v>
      </c>
      <c r="AW53" s="960">
        <v>12.979676229162989</v>
      </c>
      <c r="AX53" s="960">
        <v>12.909465959501278</v>
      </c>
      <c r="AY53" s="960">
        <v>12.910310073066221</v>
      </c>
      <c r="AZ53" s="960">
        <v>12.852222251703148</v>
      </c>
      <c r="BA53" s="960">
        <v>12.591189784423882</v>
      </c>
      <c r="BB53" s="960">
        <v>1.8502666930595605E-2</v>
      </c>
      <c r="BC53" s="960">
        <v>0.40620894502730504</v>
      </c>
      <c r="BD53" s="960">
        <v>2.0252222650431462E-2</v>
      </c>
      <c r="BE53" s="960">
        <v>0.30503540286451142</v>
      </c>
      <c r="BF53" s="960">
        <v>0.45987282253464878</v>
      </c>
      <c r="BG53" s="960">
        <v>0.67947356370809853</v>
      </c>
      <c r="BH53" s="960">
        <v>0.62252446613741141</v>
      </c>
      <c r="BI53" s="960">
        <v>0.63796203344306868</v>
      </c>
      <c r="BJ53" s="960">
        <v>0.63959480627157184</v>
      </c>
      <c r="BK53" s="960">
        <v>0.6173262420240857</v>
      </c>
      <c r="BL53" s="960">
        <v>0.16810986018350801</v>
      </c>
      <c r="BM53" s="960">
        <v>0.20620172948440418</v>
      </c>
      <c r="BN53" s="960">
        <v>0.22026832117980405</v>
      </c>
      <c r="BO53" s="960">
        <v>0.21622870957299559</v>
      </c>
      <c r="BP53" s="960">
        <v>0.22704383557679789</v>
      </c>
      <c r="BQ53" s="960">
        <v>-9.9950366422424622E-2</v>
      </c>
      <c r="BR53" s="960">
        <v>-0.26052504932969239</v>
      </c>
      <c r="BS53" s="960">
        <v>0.31912028864233954</v>
      </c>
      <c r="BT53" s="960">
        <v>2.0635791418982974E-2</v>
      </c>
      <c r="BU53" s="960">
        <v>826556.11682300002</v>
      </c>
      <c r="BV53" s="960">
        <v>739786.22639999993</v>
      </c>
      <c r="BW53" s="960">
        <v>664781.02846399997</v>
      </c>
      <c r="BX53" s="960">
        <v>636101.67329599999</v>
      </c>
      <c r="BY53" s="960">
        <v>495453.85321199999</v>
      </c>
      <c r="BZ53" s="960">
        <v>1440132.4882499999</v>
      </c>
      <c r="CA53" s="960">
        <v>1032088.6368</v>
      </c>
      <c r="CB53" s="960">
        <v>919388.38829799998</v>
      </c>
      <c r="CC53" s="960">
        <v>766511.09074399993</v>
      </c>
      <c r="CD53" s="960">
        <v>658578.439488</v>
      </c>
      <c r="CE53" s="960">
        <v>0.20526479969355751</v>
      </c>
      <c r="CF53" s="960">
        <v>0.15187315259196887</v>
      </c>
      <c r="CG53" s="960">
        <v>8.9094337608112036E-3</v>
      </c>
      <c r="CH53" s="960">
        <v>0.23112663692044533</v>
      </c>
      <c r="CI53" s="960">
        <v>0.16309473858114126</v>
      </c>
      <c r="CJ53" s="960">
        <v>1.0144802568955814E-2</v>
      </c>
      <c r="CK53" s="960">
        <v>0.27284674564062072</v>
      </c>
      <c r="CL53" s="960">
        <v>0.18300919606892666</v>
      </c>
      <c r="CM53" s="960">
        <v>1.2321696310928316E-2</v>
      </c>
      <c r="CN53" s="960" t="s">
        <v>621</v>
      </c>
      <c r="CO53" s="960">
        <v>1528.5</v>
      </c>
    </row>
    <row r="54" spans="1:93">
      <c r="A54" s="960">
        <v>0</v>
      </c>
      <c r="B54" s="960" t="s">
        <v>619</v>
      </c>
      <c r="C54" s="960">
        <v>0</v>
      </c>
      <c r="D54" s="960">
        <v>0</v>
      </c>
      <c r="E54" s="960">
        <v>0</v>
      </c>
      <c r="F54" s="960">
        <v>0</v>
      </c>
      <c r="G54" s="960">
        <v>0</v>
      </c>
      <c r="H54" s="960">
        <v>0</v>
      </c>
      <c r="I54" s="960">
        <v>0</v>
      </c>
      <c r="J54" s="960">
        <v>0</v>
      </c>
      <c r="K54" s="960">
        <v>0</v>
      </c>
      <c r="L54" s="960">
        <v>0</v>
      </c>
      <c r="M54" s="960">
        <v>1</v>
      </c>
      <c r="N54" s="960" t="s">
        <v>1036</v>
      </c>
      <c r="O54" s="960">
        <v>0</v>
      </c>
      <c r="P54" s="960">
        <v>0</v>
      </c>
      <c r="Q54" s="960">
        <v>0</v>
      </c>
      <c r="R54" s="960">
        <v>0</v>
      </c>
      <c r="S54" s="960">
        <v>0</v>
      </c>
      <c r="T54" s="960">
        <v>0</v>
      </c>
      <c r="U54" s="960">
        <v>0</v>
      </c>
      <c r="V54" s="960">
        <v>0</v>
      </c>
      <c r="W54" s="960">
        <v>0</v>
      </c>
      <c r="X54" s="960">
        <v>0</v>
      </c>
      <c r="Y54" s="960">
        <v>0</v>
      </c>
      <c r="Z54" s="960">
        <v>0</v>
      </c>
      <c r="AA54" s="960">
        <v>0</v>
      </c>
      <c r="AB54" s="960">
        <v>0</v>
      </c>
      <c r="AC54" s="960">
        <v>0</v>
      </c>
      <c r="AD54" s="960">
        <v>0</v>
      </c>
      <c r="AE54" s="960">
        <v>0</v>
      </c>
      <c r="AF54" s="960">
        <v>2004</v>
      </c>
      <c r="AG54" s="960">
        <v>0</v>
      </c>
      <c r="AH54" s="960">
        <v>1</v>
      </c>
      <c r="AI54" s="960">
        <v>0</v>
      </c>
      <c r="AJ54" s="960">
        <v>0</v>
      </c>
      <c r="AK54" s="960">
        <v>0</v>
      </c>
      <c r="AL54" s="960">
        <v>0</v>
      </c>
      <c r="AM54" s="960">
        <v>0</v>
      </c>
      <c r="AN54" s="960">
        <v>0</v>
      </c>
      <c r="AO54" s="960">
        <v>0</v>
      </c>
      <c r="AP54" s="960">
        <v>0</v>
      </c>
      <c r="AQ54" s="960">
        <v>0</v>
      </c>
      <c r="AR54" s="960">
        <v>0</v>
      </c>
      <c r="AS54" s="960">
        <v>0</v>
      </c>
      <c r="AT54" s="960">
        <v>0</v>
      </c>
      <c r="AU54" s="960">
        <v>0</v>
      </c>
      <c r="AV54" s="960">
        <v>0</v>
      </c>
      <c r="AW54" s="960">
        <v>9.8801032214621625</v>
      </c>
      <c r="AX54" s="960">
        <v>9.7496729775193192</v>
      </c>
      <c r="AY54" s="960">
        <v>9.6600505899184679</v>
      </c>
      <c r="AZ54" s="960">
        <v>9.5186151573184219</v>
      </c>
      <c r="BA54" s="960">
        <v>10.208654971667928</v>
      </c>
      <c r="BB54" s="960">
        <v>0.30559375027368829</v>
      </c>
      <c r="BC54" s="960">
        <v>0.34643289546749684</v>
      </c>
      <c r="BD54" s="960">
        <v>0.34221591923359185</v>
      </c>
      <c r="BE54" s="960">
        <v>0.34663317131778709</v>
      </c>
      <c r="BF54" s="960">
        <v>0.12561648111538862</v>
      </c>
      <c r="BG54" s="960">
        <v>0.93813327431152627</v>
      </c>
      <c r="BH54" s="960">
        <v>0.93529513710725143</v>
      </c>
      <c r="BI54" s="960">
        <v>0.92863616837775331</v>
      </c>
      <c r="BJ54" s="960">
        <v>0.92481801159680876</v>
      </c>
      <c r="BK54" s="960">
        <v>0.91621062693788524</v>
      </c>
      <c r="BL54" s="960">
        <v>2.1380612197702833E-2</v>
      </c>
      <c r="BM54" s="960">
        <v>2.3388307953825922E-2</v>
      </c>
      <c r="BN54" s="960">
        <v>2.5736871538466842E-2</v>
      </c>
      <c r="BO54" s="960">
        <v>2.6916438357372566E-2</v>
      </c>
      <c r="BP54" s="960">
        <v>6.8869941076108054E-2</v>
      </c>
      <c r="BQ54" s="960">
        <v>1.5636749912844271E-4</v>
      </c>
      <c r="BR54" s="960">
        <v>2.0168434671079746E-2</v>
      </c>
      <c r="BS54" s="960">
        <v>-0.54860438174946036</v>
      </c>
      <c r="BT54" s="960">
        <v>1.2425541439868071E-2</v>
      </c>
      <c r="BU54" s="960">
        <v>56534.207015999993</v>
      </c>
      <c r="BV54" s="960">
        <v>47442.470064000001</v>
      </c>
      <c r="BW54" s="960">
        <v>43473.946954999999</v>
      </c>
      <c r="BX54" s="960">
        <v>38017.035936</v>
      </c>
      <c r="BY54" s="960">
        <v>33015.794396999998</v>
      </c>
      <c r="BZ54" s="960">
        <v>26621.091623999997</v>
      </c>
      <c r="CA54" s="960">
        <v>29038.897944</v>
      </c>
      <c r="CB54" s="960">
        <v>15893.308134999999</v>
      </c>
      <c r="CC54" s="960">
        <v>15168.429845999999</v>
      </c>
      <c r="CD54" s="960">
        <v>355876.299237</v>
      </c>
      <c r="CE54" s="960">
        <v>9.578777370981454E-3</v>
      </c>
      <c r="CF54" s="960">
        <v>0.31103662540550603</v>
      </c>
      <c r="CG54" s="960">
        <v>0.33759232989287286</v>
      </c>
      <c r="CH54" s="960">
        <v>1.7427377272970199E-2</v>
      </c>
      <c r="CI54" s="960">
        <v>0.29698240382969732</v>
      </c>
      <c r="CJ54" s="960">
        <v>0.32230801485716915</v>
      </c>
      <c r="CK54" s="960">
        <v>0.10324936607643002</v>
      </c>
      <c r="CL54" s="960">
        <v>0.12410060689482573</v>
      </c>
      <c r="CM54" s="960">
        <v>0.12341780074750977</v>
      </c>
      <c r="CN54" s="960" t="s">
        <v>619</v>
      </c>
      <c r="CO54" s="960">
        <v>1225.2</v>
      </c>
    </row>
    <row r="55" spans="1:93">
      <c r="A55" s="960">
        <v>0</v>
      </c>
      <c r="B55" s="960" t="s">
        <v>619</v>
      </c>
      <c r="C55" s="960">
        <v>0</v>
      </c>
      <c r="D55" s="960">
        <v>0</v>
      </c>
      <c r="E55" s="960">
        <v>0</v>
      </c>
      <c r="F55" s="960">
        <v>0</v>
      </c>
      <c r="G55" s="960">
        <v>0</v>
      </c>
      <c r="H55" s="960">
        <v>0</v>
      </c>
      <c r="I55" s="960">
        <v>0</v>
      </c>
      <c r="J55" s="960">
        <v>0</v>
      </c>
      <c r="K55" s="960">
        <v>0</v>
      </c>
      <c r="L55" s="960">
        <v>0</v>
      </c>
      <c r="M55" s="960">
        <v>1</v>
      </c>
      <c r="N55" s="960" t="s">
        <v>1036</v>
      </c>
      <c r="O55" s="960">
        <v>0</v>
      </c>
      <c r="P55" s="960">
        <v>0</v>
      </c>
      <c r="Q55" s="960">
        <v>0</v>
      </c>
      <c r="R55" s="960">
        <v>0</v>
      </c>
      <c r="S55" s="960">
        <v>0</v>
      </c>
      <c r="T55" s="960">
        <v>0</v>
      </c>
      <c r="U55" s="960">
        <v>0</v>
      </c>
      <c r="V55" s="960">
        <v>0</v>
      </c>
      <c r="W55" s="960">
        <v>0</v>
      </c>
      <c r="X55" s="960">
        <v>0</v>
      </c>
      <c r="Y55" s="960">
        <v>0</v>
      </c>
      <c r="Z55" s="960">
        <v>0</v>
      </c>
      <c r="AA55" s="960">
        <v>0</v>
      </c>
      <c r="AB55" s="960">
        <v>0</v>
      </c>
      <c r="AC55" s="960">
        <v>0</v>
      </c>
      <c r="AD55" s="960">
        <v>0</v>
      </c>
      <c r="AE55" s="960">
        <v>0</v>
      </c>
      <c r="AF55" s="960">
        <v>2004</v>
      </c>
      <c r="AG55" s="960">
        <v>0</v>
      </c>
      <c r="AH55" s="960">
        <v>1</v>
      </c>
      <c r="AI55" s="960">
        <v>0</v>
      </c>
      <c r="AJ55" s="960">
        <v>0</v>
      </c>
      <c r="AK55" s="960">
        <v>0</v>
      </c>
      <c r="AL55" s="960">
        <v>0</v>
      </c>
      <c r="AM55" s="960">
        <v>0</v>
      </c>
      <c r="AN55" s="960">
        <v>0</v>
      </c>
      <c r="AO55" s="960">
        <v>0</v>
      </c>
      <c r="AP55" s="960">
        <v>0</v>
      </c>
      <c r="AQ55" s="960">
        <v>0</v>
      </c>
      <c r="AR55" s="960">
        <v>0</v>
      </c>
      <c r="AS55" s="960">
        <v>0</v>
      </c>
      <c r="AT55" s="960">
        <v>0</v>
      </c>
      <c r="AU55" s="960">
        <v>0</v>
      </c>
      <c r="AV55" s="960">
        <v>0</v>
      </c>
      <c r="AW55" s="960">
        <v>12.090255381478126</v>
      </c>
      <c r="AX55" s="960">
        <v>11.892163551885014</v>
      </c>
      <c r="AY55" s="960">
        <v>11.872035025822596</v>
      </c>
      <c r="AZ55" s="960">
        <v>11.755113191322524</v>
      </c>
      <c r="BA55" s="960">
        <v>11.638369136219552</v>
      </c>
      <c r="BB55" s="960">
        <v>0.33525456292026901</v>
      </c>
      <c r="BC55" s="960">
        <v>0.33012820512820512</v>
      </c>
      <c r="BD55" s="960">
        <v>0.34853420195439744</v>
      </c>
      <c r="BE55" s="960">
        <v>0.31505250875145857</v>
      </c>
      <c r="BF55" s="960">
        <v>0.26650062266500624</v>
      </c>
      <c r="BG55" s="960">
        <v>0.89897129627193562</v>
      </c>
      <c r="BH55" s="960">
        <v>0.89683747674615244</v>
      </c>
      <c r="BI55" s="960">
        <v>0.89228179057176815</v>
      </c>
      <c r="BJ55" s="960">
        <v>0.88976171772715373</v>
      </c>
      <c r="BK55" s="960">
        <v>0.88561310692038575</v>
      </c>
      <c r="BL55" s="960">
        <v>2.738825015127996E-2</v>
      </c>
      <c r="BM55" s="960">
        <v>2.6382546930492135E-2</v>
      </c>
      <c r="BN55" s="960">
        <v>3.040406708041727E-2</v>
      </c>
      <c r="BO55" s="960">
        <v>3.2057756331126321E-2</v>
      </c>
      <c r="BP55" s="960">
        <v>3.4260602440481271E-2</v>
      </c>
      <c r="BQ55" s="960">
        <v>1.4663853727747093E-3</v>
      </c>
      <c r="BR55" s="960">
        <v>1.8554765530309839E-2</v>
      </c>
      <c r="BS55" s="960">
        <v>0.23366588960304499</v>
      </c>
      <c r="BT55" s="960">
        <v>6.668683651382401E-3</v>
      </c>
      <c r="BU55" s="960">
        <v>657070.07999999996</v>
      </c>
      <c r="BV55" s="960">
        <v>571355.28</v>
      </c>
      <c r="BW55" s="960">
        <v>507360.60699999996</v>
      </c>
      <c r="BX55" s="960">
        <v>438106.91399999999</v>
      </c>
      <c r="BY55" s="960">
        <v>378495.53700000001</v>
      </c>
      <c r="BZ55" s="960">
        <v>81278.2</v>
      </c>
      <c r="CA55" s="960">
        <v>19201.284</v>
      </c>
      <c r="CB55" s="960">
        <v>17414.768</v>
      </c>
      <c r="CC55" s="960">
        <v>16650.144</v>
      </c>
      <c r="CD55" s="960">
        <v>15105.939</v>
      </c>
      <c r="CE55" s="960">
        <v>2</v>
      </c>
      <c r="CF55" s="960">
        <v>2.4107142857142856</v>
      </c>
      <c r="CG55" s="960">
        <v>2.8660714285714284</v>
      </c>
      <c r="CH55" s="960">
        <v>1.780356685724038</v>
      </c>
      <c r="CI55" s="960">
        <v>2.1550611603635952</v>
      </c>
      <c r="CJ55" s="960">
        <v>2.567940203448341</v>
      </c>
      <c r="CK55" s="960">
        <v>7.9820962327489739E-2</v>
      </c>
      <c r="CL55" s="960">
        <v>9.1618595181540544E-2</v>
      </c>
      <c r="CM55" s="960">
        <v>9.8375727857799578E-2</v>
      </c>
      <c r="CN55" s="960" t="s">
        <v>619</v>
      </c>
      <c r="CO55" s="960">
        <v>1225.2</v>
      </c>
    </row>
    <row r="56" spans="1:93">
      <c r="A56" s="960">
        <v>0</v>
      </c>
      <c r="B56" s="960" t="s">
        <v>619</v>
      </c>
      <c r="C56" s="960">
        <v>0</v>
      </c>
      <c r="D56" s="960">
        <v>0</v>
      </c>
      <c r="E56" s="960">
        <v>0</v>
      </c>
      <c r="F56" s="960">
        <v>0</v>
      </c>
      <c r="G56" s="960">
        <v>0</v>
      </c>
      <c r="H56" s="960">
        <v>0</v>
      </c>
      <c r="I56" s="960">
        <v>0</v>
      </c>
      <c r="J56" s="960">
        <v>0</v>
      </c>
      <c r="K56" s="960">
        <v>0</v>
      </c>
      <c r="L56" s="960">
        <v>0</v>
      </c>
      <c r="M56" s="960">
        <v>1</v>
      </c>
      <c r="N56" s="960" t="s">
        <v>1036</v>
      </c>
      <c r="O56" s="960">
        <v>0</v>
      </c>
      <c r="P56" s="960">
        <v>0</v>
      </c>
      <c r="Q56" s="960">
        <v>0</v>
      </c>
      <c r="R56" s="960">
        <v>0</v>
      </c>
      <c r="S56" s="960">
        <v>0</v>
      </c>
      <c r="T56" s="960">
        <v>0</v>
      </c>
      <c r="U56" s="960">
        <v>0</v>
      </c>
      <c r="V56" s="960">
        <v>0</v>
      </c>
      <c r="W56" s="960">
        <v>0</v>
      </c>
      <c r="X56" s="960">
        <v>0</v>
      </c>
      <c r="Y56" s="960">
        <v>0</v>
      </c>
      <c r="Z56" s="960">
        <v>0</v>
      </c>
      <c r="AA56" s="960">
        <v>0</v>
      </c>
      <c r="AB56" s="960">
        <v>0</v>
      </c>
      <c r="AC56" s="960">
        <v>0</v>
      </c>
      <c r="AD56" s="960">
        <v>0</v>
      </c>
      <c r="AE56" s="960">
        <v>0</v>
      </c>
      <c r="AF56" s="960">
        <v>2004</v>
      </c>
      <c r="AG56" s="960">
        <v>0</v>
      </c>
      <c r="AH56" s="960">
        <v>1</v>
      </c>
      <c r="AI56" s="960">
        <v>0</v>
      </c>
      <c r="AJ56" s="960">
        <v>0</v>
      </c>
      <c r="AK56" s="960">
        <v>0</v>
      </c>
      <c r="AL56" s="960">
        <v>0</v>
      </c>
      <c r="AM56" s="960">
        <v>0</v>
      </c>
      <c r="AN56" s="960">
        <v>0</v>
      </c>
      <c r="AO56" s="960">
        <v>0</v>
      </c>
      <c r="AP56" s="960">
        <v>0</v>
      </c>
      <c r="AQ56" s="960">
        <v>0</v>
      </c>
      <c r="AR56" s="960">
        <v>0</v>
      </c>
      <c r="AS56" s="960">
        <v>0</v>
      </c>
      <c r="AT56" s="960">
        <v>0</v>
      </c>
      <c r="AU56" s="960">
        <v>0</v>
      </c>
      <c r="AV56" s="960">
        <v>0</v>
      </c>
      <c r="AW56" s="960">
        <v>12.677080969900695</v>
      </c>
      <c r="AX56" s="960">
        <v>12.549971365999651</v>
      </c>
      <c r="AY56" s="960">
        <v>12.465355872318083</v>
      </c>
      <c r="AZ56" s="960">
        <v>12.330769008971336</v>
      </c>
      <c r="BA56" s="960">
        <v>12.197807004040635</v>
      </c>
      <c r="BB56" s="960">
        <v>0.37553418803418803</v>
      </c>
      <c r="BC56" s="960">
        <v>0.42169341449916986</v>
      </c>
      <c r="BD56" s="960">
        <v>0.3329334133173365</v>
      </c>
      <c r="BE56" s="960">
        <v>0.23884514435695536</v>
      </c>
      <c r="BF56" s="960">
        <v>0.1494661921708185</v>
      </c>
      <c r="BG56" s="960">
        <v>0.93252108716026261</v>
      </c>
      <c r="BH56" s="960">
        <v>0.93588297369091367</v>
      </c>
      <c r="BI56" s="960">
        <v>0.93939954760435951</v>
      </c>
      <c r="BJ56" s="960">
        <v>0.93864362646467037</v>
      </c>
      <c r="BK56" s="960">
        <v>0.94233590922429822</v>
      </c>
      <c r="BL56" s="960">
        <v>3.0779854979529429E-2</v>
      </c>
      <c r="BM56" s="960">
        <v>3.2877260652814676E-2</v>
      </c>
      <c r="BN56" s="960">
        <v>3.4279251490849268E-2</v>
      </c>
      <c r="BO56" s="960">
        <v>3.6075275180494734E-2</v>
      </c>
      <c r="BP56" s="960">
        <v>3.4358798787048811E-2</v>
      </c>
      <c r="BQ56" s="960">
        <v>6.2772293825483199E-3</v>
      </c>
      <c r="BR56" s="960">
        <v>9.9155137795318135E-2</v>
      </c>
      <c r="BS56" s="960">
        <v>0.26754886827744773</v>
      </c>
      <c r="BT56" s="960">
        <v>-2.9363616199387099E-3</v>
      </c>
      <c r="BU56" s="960">
        <v>702243.64799999993</v>
      </c>
      <c r="BV56" s="960">
        <v>550124.59199999995</v>
      </c>
      <c r="BW56" s="960">
        <v>458226.08299999998</v>
      </c>
      <c r="BX56" s="960">
        <v>384588.59399999998</v>
      </c>
      <c r="BY56" s="960">
        <v>332471.83500000002</v>
      </c>
      <c r="BZ56" s="960">
        <v>235963.44799999997</v>
      </c>
      <c r="CA56" s="960">
        <v>240406.32</v>
      </c>
      <c r="CB56" s="960">
        <v>232145.07699999999</v>
      </c>
      <c r="CC56" s="960">
        <v>178691.72399999999</v>
      </c>
      <c r="CD56" s="960">
        <v>212894.916</v>
      </c>
      <c r="CE56" s="960">
        <v>0.13925729442970822</v>
      </c>
      <c r="CF56" s="960">
        <v>0.30282861896838603</v>
      </c>
      <c r="CG56" s="960">
        <v>0.3717347622237106</v>
      </c>
      <c r="CH56" s="960">
        <v>0.13637263282433851</v>
      </c>
      <c r="CI56" s="960">
        <v>0.29289922414662434</v>
      </c>
      <c r="CJ56" s="960">
        <v>0.36062017566657972</v>
      </c>
      <c r="CK56" s="960">
        <v>8.9171974522292988E-2</v>
      </c>
      <c r="CL56" s="960">
        <v>0.1407035175879397</v>
      </c>
      <c r="CM56" s="960">
        <v>0.18832711231761112</v>
      </c>
      <c r="CN56" s="960" t="s">
        <v>619</v>
      </c>
      <c r="CO56" s="960">
        <v>1225.2</v>
      </c>
    </row>
    <row r="57" spans="1:93">
      <c r="A57" s="960">
        <v>0</v>
      </c>
      <c r="B57" s="960" t="s">
        <v>612</v>
      </c>
      <c r="C57" s="960">
        <v>0</v>
      </c>
      <c r="D57" s="960">
        <v>0</v>
      </c>
      <c r="E57" s="960">
        <v>1</v>
      </c>
      <c r="F57" s="960">
        <v>0</v>
      </c>
      <c r="G57" s="960">
        <v>0</v>
      </c>
      <c r="H57" s="960">
        <v>0</v>
      </c>
      <c r="I57" s="960">
        <v>0</v>
      </c>
      <c r="J57" s="960">
        <v>0</v>
      </c>
      <c r="K57" s="960">
        <v>0</v>
      </c>
      <c r="L57" s="960">
        <v>0</v>
      </c>
      <c r="M57" s="960">
        <v>0</v>
      </c>
      <c r="N57" s="960" t="s">
        <v>1036</v>
      </c>
      <c r="O57" s="960">
        <v>0</v>
      </c>
      <c r="P57" s="960">
        <v>0</v>
      </c>
      <c r="Q57" s="960">
        <v>0</v>
      </c>
      <c r="R57" s="960">
        <v>0</v>
      </c>
      <c r="S57" s="960">
        <v>0</v>
      </c>
      <c r="T57" s="960">
        <v>0</v>
      </c>
      <c r="U57" s="960">
        <v>0</v>
      </c>
      <c r="V57" s="960">
        <v>0</v>
      </c>
      <c r="W57" s="960">
        <v>0</v>
      </c>
      <c r="X57" s="960">
        <v>0</v>
      </c>
      <c r="Y57" s="960">
        <v>0</v>
      </c>
      <c r="Z57" s="960">
        <v>0</v>
      </c>
      <c r="AA57" s="960">
        <v>0</v>
      </c>
      <c r="AB57" s="960">
        <v>0</v>
      </c>
      <c r="AC57" s="960">
        <v>0</v>
      </c>
      <c r="AD57" s="960">
        <v>0</v>
      </c>
      <c r="AE57" s="960">
        <v>0</v>
      </c>
      <c r="AF57" s="960">
        <v>2008</v>
      </c>
      <c r="AG57" s="960">
        <v>0</v>
      </c>
      <c r="AH57" s="960">
        <v>0</v>
      </c>
      <c r="AI57" s="960">
        <v>0</v>
      </c>
      <c r="AJ57" s="960">
        <v>0</v>
      </c>
      <c r="AK57" s="960">
        <v>0</v>
      </c>
      <c r="AL57" s="960">
        <v>1</v>
      </c>
      <c r="AM57" s="960">
        <v>0</v>
      </c>
      <c r="AN57" s="960">
        <v>0</v>
      </c>
      <c r="AO57" s="960">
        <v>0</v>
      </c>
      <c r="AP57" s="960">
        <v>0</v>
      </c>
      <c r="AQ57" s="960">
        <v>0</v>
      </c>
      <c r="AR57" s="960">
        <v>0</v>
      </c>
      <c r="AS57" s="960">
        <v>0</v>
      </c>
      <c r="AT57" s="960">
        <v>0</v>
      </c>
      <c r="AU57" s="960">
        <v>0</v>
      </c>
      <c r="AV57" s="960">
        <v>0</v>
      </c>
      <c r="AW57" s="960">
        <v>14.041290630599613</v>
      </c>
      <c r="AX57" s="960">
        <v>13.942231310743431</v>
      </c>
      <c r="AY57" s="960">
        <v>14.115764768850845</v>
      </c>
      <c r="AZ57" s="960">
        <v>14.466533855247777</v>
      </c>
      <c r="BA57" s="960">
        <v>14.234133388994112</v>
      </c>
      <c r="BB57" s="960">
        <v>2.6889013005665045E-2</v>
      </c>
      <c r="BC57" s="960">
        <v>-6.6954453352127564E-3</v>
      </c>
      <c r="BD57" s="960">
        <v>0.12281495657686775</v>
      </c>
      <c r="BE57" s="960">
        <v>0.21767069864855421</v>
      </c>
      <c r="BF57" s="960">
        <v>0.3092435061752114</v>
      </c>
      <c r="BG57" s="960">
        <v>0.43526014932523771</v>
      </c>
      <c r="BH57" s="960">
        <v>0.4263521624304058</v>
      </c>
      <c r="BI57" s="960">
        <v>0.50534817956392553</v>
      </c>
      <c r="BJ57" s="960">
        <v>0.62813947380012758</v>
      </c>
      <c r="BK57" s="960">
        <v>0.7423505235536535</v>
      </c>
      <c r="BL57" s="960">
        <v>0.39949904037990819</v>
      </c>
      <c r="BM57" s="960">
        <v>0.378176695906423</v>
      </c>
      <c r="BN57" s="960">
        <v>0.46091292165516035</v>
      </c>
      <c r="BO57" s="960">
        <v>0.62565220299497026</v>
      </c>
      <c r="BP57" s="960">
        <v>0.52865527546741387</v>
      </c>
      <c r="BQ57" s="960">
        <v>-0.1068762104847695</v>
      </c>
      <c r="BR57" s="960">
        <v>-0.52007985248346855</v>
      </c>
      <c r="BS57" s="960">
        <v>-0.11836862014326544</v>
      </c>
      <c r="BT57" s="960">
        <v>-0.23700234398972797</v>
      </c>
      <c r="BU57" s="960">
        <v>1771690</v>
      </c>
      <c r="BV57" s="960">
        <v>1721800</v>
      </c>
      <c r="BW57" s="960">
        <v>1449037</v>
      </c>
      <c r="BX57" s="960">
        <v>1139680</v>
      </c>
      <c r="BY57" s="960">
        <v>740734</v>
      </c>
      <c r="BZ57" s="960">
        <v>833348</v>
      </c>
      <c r="CA57" s="960">
        <v>895281</v>
      </c>
      <c r="CB57" s="960">
        <v>999760</v>
      </c>
      <c r="CC57" s="960">
        <v>1389459</v>
      </c>
      <c r="CD57" s="960">
        <v>1268593</v>
      </c>
      <c r="CE57" s="960">
        <v>0.37049628998425815</v>
      </c>
      <c r="CF57" s="960">
        <v>0.30039317460968623</v>
      </c>
      <c r="CG57" s="960">
        <v>0.16586480755381292</v>
      </c>
      <c r="CH57" s="960">
        <v>0.43852132578806557</v>
      </c>
      <c r="CI57" s="960">
        <v>0.32487496276940042</v>
      </c>
      <c r="CJ57" s="960">
        <v>0.14042647900983596</v>
      </c>
      <c r="CK57" s="960">
        <v>0.63451792411310948</v>
      </c>
      <c r="CL57" s="960">
        <v>0.3662291169451074</v>
      </c>
      <c r="CM57" s="960">
        <v>0.11443807162964093</v>
      </c>
      <c r="CN57" s="960" t="s">
        <v>612</v>
      </c>
      <c r="CO57" s="960">
        <v>1608</v>
      </c>
    </row>
    <row r="58" spans="1:93">
      <c r="A58" s="960">
        <v>0</v>
      </c>
      <c r="B58" s="960" t="s">
        <v>612</v>
      </c>
      <c r="C58" s="960">
        <v>0</v>
      </c>
      <c r="D58" s="960">
        <v>0</v>
      </c>
      <c r="E58" s="960">
        <v>1</v>
      </c>
      <c r="F58" s="960">
        <v>0</v>
      </c>
      <c r="G58" s="960">
        <v>0</v>
      </c>
      <c r="H58" s="960">
        <v>0</v>
      </c>
      <c r="I58" s="960">
        <v>0</v>
      </c>
      <c r="J58" s="960">
        <v>0</v>
      </c>
      <c r="K58" s="960">
        <v>0</v>
      </c>
      <c r="L58" s="960">
        <v>0</v>
      </c>
      <c r="M58" s="960">
        <v>0</v>
      </c>
      <c r="N58" s="960" t="s">
        <v>1036</v>
      </c>
      <c r="O58" s="960">
        <v>0</v>
      </c>
      <c r="P58" s="960">
        <v>0</v>
      </c>
      <c r="Q58" s="960">
        <v>0</v>
      </c>
      <c r="R58" s="960">
        <v>0</v>
      </c>
      <c r="S58" s="960">
        <v>0</v>
      </c>
      <c r="T58" s="960">
        <v>0</v>
      </c>
      <c r="U58" s="960">
        <v>0</v>
      </c>
      <c r="V58" s="960">
        <v>0</v>
      </c>
      <c r="W58" s="960">
        <v>0</v>
      </c>
      <c r="X58" s="960">
        <v>0</v>
      </c>
      <c r="Y58" s="960">
        <v>0</v>
      </c>
      <c r="Z58" s="960">
        <v>0</v>
      </c>
      <c r="AA58" s="960">
        <v>0</v>
      </c>
      <c r="AB58" s="960">
        <v>0</v>
      </c>
      <c r="AC58" s="960">
        <v>0</v>
      </c>
      <c r="AD58" s="960">
        <v>0</v>
      </c>
      <c r="AE58" s="960">
        <v>0</v>
      </c>
      <c r="AF58" s="960">
        <v>2008</v>
      </c>
      <c r="AG58" s="960">
        <v>0</v>
      </c>
      <c r="AH58" s="960">
        <v>0</v>
      </c>
      <c r="AI58" s="960">
        <v>0</v>
      </c>
      <c r="AJ58" s="960">
        <v>0</v>
      </c>
      <c r="AK58" s="960">
        <v>0</v>
      </c>
      <c r="AL58" s="960">
        <v>1</v>
      </c>
      <c r="AM58" s="960">
        <v>0</v>
      </c>
      <c r="AN58" s="960">
        <v>0</v>
      </c>
      <c r="AO58" s="960">
        <v>0</v>
      </c>
      <c r="AP58" s="960">
        <v>0</v>
      </c>
      <c r="AQ58" s="960">
        <v>0</v>
      </c>
      <c r="AR58" s="960">
        <v>0</v>
      </c>
      <c r="AS58" s="960">
        <v>0</v>
      </c>
      <c r="AT58" s="960">
        <v>0</v>
      </c>
      <c r="AU58" s="960">
        <v>0</v>
      </c>
      <c r="AV58" s="960">
        <v>0</v>
      </c>
      <c r="AW58" s="960">
        <v>11.821924171002639</v>
      </c>
      <c r="AX58" s="960">
        <v>11.156383834516287</v>
      </c>
      <c r="AY58" s="960">
        <v>10.97827935611676</v>
      </c>
      <c r="AZ58" s="960">
        <v>11.648428584166203</v>
      </c>
      <c r="BA58" s="960">
        <v>11.77171591181383</v>
      </c>
      <c r="BB58" s="960">
        <v>-4.5024644364576628E-2</v>
      </c>
      <c r="BC58" s="960">
        <v>-0.4825818847815696</v>
      </c>
      <c r="BD58" s="960">
        <v>-1.2885410417234797</v>
      </c>
      <c r="BE58" s="960">
        <v>-0.59152090257814427</v>
      </c>
      <c r="BF58" s="960">
        <v>-0.35667995551011461</v>
      </c>
      <c r="BG58" s="960">
        <v>0.51063243054671104</v>
      </c>
      <c r="BH58" s="960">
        <v>0.70695216454862375</v>
      </c>
      <c r="BI58" s="960">
        <v>0.68431266669939284</v>
      </c>
      <c r="BJ58" s="960">
        <v>0.3891253929018279</v>
      </c>
      <c r="BK58" s="960">
        <v>0.36419179045348066</v>
      </c>
      <c r="BL58" s="960">
        <v>0.84462398041962694</v>
      </c>
      <c r="BM58" s="960">
        <v>0.62557786675943128</v>
      </c>
      <c r="BN58" s="960">
        <v>0.60003599888730719</v>
      </c>
      <c r="BO58" s="960">
        <v>0.80987493260907151</v>
      </c>
      <c r="BP58" s="960">
        <v>0.81386555660794213</v>
      </c>
      <c r="BQ58" s="960">
        <v>-0.48288148055570407</v>
      </c>
      <c r="BR58" s="960">
        <v>-1.9925992773527788</v>
      </c>
      <c r="BS58" s="960">
        <v>-0.79343655569706983</v>
      </c>
      <c r="BT58" s="960">
        <v>0.32012087624591218</v>
      </c>
      <c r="BU58" s="960">
        <v>78916.571712000004</v>
      </c>
      <c r="BV58" s="960">
        <v>32795.411186999998</v>
      </c>
      <c r="BW58" s="960">
        <v>30823.78702</v>
      </c>
      <c r="BX58" s="960">
        <v>86373.868835999994</v>
      </c>
      <c r="BY58" s="960">
        <v>101196.32124799999</v>
      </c>
      <c r="BZ58" s="960">
        <v>51449.042699999998</v>
      </c>
      <c r="CA58" s="960">
        <v>27236.821993000001</v>
      </c>
      <c r="CB58" s="960">
        <v>8975.7188299999998</v>
      </c>
      <c r="CC58" s="960">
        <v>9024.5380559999994</v>
      </c>
      <c r="CD58" s="960">
        <v>3308.4505199999999</v>
      </c>
      <c r="CE58" s="960">
        <v>-13.965140936126195</v>
      </c>
      <c r="CF58" s="960">
        <v>-7.5057375089648586</v>
      </c>
      <c r="CG58" s="960">
        <v>-8.4107584684668648</v>
      </c>
      <c r="CH58" s="960">
        <v>-5.376279211985131</v>
      </c>
      <c r="CI58" s="960">
        <v>-3.3997310083062695</v>
      </c>
      <c r="CJ58" s="960">
        <v>-6.5287595675989012</v>
      </c>
      <c r="CK58" s="960">
        <v>-0.45656776078619693</v>
      </c>
      <c r="CL58" s="960">
        <v>-0.78421650784928376</v>
      </c>
      <c r="CM58" s="960">
        <v>-2.4491670381389756</v>
      </c>
      <c r="CN58" s="960" t="s">
        <v>612</v>
      </c>
      <c r="CO58" s="960">
        <v>1608</v>
      </c>
    </row>
    <row r="59" spans="1:93">
      <c r="A59" s="960">
        <v>0</v>
      </c>
      <c r="B59" s="960" t="s">
        <v>620</v>
      </c>
      <c r="C59" s="960">
        <v>0</v>
      </c>
      <c r="D59" s="960">
        <v>0</v>
      </c>
      <c r="E59" s="960">
        <v>0</v>
      </c>
      <c r="F59" s="960">
        <v>0</v>
      </c>
      <c r="G59" s="960">
        <v>0</v>
      </c>
      <c r="H59" s="960">
        <v>0</v>
      </c>
      <c r="I59" s="960">
        <v>0</v>
      </c>
      <c r="J59" s="960">
        <v>0</v>
      </c>
      <c r="K59" s="960">
        <v>1</v>
      </c>
      <c r="L59" s="960">
        <v>0</v>
      </c>
      <c r="M59" s="960">
        <v>0</v>
      </c>
      <c r="N59" s="960" t="s">
        <v>1036</v>
      </c>
      <c r="O59" s="960">
        <v>0</v>
      </c>
      <c r="P59" s="960">
        <v>0</v>
      </c>
      <c r="Q59" s="960">
        <v>0</v>
      </c>
      <c r="R59" s="960">
        <v>0</v>
      </c>
      <c r="S59" s="960">
        <v>0</v>
      </c>
      <c r="T59" s="960">
        <v>0</v>
      </c>
      <c r="U59" s="960">
        <v>0</v>
      </c>
      <c r="V59" s="960">
        <v>0</v>
      </c>
      <c r="W59" s="960">
        <v>0</v>
      </c>
      <c r="X59" s="960">
        <v>0</v>
      </c>
      <c r="Y59" s="960">
        <v>0</v>
      </c>
      <c r="Z59" s="960">
        <v>0</v>
      </c>
      <c r="AA59" s="960">
        <v>0</v>
      </c>
      <c r="AB59" s="960">
        <v>0</v>
      </c>
      <c r="AC59" s="960">
        <v>0</v>
      </c>
      <c r="AD59" s="960">
        <v>0</v>
      </c>
      <c r="AE59" s="960">
        <v>0</v>
      </c>
      <c r="AF59" s="960">
        <v>2008</v>
      </c>
      <c r="AG59" s="960">
        <v>0</v>
      </c>
      <c r="AH59" s="960">
        <v>0</v>
      </c>
      <c r="AI59" s="960">
        <v>0</v>
      </c>
      <c r="AJ59" s="960">
        <v>0</v>
      </c>
      <c r="AK59" s="960">
        <v>0</v>
      </c>
      <c r="AL59" s="960">
        <v>1</v>
      </c>
      <c r="AM59" s="960">
        <v>0</v>
      </c>
      <c r="AN59" s="960">
        <v>0</v>
      </c>
      <c r="AO59" s="960">
        <v>0</v>
      </c>
      <c r="AP59" s="960">
        <v>0</v>
      </c>
      <c r="AQ59" s="960">
        <v>0</v>
      </c>
      <c r="AR59" s="960">
        <v>0</v>
      </c>
      <c r="AS59" s="960">
        <v>0</v>
      </c>
      <c r="AT59" s="960">
        <v>0</v>
      </c>
      <c r="AU59" s="960">
        <v>0</v>
      </c>
      <c r="AV59" s="960">
        <v>0</v>
      </c>
      <c r="AW59" s="960">
        <v>14.041290630599613</v>
      </c>
      <c r="AX59" s="960">
        <v>13.942231310743431</v>
      </c>
      <c r="AY59" s="960">
        <v>14.115764768850845</v>
      </c>
      <c r="AZ59" s="960">
        <v>14.466533855247777</v>
      </c>
      <c r="BA59" s="960">
        <v>14.234133388994112</v>
      </c>
      <c r="BB59" s="960">
        <v>2.6889013005665045E-2</v>
      </c>
      <c r="BC59" s="960">
        <v>-6.6954453352127564E-3</v>
      </c>
      <c r="BD59" s="960">
        <v>0.12281495657686775</v>
      </c>
      <c r="BE59" s="960">
        <v>0.21767069864855421</v>
      </c>
      <c r="BF59" s="960">
        <v>0.3092435061752114</v>
      </c>
      <c r="BG59" s="960">
        <v>0.43526014932523771</v>
      </c>
      <c r="BH59" s="960">
        <v>0.4263521624304058</v>
      </c>
      <c r="BI59" s="960">
        <v>0.50534817956392553</v>
      </c>
      <c r="BJ59" s="960">
        <v>0.62813947380012758</v>
      </c>
      <c r="BK59" s="960">
        <v>0.7423505235536535</v>
      </c>
      <c r="BL59" s="960">
        <v>0.39949904037990819</v>
      </c>
      <c r="BM59" s="960">
        <v>0.378176695906423</v>
      </c>
      <c r="BN59" s="960">
        <v>0.46091292165516035</v>
      </c>
      <c r="BO59" s="960">
        <v>0.62565220299497026</v>
      </c>
      <c r="BP59" s="960">
        <v>0.52865527546741387</v>
      </c>
      <c r="BQ59" s="960">
        <v>-0.1068762104847695</v>
      </c>
      <c r="BR59" s="960">
        <v>-0.52007985248346855</v>
      </c>
      <c r="BS59" s="960">
        <v>-0.11836862014326544</v>
      </c>
      <c r="BT59" s="960">
        <v>-0.23700234398972797</v>
      </c>
      <c r="BU59" s="960">
        <v>1771690</v>
      </c>
      <c r="BV59" s="960">
        <v>1721800</v>
      </c>
      <c r="BW59" s="960">
        <v>1449037</v>
      </c>
      <c r="BX59" s="960">
        <v>1139680</v>
      </c>
      <c r="BY59" s="960">
        <v>740734</v>
      </c>
      <c r="BZ59" s="960">
        <v>833348</v>
      </c>
      <c r="CA59" s="960">
        <v>895281</v>
      </c>
      <c r="CB59" s="960">
        <v>999760</v>
      </c>
      <c r="CC59" s="960">
        <v>1389459</v>
      </c>
      <c r="CD59" s="960">
        <v>1268593</v>
      </c>
      <c r="CE59" s="960">
        <v>0.37049628998425815</v>
      </c>
      <c r="CF59" s="960">
        <v>0.30039317460968623</v>
      </c>
      <c r="CG59" s="960">
        <v>0.16586480755381292</v>
      </c>
      <c r="CH59" s="960">
        <v>0.43852132578806557</v>
      </c>
      <c r="CI59" s="960">
        <v>0.32487496276940042</v>
      </c>
      <c r="CJ59" s="960">
        <v>0.14042647900983596</v>
      </c>
      <c r="CK59" s="960">
        <v>0.63451792411310948</v>
      </c>
      <c r="CL59" s="960">
        <v>0.3662291169451074</v>
      </c>
      <c r="CM59" s="960">
        <v>0.11443807162964093</v>
      </c>
      <c r="CN59" s="960" t="s">
        <v>620</v>
      </c>
      <c r="CO59" s="960">
        <v>1627.2</v>
      </c>
    </row>
    <row r="60" spans="1:93">
      <c r="A60" s="960">
        <v>0</v>
      </c>
      <c r="B60" s="960" t="s">
        <v>620</v>
      </c>
      <c r="C60" s="960">
        <v>0</v>
      </c>
      <c r="D60" s="960">
        <v>0</v>
      </c>
      <c r="E60" s="960">
        <v>0</v>
      </c>
      <c r="F60" s="960">
        <v>0</v>
      </c>
      <c r="G60" s="960">
        <v>0</v>
      </c>
      <c r="H60" s="960">
        <v>0</v>
      </c>
      <c r="I60" s="960">
        <v>0</v>
      </c>
      <c r="J60" s="960">
        <v>0</v>
      </c>
      <c r="K60" s="960">
        <v>1</v>
      </c>
      <c r="L60" s="960">
        <v>0</v>
      </c>
      <c r="M60" s="960">
        <v>0</v>
      </c>
      <c r="N60" s="960" t="s">
        <v>1036</v>
      </c>
      <c r="O60" s="960">
        <v>0</v>
      </c>
      <c r="P60" s="960">
        <v>0</v>
      </c>
      <c r="Q60" s="960">
        <v>0</v>
      </c>
      <c r="R60" s="960">
        <v>0</v>
      </c>
      <c r="S60" s="960">
        <v>0</v>
      </c>
      <c r="T60" s="960">
        <v>0</v>
      </c>
      <c r="U60" s="960">
        <v>0</v>
      </c>
      <c r="V60" s="960">
        <v>0</v>
      </c>
      <c r="W60" s="960">
        <v>0</v>
      </c>
      <c r="X60" s="960">
        <v>0</v>
      </c>
      <c r="Y60" s="960">
        <v>0</v>
      </c>
      <c r="Z60" s="960">
        <v>0</v>
      </c>
      <c r="AA60" s="960">
        <v>0</v>
      </c>
      <c r="AB60" s="960">
        <v>0</v>
      </c>
      <c r="AC60" s="960">
        <v>0</v>
      </c>
      <c r="AD60" s="960">
        <v>0</v>
      </c>
      <c r="AE60" s="960">
        <v>0</v>
      </c>
      <c r="AF60" s="960">
        <v>2008</v>
      </c>
      <c r="AG60" s="960">
        <v>0</v>
      </c>
      <c r="AH60" s="960">
        <v>0</v>
      </c>
      <c r="AI60" s="960">
        <v>0</v>
      </c>
      <c r="AJ60" s="960">
        <v>0</v>
      </c>
      <c r="AK60" s="960">
        <v>0</v>
      </c>
      <c r="AL60" s="960">
        <v>1</v>
      </c>
      <c r="AM60" s="960">
        <v>0</v>
      </c>
      <c r="AN60" s="960">
        <v>0</v>
      </c>
      <c r="AO60" s="960">
        <v>0</v>
      </c>
      <c r="AP60" s="960">
        <v>0</v>
      </c>
      <c r="AQ60" s="960">
        <v>0</v>
      </c>
      <c r="AR60" s="960">
        <v>0</v>
      </c>
      <c r="AS60" s="960">
        <v>0</v>
      </c>
      <c r="AT60" s="960">
        <v>0</v>
      </c>
      <c r="AU60" s="960">
        <v>0</v>
      </c>
      <c r="AV60" s="960">
        <v>0</v>
      </c>
      <c r="AW60" s="960">
        <v>13.318863935371553</v>
      </c>
      <c r="AX60" s="960">
        <v>13.250339618707839</v>
      </c>
      <c r="AY60" s="960">
        <v>13.076727732503096</v>
      </c>
      <c r="AZ60" s="960">
        <v>13.27496600247003</v>
      </c>
      <c r="BA60" s="960">
        <v>13.02310421060448</v>
      </c>
      <c r="BB60" s="960">
        <v>0.28047481957644832</v>
      </c>
      <c r="BC60" s="960">
        <v>0.27413891103239169</v>
      </c>
      <c r="BD60" s="960">
        <v>0.34011241482535925</v>
      </c>
      <c r="BE60" s="960">
        <v>0.19537249905997447</v>
      </c>
      <c r="BF60" s="960">
        <v>0.29820608984128244</v>
      </c>
      <c r="BG60" s="960">
        <v>0.27015120954887661</v>
      </c>
      <c r="BH60" s="960">
        <v>0.25321776259186124</v>
      </c>
      <c r="BI60" s="960">
        <v>0.26603937155131885</v>
      </c>
      <c r="BJ60" s="960">
        <v>0.30729202141426798</v>
      </c>
      <c r="BK60" s="960">
        <v>0.3340307750046913</v>
      </c>
      <c r="BL60" s="960">
        <v>0.45647746783449833</v>
      </c>
      <c r="BM60" s="960">
        <v>0.46696939889902106</v>
      </c>
      <c r="BN60" s="960">
        <v>0.4174641127418337</v>
      </c>
      <c r="BO60" s="960">
        <v>0.61031187749982452</v>
      </c>
      <c r="BP60" s="960">
        <v>0.53100253330831304</v>
      </c>
      <c r="BQ60" s="960">
        <v>-1.6363461666136253E-2</v>
      </c>
      <c r="BR60" s="960">
        <v>-4.4320363907012689E-2</v>
      </c>
      <c r="BS60" s="960">
        <v>5.3623521898616779E-2</v>
      </c>
      <c r="BT60" s="960">
        <v>-6.7991403453372457E-2</v>
      </c>
      <c r="BU60" s="960">
        <v>973021</v>
      </c>
      <c r="BV60" s="960">
        <v>908771</v>
      </c>
      <c r="BW60" s="960">
        <v>839856</v>
      </c>
      <c r="BX60" s="960">
        <v>661063</v>
      </c>
      <c r="BY60" s="960">
        <v>567834</v>
      </c>
      <c r="BZ60" s="960">
        <v>142300</v>
      </c>
      <c r="CA60" s="960">
        <v>100402</v>
      </c>
      <c r="CB60" s="960">
        <v>72790</v>
      </c>
      <c r="CC60" s="960">
        <v>55735</v>
      </c>
      <c r="CD60" s="960">
        <v>93672</v>
      </c>
      <c r="CE60" s="960">
        <v>1.4413485353147151</v>
      </c>
      <c r="CF60" s="960">
        <v>2.0416434915223829</v>
      </c>
      <c r="CG60" s="960">
        <v>2.2320373677702983</v>
      </c>
      <c r="CH60" s="960">
        <v>0.6398014567027116</v>
      </c>
      <c r="CI60" s="960">
        <v>0.74661891223032262</v>
      </c>
      <c r="CJ60" s="960">
        <v>0.73579390306799086</v>
      </c>
      <c r="CK60" s="960">
        <v>0.23777019340159272</v>
      </c>
      <c r="CL60" s="960">
        <v>0.17213336701645682</v>
      </c>
      <c r="CM60" s="960">
        <v>0.19344982949458003</v>
      </c>
      <c r="CN60" s="960" t="s">
        <v>620</v>
      </c>
      <c r="CO60" s="960">
        <v>1627.2</v>
      </c>
    </row>
    <row r="61" spans="1:93">
      <c r="A61" s="960">
        <v>0</v>
      </c>
      <c r="B61" s="960" t="s">
        <v>620</v>
      </c>
      <c r="C61" s="960">
        <v>0</v>
      </c>
      <c r="D61" s="960">
        <v>0</v>
      </c>
      <c r="E61" s="960">
        <v>0</v>
      </c>
      <c r="F61" s="960">
        <v>0</v>
      </c>
      <c r="G61" s="960">
        <v>0</v>
      </c>
      <c r="H61" s="960">
        <v>0</v>
      </c>
      <c r="I61" s="960">
        <v>0</v>
      </c>
      <c r="J61" s="960">
        <v>0</v>
      </c>
      <c r="K61" s="960">
        <v>1</v>
      </c>
      <c r="L61" s="960">
        <v>0</v>
      </c>
      <c r="M61" s="960">
        <v>0</v>
      </c>
      <c r="N61" s="960" t="s">
        <v>1036</v>
      </c>
      <c r="O61" s="960">
        <v>0</v>
      </c>
      <c r="P61" s="960">
        <v>0</v>
      </c>
      <c r="Q61" s="960">
        <v>0</v>
      </c>
      <c r="R61" s="960">
        <v>0</v>
      </c>
      <c r="S61" s="960">
        <v>0</v>
      </c>
      <c r="T61" s="960">
        <v>0</v>
      </c>
      <c r="U61" s="960">
        <v>0</v>
      </c>
      <c r="V61" s="960">
        <v>0</v>
      </c>
      <c r="W61" s="960">
        <v>0</v>
      </c>
      <c r="X61" s="960">
        <v>0</v>
      </c>
      <c r="Y61" s="960">
        <v>0</v>
      </c>
      <c r="Z61" s="960">
        <v>0</v>
      </c>
      <c r="AA61" s="960">
        <v>0</v>
      </c>
      <c r="AB61" s="960">
        <v>0</v>
      </c>
      <c r="AC61" s="960">
        <v>0</v>
      </c>
      <c r="AD61" s="960">
        <v>0</v>
      </c>
      <c r="AE61" s="960">
        <v>0</v>
      </c>
      <c r="AF61" s="960">
        <v>2008</v>
      </c>
      <c r="AG61" s="960">
        <v>0</v>
      </c>
      <c r="AH61" s="960">
        <v>0</v>
      </c>
      <c r="AI61" s="960">
        <v>0</v>
      </c>
      <c r="AJ61" s="960">
        <v>0</v>
      </c>
      <c r="AK61" s="960">
        <v>0</v>
      </c>
      <c r="AL61" s="960">
        <v>1</v>
      </c>
      <c r="AM61" s="960">
        <v>0</v>
      </c>
      <c r="AN61" s="960">
        <v>0</v>
      </c>
      <c r="AO61" s="960">
        <v>0</v>
      </c>
      <c r="AP61" s="960">
        <v>0</v>
      </c>
      <c r="AQ61" s="960">
        <v>0</v>
      </c>
      <c r="AR61" s="960">
        <v>0</v>
      </c>
      <c r="AS61" s="960">
        <v>0</v>
      </c>
      <c r="AT61" s="960">
        <v>0</v>
      </c>
      <c r="AU61" s="960">
        <v>0</v>
      </c>
      <c r="AV61" s="960">
        <v>0</v>
      </c>
      <c r="AW61" s="960">
        <v>11.821924171002639</v>
      </c>
      <c r="AX61" s="960">
        <v>11.156383834516287</v>
      </c>
      <c r="AY61" s="960">
        <v>10.97827935611676</v>
      </c>
      <c r="AZ61" s="960">
        <v>11.648428584166203</v>
      </c>
      <c r="BA61" s="960">
        <v>11.77171591181383</v>
      </c>
      <c r="BB61" s="960">
        <v>-4.5024644364576628E-2</v>
      </c>
      <c r="BC61" s="960">
        <v>-0.4825818847815696</v>
      </c>
      <c r="BD61" s="960">
        <v>-1.2885410417234797</v>
      </c>
      <c r="BE61" s="960">
        <v>-0.59152090257814427</v>
      </c>
      <c r="BF61" s="960">
        <v>-0.35667995551011461</v>
      </c>
      <c r="BG61" s="960">
        <v>0.51063243054671104</v>
      </c>
      <c r="BH61" s="960">
        <v>0.70695216454862375</v>
      </c>
      <c r="BI61" s="960">
        <v>0.68431266669939284</v>
      </c>
      <c r="BJ61" s="960">
        <v>0.3891253929018279</v>
      </c>
      <c r="BK61" s="960">
        <v>0.36419179045348066</v>
      </c>
      <c r="BL61" s="960">
        <v>0.84462398041962694</v>
      </c>
      <c r="BM61" s="960">
        <v>0.62557786675943128</v>
      </c>
      <c r="BN61" s="960">
        <v>0.60003599888730719</v>
      </c>
      <c r="BO61" s="960">
        <v>0.80987493260907151</v>
      </c>
      <c r="BP61" s="960">
        <v>0.81386555660794213</v>
      </c>
      <c r="BQ61" s="960">
        <v>-0.48288148055570407</v>
      </c>
      <c r="BR61" s="960">
        <v>-1.9925992773527788</v>
      </c>
      <c r="BS61" s="960">
        <v>-0.79343655569706983</v>
      </c>
      <c r="BT61" s="960">
        <v>0.32012087624591218</v>
      </c>
      <c r="BU61" s="960">
        <v>78916.571712000004</v>
      </c>
      <c r="BV61" s="960">
        <v>32795.411186999998</v>
      </c>
      <c r="BW61" s="960">
        <v>30823.78702</v>
      </c>
      <c r="BX61" s="960">
        <v>86373.868835999994</v>
      </c>
      <c r="BY61" s="960">
        <v>101196.32124799999</v>
      </c>
      <c r="BZ61" s="960">
        <v>51449.042699999998</v>
      </c>
      <c r="CA61" s="960">
        <v>27236.821993000001</v>
      </c>
      <c r="CB61" s="960">
        <v>8975.7188299999998</v>
      </c>
      <c r="CC61" s="960">
        <v>9024.5380559999994</v>
      </c>
      <c r="CD61" s="960">
        <v>3308.4505199999999</v>
      </c>
      <c r="CE61" s="960">
        <v>-13.965140936126195</v>
      </c>
      <c r="CF61" s="960">
        <v>-7.5057375089648586</v>
      </c>
      <c r="CG61" s="960">
        <v>-8.4107584684668648</v>
      </c>
      <c r="CH61" s="960">
        <v>-5.376279211985131</v>
      </c>
      <c r="CI61" s="960">
        <v>-3.3997310083062695</v>
      </c>
      <c r="CJ61" s="960">
        <v>-6.5287595675989012</v>
      </c>
      <c r="CK61" s="960">
        <v>-0.45656776078619693</v>
      </c>
      <c r="CL61" s="960">
        <v>-0.78421650784928376</v>
      </c>
      <c r="CM61" s="960">
        <v>-2.4491670381389756</v>
      </c>
      <c r="CN61" s="960" t="s">
        <v>620</v>
      </c>
      <c r="CO61" s="960">
        <v>1627.2</v>
      </c>
    </row>
    <row r="62" spans="1:93">
      <c r="A62" s="960">
        <v>0</v>
      </c>
      <c r="B62" s="960" t="s">
        <v>620</v>
      </c>
      <c r="C62" s="960">
        <v>0</v>
      </c>
      <c r="D62" s="960">
        <v>0</v>
      </c>
      <c r="E62" s="960">
        <v>0</v>
      </c>
      <c r="F62" s="960">
        <v>0</v>
      </c>
      <c r="G62" s="960">
        <v>0</v>
      </c>
      <c r="H62" s="960">
        <v>0</v>
      </c>
      <c r="I62" s="960">
        <v>0</v>
      </c>
      <c r="J62" s="960">
        <v>0</v>
      </c>
      <c r="K62" s="960">
        <v>1</v>
      </c>
      <c r="L62" s="960">
        <v>0</v>
      </c>
      <c r="M62" s="960">
        <v>0</v>
      </c>
      <c r="N62" s="960" t="s">
        <v>1036</v>
      </c>
      <c r="O62" s="960">
        <v>0</v>
      </c>
      <c r="P62" s="960">
        <v>0</v>
      </c>
      <c r="Q62" s="960">
        <v>0</v>
      </c>
      <c r="R62" s="960">
        <v>0</v>
      </c>
      <c r="S62" s="960">
        <v>0</v>
      </c>
      <c r="T62" s="960">
        <v>0</v>
      </c>
      <c r="U62" s="960">
        <v>0</v>
      </c>
      <c r="V62" s="960">
        <v>0</v>
      </c>
      <c r="W62" s="960">
        <v>0</v>
      </c>
      <c r="X62" s="960">
        <v>0</v>
      </c>
      <c r="Y62" s="960">
        <v>0</v>
      </c>
      <c r="Z62" s="960">
        <v>0</v>
      </c>
      <c r="AA62" s="960">
        <v>0</v>
      </c>
      <c r="AB62" s="960">
        <v>0</v>
      </c>
      <c r="AC62" s="960">
        <v>0</v>
      </c>
      <c r="AD62" s="960">
        <v>0</v>
      </c>
      <c r="AE62" s="960">
        <v>0</v>
      </c>
      <c r="AF62" s="960">
        <v>2008</v>
      </c>
      <c r="AG62" s="960">
        <v>0</v>
      </c>
      <c r="AH62" s="960">
        <v>0</v>
      </c>
      <c r="AI62" s="960">
        <v>0</v>
      </c>
      <c r="AJ62" s="960">
        <v>0</v>
      </c>
      <c r="AK62" s="960">
        <v>0</v>
      </c>
      <c r="AL62" s="960">
        <v>1</v>
      </c>
      <c r="AM62" s="960">
        <v>0</v>
      </c>
      <c r="AN62" s="960">
        <v>0</v>
      </c>
      <c r="AO62" s="960">
        <v>0</v>
      </c>
      <c r="AP62" s="960">
        <v>0</v>
      </c>
      <c r="AQ62" s="960">
        <v>0</v>
      </c>
      <c r="AR62" s="960">
        <v>0</v>
      </c>
      <c r="AS62" s="960">
        <v>0</v>
      </c>
      <c r="AT62" s="960">
        <v>0</v>
      </c>
      <c r="AU62" s="960">
        <v>0</v>
      </c>
      <c r="AV62" s="960">
        <v>0</v>
      </c>
      <c r="AW62" s="960">
        <v>11.314440063652562</v>
      </c>
      <c r="AX62" s="960">
        <v>10.887475104510692</v>
      </c>
      <c r="AY62" s="960">
        <v>10.479659638030274</v>
      </c>
      <c r="AZ62" s="960">
        <v>10.315945496873919</v>
      </c>
      <c r="BA62" s="960">
        <v>10.025105083819591</v>
      </c>
      <c r="BB62" s="960">
        <v>-4.0331415901254782E-2</v>
      </c>
      <c r="BC62" s="960">
        <v>1.3151959524524632</v>
      </c>
      <c r="BD62" s="960">
        <v>0.34236851321378226</v>
      </c>
      <c r="BE62" s="960">
        <v>-6.2623485443595417E-2</v>
      </c>
      <c r="BF62" s="960">
        <v>0.96290095304474299</v>
      </c>
      <c r="BG62" s="960">
        <v>0.62649709506371054</v>
      </c>
      <c r="BH62" s="960">
        <v>0.65535857481480431</v>
      </c>
      <c r="BI62" s="960">
        <v>0.63327701152861637</v>
      </c>
      <c r="BJ62" s="960">
        <v>0.68869899605690632</v>
      </c>
      <c r="BK62" s="960">
        <v>0.77522535114539992</v>
      </c>
      <c r="BL62" s="960">
        <v>0.16358607312330001</v>
      </c>
      <c r="BM62" s="960">
        <v>0.14261080829026526</v>
      </c>
      <c r="BN62" s="960">
        <v>0.22960533844112652</v>
      </c>
      <c r="BO62" s="960">
        <v>0.22784789529920321</v>
      </c>
      <c r="BP62" s="960">
        <v>0.12767850838289818</v>
      </c>
      <c r="BQ62" s="960">
        <v>-4.4332119057188091E-2</v>
      </c>
      <c r="BR62" s="960">
        <v>-0.33260097716873077</v>
      </c>
      <c r="BS62" s="960">
        <v>0.45455455421068208</v>
      </c>
      <c r="BT62" s="960">
        <v>-0.14194833961678355</v>
      </c>
      <c r="BU62" s="960">
        <v>187217.54330399999</v>
      </c>
      <c r="BV62" s="960">
        <v>129296.091246</v>
      </c>
      <c r="BW62" s="960">
        <v>56834.822329999995</v>
      </c>
      <c r="BX62" s="960">
        <v>41275.449666</v>
      </c>
      <c r="BY62" s="960">
        <v>39762.664335999994</v>
      </c>
      <c r="BZ62" s="960">
        <v>984769.59279600007</v>
      </c>
      <c r="CA62" s="960">
        <v>679496.19654699997</v>
      </c>
      <c r="CB62" s="960">
        <v>532197.86424999998</v>
      </c>
      <c r="CC62" s="960">
        <v>390226.23214400001</v>
      </c>
      <c r="CD62" s="960">
        <v>387822.95243199996</v>
      </c>
      <c r="CE62" s="960">
        <v>5.6078440369805943E-2</v>
      </c>
      <c r="CF62" s="960">
        <v>-4.8481827262239555E-3</v>
      </c>
      <c r="CG62" s="960">
        <v>2.2891752538633004E-2</v>
      </c>
      <c r="CH62" s="960">
        <v>0.16641534700217805</v>
      </c>
      <c r="CI62" s="960">
        <v>-1.760759180583412E-2</v>
      </c>
      <c r="CJ62" s="960">
        <v>9.3106458984353907E-2</v>
      </c>
      <c r="CK62" s="960">
        <v>0.54695797364638654</v>
      </c>
      <c r="CL62" s="960">
        <v>-4.58356745549501E-2</v>
      </c>
      <c r="CM62" s="960">
        <v>0.21435699647765577</v>
      </c>
      <c r="CN62" s="960" t="s">
        <v>620</v>
      </c>
      <c r="CO62" s="960">
        <v>1627.2</v>
      </c>
    </row>
    <row r="63" spans="1:93">
      <c r="A63" s="960">
        <v>0</v>
      </c>
      <c r="B63" s="960" t="s">
        <v>616</v>
      </c>
      <c r="C63" s="960">
        <v>0</v>
      </c>
      <c r="D63" s="960">
        <v>0</v>
      </c>
      <c r="E63" s="960">
        <v>0</v>
      </c>
      <c r="F63" s="960">
        <v>0</v>
      </c>
      <c r="G63" s="960">
        <v>0</v>
      </c>
      <c r="H63" s="960">
        <v>0</v>
      </c>
      <c r="I63" s="960">
        <v>1</v>
      </c>
      <c r="J63" s="960">
        <v>0</v>
      </c>
      <c r="K63" s="960">
        <v>0</v>
      </c>
      <c r="L63" s="960">
        <v>0</v>
      </c>
      <c r="M63" s="960">
        <v>0</v>
      </c>
      <c r="N63" s="960" t="s">
        <v>1036</v>
      </c>
      <c r="O63" s="960">
        <v>0</v>
      </c>
      <c r="P63" s="960">
        <v>0</v>
      </c>
      <c r="Q63" s="960">
        <v>0</v>
      </c>
      <c r="R63" s="960">
        <v>0</v>
      </c>
      <c r="S63" s="960">
        <v>0</v>
      </c>
      <c r="T63" s="960">
        <v>0</v>
      </c>
      <c r="U63" s="960">
        <v>0</v>
      </c>
      <c r="V63" s="960">
        <v>0</v>
      </c>
      <c r="W63" s="960">
        <v>0</v>
      </c>
      <c r="X63" s="960">
        <v>0</v>
      </c>
      <c r="Y63" s="960">
        <v>0</v>
      </c>
      <c r="Z63" s="960">
        <v>0</v>
      </c>
      <c r="AA63" s="960">
        <v>0</v>
      </c>
      <c r="AB63" s="960">
        <v>0</v>
      </c>
      <c r="AC63" s="960">
        <v>0</v>
      </c>
      <c r="AD63" s="960">
        <v>0</v>
      </c>
      <c r="AE63" s="960">
        <v>0</v>
      </c>
      <c r="AF63" s="960">
        <v>2006</v>
      </c>
      <c r="AG63" s="960">
        <v>0</v>
      </c>
      <c r="AH63" s="960">
        <v>0</v>
      </c>
      <c r="AI63" s="960">
        <v>0</v>
      </c>
      <c r="AJ63" s="960">
        <v>1</v>
      </c>
      <c r="AK63" s="960">
        <v>0</v>
      </c>
      <c r="AL63" s="960">
        <v>0</v>
      </c>
      <c r="AM63" s="960">
        <v>0</v>
      </c>
      <c r="AN63" s="960">
        <v>0</v>
      </c>
      <c r="AO63" s="960">
        <v>0</v>
      </c>
      <c r="AP63" s="960">
        <v>0</v>
      </c>
      <c r="AQ63" s="960">
        <v>0</v>
      </c>
      <c r="AR63" s="960">
        <v>0</v>
      </c>
      <c r="AS63" s="960">
        <v>0</v>
      </c>
      <c r="AT63" s="960">
        <v>0</v>
      </c>
      <c r="AU63" s="960">
        <v>0</v>
      </c>
      <c r="AV63" s="960">
        <v>0</v>
      </c>
      <c r="AW63" s="960">
        <v>14.526629597849697</v>
      </c>
      <c r="AX63" s="960">
        <v>14.749166483908231</v>
      </c>
      <c r="AY63" s="960">
        <v>14.677347482920217</v>
      </c>
      <c r="AZ63" s="960">
        <v>14.547494941608452</v>
      </c>
      <c r="BA63" s="960">
        <v>14.278089596774878</v>
      </c>
      <c r="BB63" s="960">
        <v>3.0992546096508436E-2</v>
      </c>
      <c r="BC63" s="960">
        <v>-6.4032793837020291E-2</v>
      </c>
      <c r="BD63" s="960">
        <v>4.5894767273778551E-2</v>
      </c>
      <c r="BE63" s="960">
        <v>0.16089796531271117</v>
      </c>
      <c r="BF63" s="960">
        <v>8.5568827100058739E-2</v>
      </c>
      <c r="BG63" s="960">
        <v>0.65348226018396849</v>
      </c>
      <c r="BH63" s="960">
        <v>0.68584257355437261</v>
      </c>
      <c r="BI63" s="960">
        <v>0.72459700853458531</v>
      </c>
      <c r="BJ63" s="960">
        <v>0.75374737699817251</v>
      </c>
      <c r="BK63" s="960">
        <v>0.59644188811440557</v>
      </c>
      <c r="BL63" s="960">
        <v>0.83738501971090673</v>
      </c>
      <c r="BM63" s="960">
        <v>0.8632176194252944</v>
      </c>
      <c r="BN63" s="960">
        <v>0.86523669564129824</v>
      </c>
      <c r="BO63" s="960">
        <v>0.80482204362801379</v>
      </c>
      <c r="BP63" s="960">
        <v>1.2872085696282294</v>
      </c>
      <c r="BQ63" s="960">
        <v>-7.0435090753041357E-2</v>
      </c>
      <c r="BR63" s="960">
        <v>-0.14339749664437049</v>
      </c>
      <c r="BS63" s="960">
        <v>0.39925788614533775</v>
      </c>
      <c r="BT63" s="960">
        <v>0.12815512042017974</v>
      </c>
      <c r="BU63" s="960">
        <v>842626.98</v>
      </c>
      <c r="BV63" s="960">
        <v>672579.42599999998</v>
      </c>
      <c r="BW63" s="960">
        <v>849228.85599999991</v>
      </c>
      <c r="BX63" s="960">
        <v>806922.25199999998</v>
      </c>
      <c r="BY63" s="960">
        <v>500830.06899999996</v>
      </c>
      <c r="BZ63" s="960">
        <v>900303.95</v>
      </c>
      <c r="CA63" s="960">
        <v>1274682.74</v>
      </c>
      <c r="CB63" s="960">
        <v>610185.39199999999</v>
      </c>
      <c r="CC63" s="960">
        <v>476441.61599999998</v>
      </c>
      <c r="CD63" s="960">
        <v>303203.55</v>
      </c>
      <c r="CE63" s="960">
        <v>0.4482051282051282</v>
      </c>
      <c r="CF63" s="960">
        <v>0.70216251638269989</v>
      </c>
      <c r="CG63" s="960">
        <v>0.17807066741447</v>
      </c>
      <c r="CH63" s="960">
        <v>0.3765826174881336</v>
      </c>
      <c r="CI63" s="960">
        <v>0.61790826154384415</v>
      </c>
      <c r="CJ63" s="960">
        <v>0.16303959430450327</v>
      </c>
      <c r="CK63" s="960">
        <v>0.27134430301148715</v>
      </c>
      <c r="CL63" s="960">
        <v>0.41458696072741347</v>
      </c>
      <c r="CM63" s="960">
        <v>0.12794680636711667</v>
      </c>
      <c r="CN63" s="960" t="s">
        <v>616</v>
      </c>
      <c r="CO63" s="960">
        <v>1418.1999999999998</v>
      </c>
    </row>
    <row r="64" spans="1:93">
      <c r="A64" s="960">
        <v>0</v>
      </c>
      <c r="B64" s="960" t="s">
        <v>616</v>
      </c>
      <c r="C64" s="960">
        <v>0</v>
      </c>
      <c r="D64" s="960">
        <v>0</v>
      </c>
      <c r="E64" s="960">
        <v>0</v>
      </c>
      <c r="F64" s="960">
        <v>0</v>
      </c>
      <c r="G64" s="960">
        <v>0</v>
      </c>
      <c r="H64" s="960">
        <v>0</v>
      </c>
      <c r="I64" s="960">
        <v>1</v>
      </c>
      <c r="J64" s="960">
        <v>0</v>
      </c>
      <c r="K64" s="960">
        <v>0</v>
      </c>
      <c r="L64" s="960">
        <v>0</v>
      </c>
      <c r="M64" s="960">
        <v>0</v>
      </c>
      <c r="N64" s="960" t="s">
        <v>1036</v>
      </c>
      <c r="O64" s="960">
        <v>0</v>
      </c>
      <c r="P64" s="960">
        <v>0</v>
      </c>
      <c r="Q64" s="960">
        <v>0</v>
      </c>
      <c r="R64" s="960">
        <v>0</v>
      </c>
      <c r="S64" s="960">
        <v>0</v>
      </c>
      <c r="T64" s="960">
        <v>0</v>
      </c>
      <c r="U64" s="960">
        <v>0</v>
      </c>
      <c r="V64" s="960">
        <v>0</v>
      </c>
      <c r="W64" s="960">
        <v>0</v>
      </c>
      <c r="X64" s="960">
        <v>0</v>
      </c>
      <c r="Y64" s="960">
        <v>0</v>
      </c>
      <c r="Z64" s="960">
        <v>0</v>
      </c>
      <c r="AA64" s="960">
        <v>0</v>
      </c>
      <c r="AB64" s="960">
        <v>0</v>
      </c>
      <c r="AC64" s="960">
        <v>0</v>
      </c>
      <c r="AD64" s="960">
        <v>0</v>
      </c>
      <c r="AE64" s="960">
        <v>0</v>
      </c>
      <c r="AF64" s="960">
        <v>2006</v>
      </c>
      <c r="AG64" s="960">
        <v>0</v>
      </c>
      <c r="AH64" s="960">
        <v>0</v>
      </c>
      <c r="AI64" s="960">
        <v>0</v>
      </c>
      <c r="AJ64" s="960">
        <v>1</v>
      </c>
      <c r="AK64" s="960">
        <v>0</v>
      </c>
      <c r="AL64" s="960">
        <v>0</v>
      </c>
      <c r="AM64" s="960">
        <v>0</v>
      </c>
      <c r="AN64" s="960">
        <v>0</v>
      </c>
      <c r="AO64" s="960">
        <v>0</v>
      </c>
      <c r="AP64" s="960">
        <v>0</v>
      </c>
      <c r="AQ64" s="960">
        <v>0</v>
      </c>
      <c r="AR64" s="960">
        <v>0</v>
      </c>
      <c r="AS64" s="960">
        <v>0</v>
      </c>
      <c r="AT64" s="960">
        <v>0</v>
      </c>
      <c r="AU64" s="960">
        <v>0</v>
      </c>
      <c r="AV64" s="960">
        <v>0</v>
      </c>
      <c r="AW64" s="960">
        <v>12.536004785660165</v>
      </c>
      <c r="AX64" s="960">
        <v>12.675074660928193</v>
      </c>
      <c r="AY64" s="960">
        <v>12.668406166028968</v>
      </c>
      <c r="AZ64" s="960">
        <v>12.458906506275371</v>
      </c>
      <c r="BA64" s="960">
        <v>12.369566813622413</v>
      </c>
      <c r="BB64" s="960">
        <v>2.1664527208452154E-2</v>
      </c>
      <c r="BC64" s="960">
        <v>5.2887557139257822E-3</v>
      </c>
      <c r="BD64" s="960">
        <v>4.8695166747403183E-3</v>
      </c>
      <c r="BE64" s="960">
        <v>1.2477905287940469E-2</v>
      </c>
      <c r="BF64" s="960">
        <v>2.9458734862803843E-2</v>
      </c>
      <c r="BG64" s="960">
        <v>3.8185705243506578</v>
      </c>
      <c r="BH64" s="960">
        <v>0.57069033030264149</v>
      </c>
      <c r="BI64" s="960">
        <v>0.68579234852319237</v>
      </c>
      <c r="BJ64" s="960">
        <v>0.68093163117308464</v>
      </c>
      <c r="BK64" s="960">
        <v>0.55506007149789227</v>
      </c>
      <c r="BL64" s="960">
        <v>1.1001623930543796</v>
      </c>
      <c r="BM64" s="960">
        <v>1.0811767910651047</v>
      </c>
      <c r="BN64" s="960">
        <v>1.0936505916033461</v>
      </c>
      <c r="BO64" s="960">
        <v>1.0639883083027304</v>
      </c>
      <c r="BP64" s="960">
        <v>1.1589676532788968</v>
      </c>
      <c r="BQ64" s="960">
        <v>-2.8816171020356884E-2</v>
      </c>
      <c r="BR64" s="960">
        <v>-6.1021239338015711E-2</v>
      </c>
      <c r="BS64" s="960">
        <v>0.29883935240655518</v>
      </c>
      <c r="BT64" s="960">
        <v>0.1307322770253001</v>
      </c>
      <c r="BU64" s="960">
        <v>98587.516430000003</v>
      </c>
      <c r="BV64" s="960">
        <v>105797.22913200001</v>
      </c>
      <c r="BW64" s="960">
        <v>100841.26384799999</v>
      </c>
      <c r="BX64" s="960">
        <v>91681.135643999994</v>
      </c>
      <c r="BY64" s="960">
        <v>90867.305132999987</v>
      </c>
      <c r="BZ64" s="960">
        <v>79325.804999999993</v>
      </c>
      <c r="CA64" s="960">
        <v>70946.611961999995</v>
      </c>
      <c r="CB64" s="960">
        <v>71334.197231999991</v>
      </c>
      <c r="CC64" s="960">
        <v>42864.134639999997</v>
      </c>
      <c r="CD64" s="960">
        <v>28263.857485999997</v>
      </c>
      <c r="CE64" s="960">
        <v>0.24548065179838702</v>
      </c>
      <c r="CF64" s="960">
        <v>7.4969043630271681E-2</v>
      </c>
      <c r="CG64" s="960">
        <v>2.16773890224186E-2</v>
      </c>
      <c r="CH64" s="960">
        <v>0.17002401863706068</v>
      </c>
      <c r="CI64" s="960">
        <v>6.0700833400930083E-2</v>
      </c>
      <c r="CJ64" s="960">
        <v>1.954505198399005E-2</v>
      </c>
      <c r="CK64" s="960">
        <v>7.6355628108973866E-2</v>
      </c>
      <c r="CL64" s="960">
        <v>3.5050647632442408E-2</v>
      </c>
      <c r="CM64" s="960">
        <v>1.5334388770958158E-2</v>
      </c>
      <c r="CN64" s="960" t="s">
        <v>616</v>
      </c>
      <c r="CO64" s="960">
        <v>1418.1999999999998</v>
      </c>
    </row>
    <row r="65" spans="1:93">
      <c r="A65" s="960">
        <v>0</v>
      </c>
      <c r="B65" s="960" t="s">
        <v>616</v>
      </c>
      <c r="C65" s="960">
        <v>0</v>
      </c>
      <c r="D65" s="960">
        <v>0</v>
      </c>
      <c r="E65" s="960">
        <v>0</v>
      </c>
      <c r="F65" s="960">
        <v>0</v>
      </c>
      <c r="G65" s="960">
        <v>0</v>
      </c>
      <c r="H65" s="960">
        <v>0</v>
      </c>
      <c r="I65" s="960">
        <v>1</v>
      </c>
      <c r="J65" s="960">
        <v>0</v>
      </c>
      <c r="K65" s="960">
        <v>0</v>
      </c>
      <c r="L65" s="960">
        <v>0</v>
      </c>
      <c r="M65" s="960">
        <v>0</v>
      </c>
      <c r="N65" s="960" t="s">
        <v>1036</v>
      </c>
      <c r="O65" s="960">
        <v>0</v>
      </c>
      <c r="P65" s="960">
        <v>0</v>
      </c>
      <c r="Q65" s="960">
        <v>0</v>
      </c>
      <c r="R65" s="960">
        <v>0</v>
      </c>
      <c r="S65" s="960">
        <v>0</v>
      </c>
      <c r="T65" s="960">
        <v>0</v>
      </c>
      <c r="U65" s="960">
        <v>0</v>
      </c>
      <c r="V65" s="960">
        <v>0</v>
      </c>
      <c r="W65" s="960">
        <v>0</v>
      </c>
      <c r="X65" s="960">
        <v>0</v>
      </c>
      <c r="Y65" s="960">
        <v>0</v>
      </c>
      <c r="Z65" s="960">
        <v>0</v>
      </c>
      <c r="AA65" s="960">
        <v>0</v>
      </c>
      <c r="AB65" s="960">
        <v>0</v>
      </c>
      <c r="AC65" s="960">
        <v>0</v>
      </c>
      <c r="AD65" s="960">
        <v>0</v>
      </c>
      <c r="AE65" s="960">
        <v>0</v>
      </c>
      <c r="AF65" s="960">
        <v>2006</v>
      </c>
      <c r="AG65" s="960">
        <v>0</v>
      </c>
      <c r="AH65" s="960">
        <v>0</v>
      </c>
      <c r="AI65" s="960">
        <v>0</v>
      </c>
      <c r="AJ65" s="960">
        <v>1</v>
      </c>
      <c r="AK65" s="960">
        <v>0</v>
      </c>
      <c r="AL65" s="960">
        <v>0</v>
      </c>
      <c r="AM65" s="960">
        <v>0</v>
      </c>
      <c r="AN65" s="960">
        <v>0</v>
      </c>
      <c r="AO65" s="960">
        <v>0</v>
      </c>
      <c r="AP65" s="960">
        <v>0</v>
      </c>
      <c r="AQ65" s="960">
        <v>0</v>
      </c>
      <c r="AR65" s="960">
        <v>0</v>
      </c>
      <c r="AS65" s="960">
        <v>0</v>
      </c>
      <c r="AT65" s="960">
        <v>0</v>
      </c>
      <c r="AU65" s="960">
        <v>0</v>
      </c>
      <c r="AV65" s="960">
        <v>0</v>
      </c>
      <c r="AW65" s="960">
        <v>11.491672719412607</v>
      </c>
      <c r="AX65" s="960">
        <v>11.400570537746098</v>
      </c>
      <c r="AY65" s="960">
        <v>10.896369223585648</v>
      </c>
      <c r="AZ65" s="960">
        <v>10.415514234902389</v>
      </c>
      <c r="BA65" s="960">
        <v>10.083228846062099</v>
      </c>
      <c r="BB65" s="960">
        <v>4.6442361988321273E-2</v>
      </c>
      <c r="BC65" s="960">
        <v>0.17642917204781275</v>
      </c>
      <c r="BD65" s="960">
        <v>3.9522484197980129E-2</v>
      </c>
      <c r="BE65" s="960">
        <v>-8.5090558694757318E-2</v>
      </c>
      <c r="BF65" s="960">
        <v>1.818075529054133E-2</v>
      </c>
      <c r="BG65" s="960">
        <v>1.6665046112778548</v>
      </c>
      <c r="BH65" s="960">
        <v>0.22687689427291685</v>
      </c>
      <c r="BI65" s="960">
        <v>0.13963230797555445</v>
      </c>
      <c r="BJ65" s="960">
        <v>0.1224388327539554</v>
      </c>
      <c r="BK65" s="960">
        <v>0.10966511747656819</v>
      </c>
      <c r="BL65" s="960">
        <v>0.74568098953896478</v>
      </c>
      <c r="BM65" s="960">
        <v>0.61883444915560171</v>
      </c>
      <c r="BN65" s="960">
        <v>0.51401430596516384</v>
      </c>
      <c r="BO65" s="960">
        <v>0.38021050085544872</v>
      </c>
      <c r="BP65" s="960">
        <v>0.47296969324587951</v>
      </c>
      <c r="BQ65" s="960">
        <v>1.171617603229818E-2</v>
      </c>
      <c r="BR65" s="960">
        <v>1.3775303176084341E-2</v>
      </c>
      <c r="BS65" s="960">
        <v>0.81314037752354873</v>
      </c>
      <c r="BT65" s="960">
        <v>2.996719049898626E-2</v>
      </c>
      <c r="BU65" s="960">
        <v>96329.646789999999</v>
      </c>
      <c r="BV65" s="960">
        <v>107550.322418</v>
      </c>
      <c r="BW65" s="960">
        <v>91060.330815999987</v>
      </c>
      <c r="BX65" s="960">
        <v>77971.262759999998</v>
      </c>
      <c r="BY65" s="960">
        <v>45084.035549999993</v>
      </c>
      <c r="BZ65" s="960">
        <v>0</v>
      </c>
      <c r="CA65" s="960">
        <v>0</v>
      </c>
      <c r="CB65" s="960">
        <v>0</v>
      </c>
      <c r="CC65" s="960">
        <v>55.418340000000001</v>
      </c>
      <c r="CD65" s="960">
        <v>0</v>
      </c>
      <c r="CE65" s="960" t="e">
        <v>#DIV/0!</v>
      </c>
      <c r="CF65" s="960">
        <v>-51.242253521126763</v>
      </c>
      <c r="CG65" s="960" t="e">
        <v>#DIV/0!</v>
      </c>
      <c r="CH65" s="960" t="e">
        <v>#DIV/0!</v>
      </c>
      <c r="CI65" s="960">
        <v>-6.2394072527475544</v>
      </c>
      <c r="CJ65" s="960" t="e">
        <v>#DIV/0!</v>
      </c>
      <c r="CK65" s="960">
        <v>9.6533885152612527E-3</v>
      </c>
      <c r="CL65" s="960">
        <v>-3.6420605842192727E-2</v>
      </c>
      <c r="CM65" s="960">
        <v>2.3428691691345593E-2</v>
      </c>
      <c r="CN65" s="960" t="s">
        <v>616</v>
      </c>
      <c r="CO65" s="960">
        <v>1418.1999999999998</v>
      </c>
    </row>
    <row r="66" spans="1:93">
      <c r="A66" s="960">
        <v>0</v>
      </c>
      <c r="B66" s="960" t="s">
        <v>616</v>
      </c>
      <c r="C66" s="960">
        <v>0</v>
      </c>
      <c r="D66" s="960">
        <v>0</v>
      </c>
      <c r="E66" s="960">
        <v>0</v>
      </c>
      <c r="F66" s="960">
        <v>0</v>
      </c>
      <c r="G66" s="960">
        <v>0</v>
      </c>
      <c r="H66" s="960">
        <v>0</v>
      </c>
      <c r="I66" s="960">
        <v>1</v>
      </c>
      <c r="J66" s="960">
        <v>0</v>
      </c>
      <c r="K66" s="960">
        <v>0</v>
      </c>
      <c r="L66" s="960">
        <v>0</v>
      </c>
      <c r="M66" s="960">
        <v>0</v>
      </c>
      <c r="N66" s="960" t="s">
        <v>1036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60">
        <v>0</v>
      </c>
      <c r="V66" s="960">
        <v>0</v>
      </c>
      <c r="W66" s="960">
        <v>0</v>
      </c>
      <c r="X66" s="960">
        <v>0</v>
      </c>
      <c r="Y66" s="960">
        <v>0</v>
      </c>
      <c r="Z66" s="960">
        <v>0</v>
      </c>
      <c r="AA66" s="960">
        <v>0</v>
      </c>
      <c r="AB66" s="960">
        <v>0</v>
      </c>
      <c r="AC66" s="960">
        <v>0</v>
      </c>
      <c r="AD66" s="960">
        <v>0</v>
      </c>
      <c r="AE66" s="960">
        <v>0</v>
      </c>
      <c r="AF66" s="960">
        <v>2005</v>
      </c>
      <c r="AG66" s="960">
        <v>0</v>
      </c>
      <c r="AH66" s="960">
        <v>0</v>
      </c>
      <c r="AI66" s="960">
        <v>1</v>
      </c>
      <c r="AJ66" s="960">
        <v>0</v>
      </c>
      <c r="AK66" s="960">
        <v>0</v>
      </c>
      <c r="AL66" s="960">
        <v>0</v>
      </c>
      <c r="AM66" s="960">
        <v>0</v>
      </c>
      <c r="AN66" s="960">
        <v>0</v>
      </c>
      <c r="AO66" s="960">
        <v>0</v>
      </c>
      <c r="AP66" s="960">
        <v>0</v>
      </c>
      <c r="AQ66" s="960">
        <v>0</v>
      </c>
      <c r="AR66" s="960">
        <v>0</v>
      </c>
      <c r="AS66" s="960">
        <v>0</v>
      </c>
      <c r="AT66" s="960">
        <v>0</v>
      </c>
      <c r="AU66" s="960">
        <v>0</v>
      </c>
      <c r="AV66" s="960">
        <v>0</v>
      </c>
      <c r="AW66" s="960">
        <v>11.899235764523134</v>
      </c>
      <c r="AX66" s="960">
        <v>11.596017324764849</v>
      </c>
      <c r="AY66" s="960">
        <v>11.024467096049595</v>
      </c>
      <c r="AZ66" s="960">
        <v>10.634407747011396</v>
      </c>
      <c r="BA66" s="960">
        <v>10.484004433477004</v>
      </c>
      <c r="BB66" s="960">
        <v>4.8184719290014853E-2</v>
      </c>
      <c r="BC66" s="960">
        <v>5.1868601851516503E-2</v>
      </c>
      <c r="BD66" s="960">
        <v>9.7228547512613131E-2</v>
      </c>
      <c r="BE66" s="960">
        <v>3.0922008115108774E-2</v>
      </c>
      <c r="BF66" s="960">
        <v>3.2594860361222271E-2</v>
      </c>
      <c r="BG66" s="960">
        <v>0.40909526297457338</v>
      </c>
      <c r="BH66" s="960">
        <v>0.46216475571546928</v>
      </c>
      <c r="BI66" s="960">
        <v>0.35673995562820471</v>
      </c>
      <c r="BJ66" s="960">
        <v>0.35965377588050557</v>
      </c>
      <c r="BK66" s="960">
        <v>0.38334220479058695</v>
      </c>
      <c r="BL66" s="960">
        <v>1.187878787878788</v>
      </c>
      <c r="BM66" s="960">
        <v>1.2616986571354207</v>
      </c>
      <c r="BN66" s="960">
        <v>1.0725721723896093</v>
      </c>
      <c r="BO66" s="960">
        <v>1.1247063578266689</v>
      </c>
      <c r="BP66" s="960">
        <v>1.347000980529486</v>
      </c>
      <c r="BQ66" s="960">
        <v>6.0379325557101744E-2</v>
      </c>
      <c r="BR66" s="960">
        <v>9.0920114274508787E-2</v>
      </c>
      <c r="BS66" s="960">
        <v>0.54046266257259157</v>
      </c>
      <c r="BT66" s="960">
        <v>-2.6602249162382241E-2</v>
      </c>
      <c r="BU66" s="960">
        <v>73201.128402000002</v>
      </c>
      <c r="BV66" s="960">
        <v>46320.873959999997</v>
      </c>
      <c r="BW66" s="960">
        <v>36798.089975999996</v>
      </c>
      <c r="BX66" s="960">
        <v>23650.498855999998</v>
      </c>
      <c r="BY66" s="960">
        <v>16361.442395999999</v>
      </c>
      <c r="BZ66" s="960">
        <v>7163.7529560000003</v>
      </c>
      <c r="CA66" s="960">
        <v>9093.2339039999988</v>
      </c>
      <c r="CB66" s="960">
        <v>6593.22138</v>
      </c>
      <c r="CC66" s="960">
        <v>2516.900443</v>
      </c>
      <c r="CD66" s="960">
        <v>0</v>
      </c>
      <c r="CE66" s="960" t="e">
        <v>#DIV/0!</v>
      </c>
      <c r="CF66" s="960">
        <v>0.51034780997096429</v>
      </c>
      <c r="CG66" s="960">
        <v>0.90481827867882092</v>
      </c>
      <c r="CH66" s="960" t="e">
        <v>#DIV/0!</v>
      </c>
      <c r="CI66" s="960">
        <v>0.21832669599223473</v>
      </c>
      <c r="CJ66" s="960">
        <v>0.42706946701136106</v>
      </c>
      <c r="CK66" s="960">
        <v>7.1198822439077589E-2</v>
      </c>
      <c r="CL66" s="960">
        <v>5.4311523694314412E-2</v>
      </c>
      <c r="CM66" s="960">
        <v>0.16211893671358638</v>
      </c>
      <c r="CN66" s="960" t="s">
        <v>616</v>
      </c>
      <c r="CO66" s="960">
        <v>1316.9</v>
      </c>
    </row>
    <row r="67" spans="1:93">
      <c r="A67" s="960">
        <v>0</v>
      </c>
      <c r="B67" s="960" t="s">
        <v>616</v>
      </c>
      <c r="C67" s="960">
        <v>0</v>
      </c>
      <c r="D67" s="960">
        <v>0</v>
      </c>
      <c r="E67" s="960">
        <v>0</v>
      </c>
      <c r="F67" s="960">
        <v>0</v>
      </c>
      <c r="G67" s="960">
        <v>0</v>
      </c>
      <c r="H67" s="960">
        <v>0</v>
      </c>
      <c r="I67" s="960">
        <v>1</v>
      </c>
      <c r="J67" s="960">
        <v>0</v>
      </c>
      <c r="K67" s="960">
        <v>0</v>
      </c>
      <c r="L67" s="960">
        <v>0</v>
      </c>
      <c r="M67" s="960">
        <v>0</v>
      </c>
      <c r="N67" s="960" t="s">
        <v>1036</v>
      </c>
      <c r="O67" s="960">
        <v>0</v>
      </c>
      <c r="P67" s="960">
        <v>0</v>
      </c>
      <c r="Q67" s="960">
        <v>0</v>
      </c>
      <c r="R67" s="960">
        <v>0</v>
      </c>
      <c r="S67" s="960">
        <v>0</v>
      </c>
      <c r="T67" s="960">
        <v>0</v>
      </c>
      <c r="U67" s="960">
        <v>0</v>
      </c>
      <c r="V67" s="960">
        <v>0</v>
      </c>
      <c r="W67" s="960">
        <v>0</v>
      </c>
      <c r="X67" s="960">
        <v>0</v>
      </c>
      <c r="Y67" s="960">
        <v>0</v>
      </c>
      <c r="Z67" s="960">
        <v>0</v>
      </c>
      <c r="AA67" s="960">
        <v>0</v>
      </c>
      <c r="AB67" s="960">
        <v>0</v>
      </c>
      <c r="AC67" s="960">
        <v>0</v>
      </c>
      <c r="AD67" s="960">
        <v>0</v>
      </c>
      <c r="AE67" s="960">
        <v>0</v>
      </c>
      <c r="AF67" s="960">
        <v>2005</v>
      </c>
      <c r="AG67" s="960">
        <v>0</v>
      </c>
      <c r="AH67" s="960">
        <v>0</v>
      </c>
      <c r="AI67" s="960">
        <v>1</v>
      </c>
      <c r="AJ67" s="960">
        <v>0</v>
      </c>
      <c r="AK67" s="960">
        <v>0</v>
      </c>
      <c r="AL67" s="960">
        <v>0</v>
      </c>
      <c r="AM67" s="960">
        <v>0</v>
      </c>
      <c r="AN67" s="960">
        <v>0</v>
      </c>
      <c r="AO67" s="960">
        <v>0</v>
      </c>
      <c r="AP67" s="960">
        <v>0</v>
      </c>
      <c r="AQ67" s="960">
        <v>0</v>
      </c>
      <c r="AR67" s="960">
        <v>0</v>
      </c>
      <c r="AS67" s="960">
        <v>0</v>
      </c>
      <c r="AT67" s="960">
        <v>0</v>
      </c>
      <c r="AU67" s="960">
        <v>0</v>
      </c>
      <c r="AV67" s="960">
        <v>0</v>
      </c>
      <c r="AW67" s="960">
        <v>14.791971668567975</v>
      </c>
      <c r="AX67" s="960">
        <v>14.631070420189788</v>
      </c>
      <c r="AY67" s="960">
        <v>14.127014138827278</v>
      </c>
      <c r="AZ67" s="960">
        <v>13.20208069522125</v>
      </c>
      <c r="BA67" s="960">
        <v>13.428681140075398</v>
      </c>
      <c r="BB67" s="960">
        <v>2.9191890464388741E-2</v>
      </c>
      <c r="BC67" s="960">
        <v>3.203560857815492E-2</v>
      </c>
      <c r="BD67" s="960">
        <v>-4.961701154681605E-3</v>
      </c>
      <c r="BE67" s="960">
        <v>-4.3933955491744434E-2</v>
      </c>
      <c r="BF67" s="960">
        <v>-4.7167746454211165E-2</v>
      </c>
      <c r="BG67" s="960">
        <v>0.65488221586312645</v>
      </c>
      <c r="BH67" s="960">
        <v>0.68765428426969621</v>
      </c>
      <c r="BI67" s="960">
        <v>0.72786793682316064</v>
      </c>
      <c r="BJ67" s="960">
        <v>0.949918943955535</v>
      </c>
      <c r="BK67" s="960">
        <v>0.69241496862167806</v>
      </c>
      <c r="BL67" s="960">
        <v>1.7830984895135291</v>
      </c>
      <c r="BM67" s="960">
        <v>1.9644737233441394</v>
      </c>
      <c r="BN67" s="960">
        <v>1.3570918794799391</v>
      </c>
      <c r="BO67" s="960">
        <v>2.0162691060676243</v>
      </c>
      <c r="BP67" s="960">
        <v>1.7698923065003487</v>
      </c>
      <c r="BQ67" s="960">
        <v>7.67483472188428E-2</v>
      </c>
      <c r="BR67" s="960">
        <v>0.24666713578750549</v>
      </c>
      <c r="BS67" s="960">
        <v>0.69833299875187926</v>
      </c>
      <c r="BT67" s="960">
        <v>3.5452968201482582E-2</v>
      </c>
      <c r="BU67" s="960">
        <v>513882.32380000001</v>
      </c>
      <c r="BV67" s="960">
        <v>359403.64479999995</v>
      </c>
      <c r="BW67" s="960">
        <v>273813.43199999997</v>
      </c>
      <c r="BX67" s="960">
        <v>13449.798499999999</v>
      </c>
      <c r="BY67" s="960">
        <v>118037.628</v>
      </c>
      <c r="BZ67" s="960">
        <v>28136.509000000002</v>
      </c>
      <c r="CA67" s="960">
        <v>19369.878399999998</v>
      </c>
      <c r="CB67" s="960">
        <v>10100.187599999999</v>
      </c>
      <c r="CC67" s="960">
        <v>4509.1809999999996</v>
      </c>
      <c r="CD67" s="960">
        <v>19727.447399999997</v>
      </c>
      <c r="CE67" s="960">
        <v>-1.6239638281838735</v>
      </c>
      <c r="CF67" s="960">
        <v>-5.2758620689655178</v>
      </c>
      <c r="CG67" s="960">
        <v>-0.67078825347758886</v>
      </c>
      <c r="CH67" s="960">
        <v>-1.2079386946989445</v>
      </c>
      <c r="CI67" s="960">
        <v>-5.1002240021721432</v>
      </c>
      <c r="CJ67" s="960">
        <v>-0.49497874644936862</v>
      </c>
      <c r="CK67" s="960">
        <v>-0.27141057934508817</v>
      </c>
      <c r="CL67" s="960">
        <v>-1.7687861271676302</v>
      </c>
      <c r="CM67" s="960">
        <v>-2.4743443557582671E-2</v>
      </c>
      <c r="CN67" s="960" t="s">
        <v>616</v>
      </c>
      <c r="CO67" s="960">
        <v>1316.9</v>
      </c>
    </row>
    <row r="68" spans="1:93">
      <c r="A68" s="960">
        <v>0</v>
      </c>
      <c r="B68" s="960" t="s">
        <v>614</v>
      </c>
      <c r="C68" s="960">
        <v>0</v>
      </c>
      <c r="D68" s="960">
        <v>0</v>
      </c>
      <c r="E68" s="960">
        <v>0</v>
      </c>
      <c r="F68" s="960">
        <v>0</v>
      </c>
      <c r="G68" s="960">
        <v>1</v>
      </c>
      <c r="H68" s="960">
        <v>0</v>
      </c>
      <c r="I68" s="960">
        <v>0</v>
      </c>
      <c r="J68" s="960">
        <v>0</v>
      </c>
      <c r="K68" s="960">
        <v>0</v>
      </c>
      <c r="L68" s="960">
        <v>0</v>
      </c>
      <c r="M68" s="960">
        <v>0</v>
      </c>
      <c r="N68" s="960" t="s">
        <v>1036</v>
      </c>
      <c r="O68" s="960">
        <v>0</v>
      </c>
      <c r="P68" s="960">
        <v>0</v>
      </c>
      <c r="Q68" s="960">
        <v>0</v>
      </c>
      <c r="R68" s="960">
        <v>0</v>
      </c>
      <c r="S68" s="960">
        <v>0</v>
      </c>
      <c r="T68" s="960">
        <v>0</v>
      </c>
      <c r="U68" s="960">
        <v>0</v>
      </c>
      <c r="V68" s="960">
        <v>0</v>
      </c>
      <c r="W68" s="960">
        <v>0</v>
      </c>
      <c r="X68" s="960">
        <v>0</v>
      </c>
      <c r="Y68" s="960">
        <v>0</v>
      </c>
      <c r="Z68" s="960">
        <v>0</v>
      </c>
      <c r="AA68" s="960">
        <v>0</v>
      </c>
      <c r="AB68" s="960">
        <v>0</v>
      </c>
      <c r="AC68" s="960">
        <v>0</v>
      </c>
      <c r="AD68" s="960">
        <v>0</v>
      </c>
      <c r="AE68" s="960">
        <v>0</v>
      </c>
      <c r="AF68" s="960">
        <v>2013</v>
      </c>
      <c r="AG68" s="960">
        <v>0</v>
      </c>
      <c r="AH68" s="960">
        <v>0</v>
      </c>
      <c r="AI68" s="960">
        <v>0</v>
      </c>
      <c r="AJ68" s="960">
        <v>0</v>
      </c>
      <c r="AK68" s="960">
        <v>0</v>
      </c>
      <c r="AL68" s="960">
        <v>0</v>
      </c>
      <c r="AM68" s="960">
        <v>0</v>
      </c>
      <c r="AN68" s="960">
        <v>0</v>
      </c>
      <c r="AO68" s="960">
        <v>0</v>
      </c>
      <c r="AP68" s="960">
        <v>0</v>
      </c>
      <c r="AQ68" s="960">
        <v>1</v>
      </c>
      <c r="AR68" s="960">
        <v>0</v>
      </c>
      <c r="AS68" s="960">
        <v>0</v>
      </c>
      <c r="AT68" s="960">
        <v>0</v>
      </c>
      <c r="AU68" s="960">
        <v>0</v>
      </c>
      <c r="AV68" s="960">
        <v>0</v>
      </c>
      <c r="AW68" s="960">
        <v>12.425922972340352</v>
      </c>
      <c r="AX68" s="960">
        <v>12.398619012286638</v>
      </c>
      <c r="AY68" s="960">
        <v>12.538243514160515</v>
      </c>
      <c r="AZ68" s="960">
        <v>12.534885822877476</v>
      </c>
      <c r="BA68" s="960">
        <v>12.584714612100109</v>
      </c>
      <c r="BB68" s="960">
        <v>3.5619189861829978E-2</v>
      </c>
      <c r="BC68" s="960">
        <v>3.700396245961457E-2</v>
      </c>
      <c r="BD68" s="960">
        <v>1.3869125792268601E-2</v>
      </c>
      <c r="BE68" s="960">
        <v>5.1037759608414338E-3</v>
      </c>
      <c r="BF68" s="960">
        <v>2.7312049748818852E-2</v>
      </c>
      <c r="BG68" s="960">
        <v>0.56777807013135217</v>
      </c>
      <c r="BH68" s="960">
        <v>0.55532172923330525</v>
      </c>
      <c r="BI68" s="960">
        <v>0.57058543707692921</v>
      </c>
      <c r="BJ68" s="960">
        <v>0.56486965627468633</v>
      </c>
      <c r="BK68" s="960">
        <v>0.538315527618344</v>
      </c>
      <c r="BL68" s="960">
        <v>1.5469289078228889</v>
      </c>
      <c r="BM68" s="960">
        <v>1.5320693106222649</v>
      </c>
      <c r="BN68" s="960">
        <v>1.5202336123278419</v>
      </c>
      <c r="BO68" s="960">
        <v>1.4990254073815517</v>
      </c>
      <c r="BP68" s="960">
        <v>1.6690023363246411</v>
      </c>
      <c r="BQ68" s="960">
        <v>-2.4499563637583759E-2</v>
      </c>
      <c r="BR68" s="960">
        <v>-4.9633486136270832E-2</v>
      </c>
      <c r="BS68" s="960">
        <v>-4.6471097939595175E-2</v>
      </c>
      <c r="BT68" s="960">
        <v>3.2269909458585211E-2</v>
      </c>
      <c r="BU68" s="960">
        <v>69622.075347000005</v>
      </c>
      <c r="BV68" s="960">
        <v>70375.271260000009</v>
      </c>
      <c r="BW68" s="960">
        <v>78751.060184999995</v>
      </c>
      <c r="BX68" s="960">
        <v>80657.010303000003</v>
      </c>
      <c r="BY68" s="960">
        <v>80790.698003999991</v>
      </c>
      <c r="BZ68" s="960">
        <v>8184.7746970000007</v>
      </c>
      <c r="CA68" s="960">
        <v>8911.9732399999994</v>
      </c>
      <c r="CB68" s="960">
        <v>4552.8178049999997</v>
      </c>
      <c r="CC68" s="960">
        <v>7932.7395299999998</v>
      </c>
      <c r="CD68" s="960">
        <v>8802.852648</v>
      </c>
      <c r="CE68" s="960">
        <v>0.90615600953087772</v>
      </c>
      <c r="CF68" s="960">
        <v>0.17877226872719468</v>
      </c>
      <c r="CG68" s="960">
        <v>0.84929542991013673</v>
      </c>
      <c r="CH68" s="960">
        <v>0.5333812011822493</v>
      </c>
      <c r="CI68" s="960">
        <v>0.1086337198262608</v>
      </c>
      <c r="CJ68" s="960">
        <v>0.50567991528572365</v>
      </c>
      <c r="CK68" s="960">
        <v>9.8733616927100518E-2</v>
      </c>
      <c r="CL68" s="960">
        <v>1.7582524292339811E-2</v>
      </c>
      <c r="CM68" s="960">
        <v>4.9100130790829685E-2</v>
      </c>
      <c r="CN68" s="960" t="s">
        <v>614</v>
      </c>
      <c r="CO68" s="960">
        <v>2118.9</v>
      </c>
    </row>
    <row r="69" spans="1:93">
      <c r="A69" s="960">
        <v>0</v>
      </c>
      <c r="B69" s="960" t="s">
        <v>614</v>
      </c>
      <c r="C69" s="960">
        <v>0</v>
      </c>
      <c r="D69" s="960">
        <v>0</v>
      </c>
      <c r="E69" s="960">
        <v>0</v>
      </c>
      <c r="F69" s="960">
        <v>0</v>
      </c>
      <c r="G69" s="960">
        <v>1</v>
      </c>
      <c r="H69" s="960">
        <v>0</v>
      </c>
      <c r="I69" s="960">
        <v>0</v>
      </c>
      <c r="J69" s="960">
        <v>0</v>
      </c>
      <c r="K69" s="960">
        <v>0</v>
      </c>
      <c r="L69" s="960">
        <v>0</v>
      </c>
      <c r="M69" s="960">
        <v>0</v>
      </c>
      <c r="N69" s="960" t="s">
        <v>1036</v>
      </c>
      <c r="O69" s="960">
        <v>0</v>
      </c>
      <c r="P69" s="960">
        <v>0</v>
      </c>
      <c r="Q69" s="960">
        <v>0</v>
      </c>
      <c r="R69" s="960">
        <v>0</v>
      </c>
      <c r="S69" s="960">
        <v>0</v>
      </c>
      <c r="T69" s="960">
        <v>0</v>
      </c>
      <c r="U69" s="960">
        <v>0</v>
      </c>
      <c r="V69" s="960">
        <v>0</v>
      </c>
      <c r="W69" s="960">
        <v>0</v>
      </c>
      <c r="X69" s="960">
        <v>0</v>
      </c>
      <c r="Y69" s="960">
        <v>0</v>
      </c>
      <c r="Z69" s="960">
        <v>0</v>
      </c>
      <c r="AA69" s="960">
        <v>0</v>
      </c>
      <c r="AB69" s="960">
        <v>0</v>
      </c>
      <c r="AC69" s="960">
        <v>0</v>
      </c>
      <c r="AD69" s="960">
        <v>0</v>
      </c>
      <c r="AE69" s="960">
        <v>0</v>
      </c>
      <c r="AF69" s="960">
        <v>2013</v>
      </c>
      <c r="AG69" s="960">
        <v>0</v>
      </c>
      <c r="AH69" s="960">
        <v>0</v>
      </c>
      <c r="AI69" s="960">
        <v>0</v>
      </c>
      <c r="AJ69" s="960">
        <v>0</v>
      </c>
      <c r="AK69" s="960">
        <v>0</v>
      </c>
      <c r="AL69" s="960">
        <v>0</v>
      </c>
      <c r="AM69" s="960">
        <v>0</v>
      </c>
      <c r="AN69" s="960">
        <v>0</v>
      </c>
      <c r="AO69" s="960">
        <v>0</v>
      </c>
      <c r="AP69" s="960">
        <v>0</v>
      </c>
      <c r="AQ69" s="960">
        <v>1</v>
      </c>
      <c r="AR69" s="960">
        <v>0</v>
      </c>
      <c r="AS69" s="960">
        <v>0</v>
      </c>
      <c r="AT69" s="960">
        <v>0</v>
      </c>
      <c r="AU69" s="960">
        <v>0</v>
      </c>
      <c r="AV69" s="960">
        <v>0</v>
      </c>
      <c r="AW69" s="960">
        <v>10.516918186911512</v>
      </c>
      <c r="AX69" s="960">
        <v>10.763249579589045</v>
      </c>
      <c r="AY69" s="960">
        <v>10.745752892077522</v>
      </c>
      <c r="AZ69" s="960">
        <v>11.026611335670134</v>
      </c>
      <c r="BA69" s="960">
        <v>10.074552550322252</v>
      </c>
      <c r="BB69" s="960">
        <v>-1.4753046824887749E-2</v>
      </c>
      <c r="BC69" s="960">
        <v>2.9329260117096204E-2</v>
      </c>
      <c r="BD69" s="960">
        <v>6.3359275893989783E-3</v>
      </c>
      <c r="BE69" s="960">
        <v>6.9345834764019801E-2</v>
      </c>
      <c r="BF69" s="960">
        <v>4.4039874233884405E-2</v>
      </c>
      <c r="BG69" s="960">
        <v>0.73563582513377557</v>
      </c>
      <c r="BH69" s="960">
        <v>0.73634392985660002</v>
      </c>
      <c r="BI69" s="960">
        <v>0.69950625744702388</v>
      </c>
      <c r="BJ69" s="960">
        <v>0.67215055800496004</v>
      </c>
      <c r="BK69" s="960">
        <v>0.71340807428797914</v>
      </c>
      <c r="BL69" s="960">
        <v>1.1840988374312038</v>
      </c>
      <c r="BM69" s="960">
        <v>1.3673900773978782</v>
      </c>
      <c r="BN69" s="960">
        <v>1.1357246879064224</v>
      </c>
      <c r="BO69" s="960">
        <v>1.5548877101129788</v>
      </c>
      <c r="BP69" s="960">
        <v>0.97696902780137018</v>
      </c>
      <c r="BQ69" s="960">
        <v>-3.5829723730704817E-2</v>
      </c>
      <c r="BR69" s="960">
        <v>-0.12618160102765633</v>
      </c>
      <c r="BS69" s="960">
        <v>0.67120034175527121</v>
      </c>
      <c r="BT69" s="960">
        <v>-1.3901816840955261E-2</v>
      </c>
      <c r="BU69" s="960">
        <v>8246.2060450000008</v>
      </c>
      <c r="BV69" s="960">
        <v>9110.8590660000009</v>
      </c>
      <c r="BW69" s="960">
        <v>12285.237345</v>
      </c>
      <c r="BX69" s="960">
        <v>12964.980715</v>
      </c>
      <c r="BY69" s="960">
        <v>6961.5466079999997</v>
      </c>
      <c r="BZ69" s="960">
        <v>7629.6305580000007</v>
      </c>
      <c r="CA69" s="960">
        <v>8397.4291480000011</v>
      </c>
      <c r="CB69" s="960">
        <v>9308.2908449999995</v>
      </c>
      <c r="CC69" s="960">
        <v>10728.012869</v>
      </c>
      <c r="CD69" s="960">
        <v>6428.9260559999993</v>
      </c>
      <c r="CE69" s="960">
        <v>0.1625661870888378</v>
      </c>
      <c r="CF69" s="960">
        <v>0.39746377386639581</v>
      </c>
      <c r="CG69" s="960">
        <v>3.1605411229498385E-2</v>
      </c>
      <c r="CH69" s="960">
        <v>0.15900162359015979</v>
      </c>
      <c r="CI69" s="960">
        <v>0.37498048361315495</v>
      </c>
      <c r="CJ69" s="960">
        <v>2.9304052308288406E-2</v>
      </c>
      <c r="CK69" s="960">
        <v>0.15012842042872668</v>
      </c>
      <c r="CL69" s="960">
        <v>0.32888567863943791</v>
      </c>
      <c r="CM69" s="960">
        <v>2.3946819401070352E-2</v>
      </c>
      <c r="CN69" s="960" t="s">
        <v>614</v>
      </c>
      <c r="CO69" s="960">
        <v>2118.9</v>
      </c>
    </row>
    <row r="70" spans="1:93">
      <c r="A70" s="960">
        <v>0</v>
      </c>
      <c r="B70" s="960" t="s">
        <v>612</v>
      </c>
      <c r="C70" s="960">
        <v>0</v>
      </c>
      <c r="D70" s="960">
        <v>0</v>
      </c>
      <c r="E70" s="960">
        <v>1</v>
      </c>
      <c r="F70" s="960">
        <v>0</v>
      </c>
      <c r="G70" s="960">
        <v>0</v>
      </c>
      <c r="H70" s="960">
        <v>0</v>
      </c>
      <c r="I70" s="960">
        <v>0</v>
      </c>
      <c r="J70" s="960">
        <v>0</v>
      </c>
      <c r="K70" s="960">
        <v>0</v>
      </c>
      <c r="L70" s="960">
        <v>0</v>
      </c>
      <c r="M70" s="960">
        <v>0</v>
      </c>
      <c r="N70" s="960" t="s">
        <v>1036</v>
      </c>
      <c r="O70" s="960">
        <v>0</v>
      </c>
      <c r="P70" s="960">
        <v>0</v>
      </c>
      <c r="Q70" s="960">
        <v>0</v>
      </c>
      <c r="R70" s="960">
        <v>0</v>
      </c>
      <c r="S70" s="960">
        <v>0</v>
      </c>
      <c r="T70" s="960">
        <v>0</v>
      </c>
      <c r="U70" s="960">
        <v>0</v>
      </c>
      <c r="V70" s="960">
        <v>0</v>
      </c>
      <c r="W70" s="960">
        <v>0</v>
      </c>
      <c r="X70" s="960">
        <v>0</v>
      </c>
      <c r="Y70" s="960">
        <v>0</v>
      </c>
      <c r="Z70" s="960">
        <v>0</v>
      </c>
      <c r="AA70" s="960">
        <v>0</v>
      </c>
      <c r="AB70" s="960">
        <v>0</v>
      </c>
      <c r="AC70" s="960">
        <v>0</v>
      </c>
      <c r="AD70" s="960">
        <v>0</v>
      </c>
      <c r="AE70" s="960">
        <v>0</v>
      </c>
      <c r="AF70" s="960">
        <v>2015</v>
      </c>
      <c r="AG70" s="960">
        <v>0</v>
      </c>
      <c r="AH70" s="960">
        <v>0</v>
      </c>
      <c r="AI70" s="960">
        <v>0</v>
      </c>
      <c r="AJ70" s="960">
        <v>0</v>
      </c>
      <c r="AK70" s="960">
        <v>0</v>
      </c>
      <c r="AL70" s="960">
        <v>0</v>
      </c>
      <c r="AM70" s="960">
        <v>0</v>
      </c>
      <c r="AN70" s="960">
        <v>0</v>
      </c>
      <c r="AO70" s="960">
        <v>0</v>
      </c>
      <c r="AP70" s="960">
        <v>0</v>
      </c>
      <c r="AQ70" s="960">
        <v>0</v>
      </c>
      <c r="AR70" s="960">
        <v>0</v>
      </c>
      <c r="AS70" s="960">
        <v>1</v>
      </c>
      <c r="AT70" s="960">
        <v>0</v>
      </c>
      <c r="AU70" s="960">
        <v>0</v>
      </c>
      <c r="AV70" s="960">
        <v>0</v>
      </c>
      <c r="AW70" s="960">
        <v>15.135376613428125</v>
      </c>
      <c r="AX70" s="960">
        <v>14.762091475039677</v>
      </c>
      <c r="AY70" s="960">
        <v>14.12602668769369</v>
      </c>
      <c r="AZ70" s="960">
        <v>14.015837376125585</v>
      </c>
      <c r="BA70" s="960">
        <v>13.048137552152356</v>
      </c>
      <c r="BB70" s="960">
        <v>0.12711412480095755</v>
      </c>
      <c r="BC70" s="960">
        <v>0.10663537823200424</v>
      </c>
      <c r="BD70" s="960">
        <v>2.5636138517691507E-2</v>
      </c>
      <c r="BE70" s="960">
        <v>-0.25589416288400246</v>
      </c>
      <c r="BF70" s="960">
        <v>-0.6012933216437506</v>
      </c>
      <c r="BG70" s="960">
        <v>0.72206220141220245</v>
      </c>
      <c r="BH70" s="960">
        <v>0.75133493530006923</v>
      </c>
      <c r="BI70" s="960">
        <v>0.73536951567530284</v>
      </c>
      <c r="BJ70" s="960">
        <v>0.93466207755960951</v>
      </c>
      <c r="BK70" s="960">
        <v>0.87897158665857411</v>
      </c>
      <c r="BL70" s="960">
        <v>0.34949951775879273</v>
      </c>
      <c r="BM70" s="960">
        <v>0.21440871452154001</v>
      </c>
      <c r="BN70" s="960">
        <v>0.14739061171692097</v>
      </c>
      <c r="BO70" s="960">
        <v>0.2354686788432567</v>
      </c>
      <c r="BP70" s="960">
        <v>8.6218225635227283E-2</v>
      </c>
      <c r="BQ70" s="960">
        <v>5.5620969416618454E-2</v>
      </c>
      <c r="BR70" s="960">
        <v>0.44262785814591188</v>
      </c>
      <c r="BS70" s="960">
        <v>1.0778891355413334</v>
      </c>
      <c r="BT70" s="960">
        <v>-0.14360207098327127</v>
      </c>
      <c r="BU70" s="960">
        <v>2976539</v>
      </c>
      <c r="BV70" s="960">
        <v>2988596</v>
      </c>
      <c r="BW70" s="960">
        <v>2449207</v>
      </c>
      <c r="BX70" s="960">
        <v>339026</v>
      </c>
      <c r="BY70" s="960">
        <v>651662</v>
      </c>
      <c r="BZ70" s="960">
        <v>6352551</v>
      </c>
      <c r="CA70" s="960">
        <v>6141488</v>
      </c>
      <c r="CB70" s="960">
        <v>5921250</v>
      </c>
      <c r="CC70" s="960">
        <v>4454944</v>
      </c>
      <c r="CD70" s="960">
        <v>4079831</v>
      </c>
      <c r="CE70" s="960">
        <v>-6.8419255601518791E-2</v>
      </c>
      <c r="CF70" s="960">
        <v>-7.018090463089996E-2</v>
      </c>
      <c r="CG70" s="960">
        <v>5.9060164661177963E-3</v>
      </c>
      <c r="CH70" s="960">
        <v>-0.1119810249325017</v>
      </c>
      <c r="CI70" s="960">
        <v>-0.12585049058532699</v>
      </c>
      <c r="CJ70" s="960">
        <v>8.1216306064416776E-3</v>
      </c>
      <c r="CK70" s="960">
        <v>-0.42834935902354287</v>
      </c>
      <c r="CL70" s="960">
        <v>-0.92220655642930038</v>
      </c>
      <c r="CM70" s="960">
        <v>1.4278499122368995E-2</v>
      </c>
      <c r="CN70" s="960" t="s">
        <v>612</v>
      </c>
      <c r="CO70" s="960">
        <v>2311.5</v>
      </c>
    </row>
    <row r="71" spans="1:93">
      <c r="A71" s="960">
        <v>0</v>
      </c>
      <c r="B71" s="960" t="s">
        <v>612</v>
      </c>
      <c r="C71" s="960">
        <v>0</v>
      </c>
      <c r="D71" s="960">
        <v>0</v>
      </c>
      <c r="E71" s="960">
        <v>1</v>
      </c>
      <c r="F71" s="960">
        <v>0</v>
      </c>
      <c r="G71" s="960">
        <v>0</v>
      </c>
      <c r="H71" s="960">
        <v>0</v>
      </c>
      <c r="I71" s="960">
        <v>0</v>
      </c>
      <c r="J71" s="960">
        <v>0</v>
      </c>
      <c r="K71" s="960">
        <v>0</v>
      </c>
      <c r="L71" s="960">
        <v>0</v>
      </c>
      <c r="M71" s="960">
        <v>0</v>
      </c>
      <c r="N71" s="960" t="s">
        <v>1036</v>
      </c>
      <c r="O71" s="960">
        <v>0</v>
      </c>
      <c r="P71" s="960">
        <v>0</v>
      </c>
      <c r="Q71" s="960">
        <v>0</v>
      </c>
      <c r="R71" s="960">
        <v>0</v>
      </c>
      <c r="S71" s="960">
        <v>0</v>
      </c>
      <c r="T71" s="960">
        <v>0</v>
      </c>
      <c r="U71" s="960">
        <v>0</v>
      </c>
      <c r="V71" s="960">
        <v>0</v>
      </c>
      <c r="W71" s="960">
        <v>0</v>
      </c>
      <c r="X71" s="960">
        <v>0</v>
      </c>
      <c r="Y71" s="960">
        <v>0</v>
      </c>
      <c r="Z71" s="960">
        <v>0</v>
      </c>
      <c r="AA71" s="960">
        <v>0</v>
      </c>
      <c r="AB71" s="960">
        <v>0</v>
      </c>
      <c r="AC71" s="960">
        <v>0</v>
      </c>
      <c r="AD71" s="960">
        <v>0</v>
      </c>
      <c r="AE71" s="960">
        <v>0</v>
      </c>
      <c r="AF71" s="960">
        <v>2015</v>
      </c>
      <c r="AG71" s="960">
        <v>0</v>
      </c>
      <c r="AH71" s="960">
        <v>0</v>
      </c>
      <c r="AI71" s="960">
        <v>0</v>
      </c>
      <c r="AJ71" s="960">
        <v>0</v>
      </c>
      <c r="AK71" s="960">
        <v>0</v>
      </c>
      <c r="AL71" s="960">
        <v>0</v>
      </c>
      <c r="AM71" s="960">
        <v>0</v>
      </c>
      <c r="AN71" s="960">
        <v>0</v>
      </c>
      <c r="AO71" s="960">
        <v>0</v>
      </c>
      <c r="AP71" s="960">
        <v>0</v>
      </c>
      <c r="AQ71" s="960">
        <v>0</v>
      </c>
      <c r="AR71" s="960">
        <v>0</v>
      </c>
      <c r="AS71" s="960">
        <v>1</v>
      </c>
      <c r="AT71" s="960">
        <v>0</v>
      </c>
      <c r="AU71" s="960">
        <v>0</v>
      </c>
      <c r="AV71" s="960">
        <v>0</v>
      </c>
      <c r="AW71" s="960">
        <v>7.3975615355240523</v>
      </c>
      <c r="AX71" s="960">
        <v>8.5841038966988634</v>
      </c>
      <c r="AY71" s="960">
        <v>2.0794415416798357</v>
      </c>
      <c r="AZ71" s="960" t="e">
        <v>#NUM!</v>
      </c>
      <c r="BA71" s="960">
        <v>7.5883236773352225</v>
      </c>
      <c r="BB71" s="960">
        <v>-2.2922794117647061</v>
      </c>
      <c r="BC71" s="960">
        <v>-2.1947250280583614</v>
      </c>
      <c r="BD71" s="960">
        <v>-102.375</v>
      </c>
      <c r="BE71" s="960" t="e">
        <v>#DIV/0!</v>
      </c>
      <c r="BF71" s="960">
        <v>-1.5924050632911393</v>
      </c>
      <c r="BG71" s="960">
        <v>1.5600757751090767E-3</v>
      </c>
      <c r="BH71" s="960">
        <v>7.5509644391626288E-2</v>
      </c>
      <c r="BI71" s="960">
        <v>0.60982015415358259</v>
      </c>
      <c r="BJ71" s="960">
        <v>0.56578263130525219</v>
      </c>
      <c r="BK71" s="960">
        <v>0.47588281712369301</v>
      </c>
      <c r="BL71" s="960">
        <v>1.39892509064726E-2</v>
      </c>
      <c r="BM71" s="960">
        <v>9.7742023951001011E-2</v>
      </c>
      <c r="BN71" s="960">
        <v>4.5675135598058808E-4</v>
      </c>
      <c r="BO71" s="960">
        <v>0</v>
      </c>
      <c r="BP71" s="960">
        <v>9.7405799960544492E-2</v>
      </c>
      <c r="BQ71" s="960">
        <v>0.10834956898258219</v>
      </c>
      <c r="BR71" s="960">
        <v>0.17611985977388897</v>
      </c>
      <c r="BS71" s="960">
        <v>-5.5088821356553863</v>
      </c>
      <c r="BT71" s="960">
        <v>0.13393733702988958</v>
      </c>
      <c r="BU71" s="960">
        <v>116479</v>
      </c>
      <c r="BV71" s="960">
        <v>50565</v>
      </c>
      <c r="BW71" s="960">
        <v>6835</v>
      </c>
      <c r="BX71" s="960">
        <v>7515</v>
      </c>
      <c r="BY71" s="960">
        <v>10627</v>
      </c>
      <c r="BZ71" s="960">
        <v>0</v>
      </c>
      <c r="CA71" s="960">
        <v>1425</v>
      </c>
      <c r="CB71" s="960">
        <v>9455</v>
      </c>
      <c r="CC71" s="960">
        <v>8513</v>
      </c>
      <c r="CD71" s="960">
        <v>8953</v>
      </c>
      <c r="CE71" s="960">
        <v>-0.35127890092706354</v>
      </c>
      <c r="CF71" s="960">
        <v>-0.1767884412075649</v>
      </c>
      <c r="CG71" s="960">
        <v>-8.6620835536753038E-2</v>
      </c>
      <c r="CH71" s="960">
        <v>-0.32227708202038052</v>
      </c>
      <c r="CI71" s="960">
        <v>-0.18698286336768216</v>
      </c>
      <c r="CJ71" s="960">
        <v>-9.9577366086324448E-2</v>
      </c>
      <c r="CK71" s="960">
        <v>-0.29594429283899504</v>
      </c>
      <c r="CL71" s="960">
        <v>-0.20026613439787092</v>
      </c>
      <c r="CM71" s="960">
        <v>-0.11982443306510607</v>
      </c>
      <c r="CN71" s="960" t="s">
        <v>612</v>
      </c>
      <c r="CO71" s="960">
        <v>2311.5</v>
      </c>
    </row>
    <row r="72" spans="1:93">
      <c r="A72" s="960">
        <v>0</v>
      </c>
      <c r="B72" s="960" t="s">
        <v>612</v>
      </c>
      <c r="C72" s="960">
        <v>0</v>
      </c>
      <c r="D72" s="960">
        <v>0</v>
      </c>
      <c r="E72" s="960">
        <v>1</v>
      </c>
      <c r="F72" s="960">
        <v>0</v>
      </c>
      <c r="G72" s="960">
        <v>0</v>
      </c>
      <c r="H72" s="960">
        <v>0</v>
      </c>
      <c r="I72" s="960">
        <v>0</v>
      </c>
      <c r="J72" s="960">
        <v>0</v>
      </c>
      <c r="K72" s="960">
        <v>0</v>
      </c>
      <c r="L72" s="960">
        <v>0</v>
      </c>
      <c r="M72" s="960">
        <v>0</v>
      </c>
      <c r="N72" s="960" t="s">
        <v>1036</v>
      </c>
      <c r="O72" s="960">
        <v>0</v>
      </c>
      <c r="P72" s="960">
        <v>0</v>
      </c>
      <c r="Q72" s="960">
        <v>0</v>
      </c>
      <c r="R72" s="960">
        <v>0</v>
      </c>
      <c r="S72" s="960">
        <v>0</v>
      </c>
      <c r="T72" s="960">
        <v>0</v>
      </c>
      <c r="U72" s="960">
        <v>0</v>
      </c>
      <c r="V72" s="960">
        <v>0</v>
      </c>
      <c r="W72" s="960">
        <v>0</v>
      </c>
      <c r="X72" s="960">
        <v>0</v>
      </c>
      <c r="Y72" s="960">
        <v>0</v>
      </c>
      <c r="Z72" s="960">
        <v>0</v>
      </c>
      <c r="AA72" s="960">
        <v>0</v>
      </c>
      <c r="AB72" s="960">
        <v>0</v>
      </c>
      <c r="AC72" s="960">
        <v>0</v>
      </c>
      <c r="AD72" s="960">
        <v>0</v>
      </c>
      <c r="AE72" s="960">
        <v>0</v>
      </c>
      <c r="AF72" s="960">
        <v>2015</v>
      </c>
      <c r="AG72" s="960">
        <v>0</v>
      </c>
      <c r="AH72" s="960">
        <v>0</v>
      </c>
      <c r="AI72" s="960">
        <v>0</v>
      </c>
      <c r="AJ72" s="960">
        <v>0</v>
      </c>
      <c r="AK72" s="960">
        <v>0</v>
      </c>
      <c r="AL72" s="960">
        <v>0</v>
      </c>
      <c r="AM72" s="960">
        <v>0</v>
      </c>
      <c r="AN72" s="960">
        <v>0</v>
      </c>
      <c r="AO72" s="960">
        <v>0</v>
      </c>
      <c r="AP72" s="960">
        <v>0</v>
      </c>
      <c r="AQ72" s="960">
        <v>0</v>
      </c>
      <c r="AR72" s="960">
        <v>0</v>
      </c>
      <c r="AS72" s="960">
        <v>1</v>
      </c>
      <c r="AT72" s="960">
        <v>0</v>
      </c>
      <c r="AU72" s="960">
        <v>0</v>
      </c>
      <c r="AV72" s="960">
        <v>0</v>
      </c>
      <c r="AW72" s="960">
        <v>13.689039893910325</v>
      </c>
      <c r="AX72" s="960">
        <v>13.639846788834387</v>
      </c>
      <c r="AY72" s="960">
        <v>13.546715661230975</v>
      </c>
      <c r="AZ72" s="960">
        <v>13.776665774140707</v>
      </c>
      <c r="BA72" s="960">
        <v>14.190172756917393</v>
      </c>
      <c r="BB72" s="960">
        <v>-9.9750340444847929E-2</v>
      </c>
      <c r="BC72" s="960">
        <v>-0.62391226606270112</v>
      </c>
      <c r="BD72" s="960">
        <v>-0.38466570718304333</v>
      </c>
      <c r="BE72" s="960">
        <v>-0.54880964757251272</v>
      </c>
      <c r="BF72" s="960">
        <v>-3.4994843588862151E-2</v>
      </c>
      <c r="BG72" s="960">
        <v>0.69733310969473328</v>
      </c>
      <c r="BH72" s="960">
        <v>0.64576284839697118</v>
      </c>
      <c r="BI72" s="960">
        <v>0.51742988995385164</v>
      </c>
      <c r="BJ72" s="960">
        <v>0.4977179918328129</v>
      </c>
      <c r="BK72" s="960">
        <v>0.46629245018243054</v>
      </c>
      <c r="BL72" s="960">
        <v>0.36950687688695066</v>
      </c>
      <c r="BM72" s="960">
        <v>0.33788464636700499</v>
      </c>
      <c r="BN72" s="960">
        <v>0.27131700390486335</v>
      </c>
      <c r="BO72" s="960">
        <v>0.33008476030335265</v>
      </c>
      <c r="BP72" s="960">
        <v>0.40822340724108896</v>
      </c>
      <c r="BQ72" s="960">
        <v>-9.0080632892134485E-2</v>
      </c>
      <c r="BR72" s="960">
        <v>-0.18950495154603397</v>
      </c>
      <c r="BS72" s="960">
        <v>-0.64345709568641796</v>
      </c>
      <c r="BT72" s="960">
        <v>5.11374397714211E-2</v>
      </c>
      <c r="BU72" s="960">
        <v>7218</v>
      </c>
      <c r="BV72" s="960">
        <v>8795</v>
      </c>
      <c r="BW72" s="960">
        <v>1359400</v>
      </c>
      <c r="BX72" s="960">
        <v>1463700</v>
      </c>
      <c r="BY72" s="960">
        <v>1901600</v>
      </c>
      <c r="BZ72" s="960">
        <v>1237900</v>
      </c>
      <c r="CA72" s="960">
        <v>1236100</v>
      </c>
      <c r="CB72" s="960">
        <v>1211200</v>
      </c>
      <c r="CC72" s="960">
        <v>1152000</v>
      </c>
      <c r="CD72" s="960">
        <v>1251600</v>
      </c>
      <c r="CE72" s="960">
        <v>-4.0667945030361141E-2</v>
      </c>
      <c r="CF72" s="960">
        <v>-0.4582465277777778</v>
      </c>
      <c r="CG72" s="960">
        <v>-0.24273447820343461</v>
      </c>
      <c r="CH72" s="960">
        <v>-3.3248870017805784E-2</v>
      </c>
      <c r="CI72" s="960">
        <v>-0.40923124254105525</v>
      </c>
      <c r="CJ72" s="960">
        <v>-0.22996442152265756</v>
      </c>
      <c r="CK72" s="960">
        <v>-2.6766933108960875E-2</v>
      </c>
      <c r="CL72" s="960">
        <v>-0.36066133770581404</v>
      </c>
      <c r="CM72" s="960">
        <v>-0.21627188465499486</v>
      </c>
      <c r="CN72" s="960" t="s">
        <v>612</v>
      </c>
      <c r="CO72" s="960">
        <v>2311.5</v>
      </c>
    </row>
    <row r="73" spans="1:93">
      <c r="A73" s="960">
        <v>0</v>
      </c>
      <c r="B73" s="960" t="s">
        <v>612</v>
      </c>
      <c r="C73" s="960">
        <v>0</v>
      </c>
      <c r="D73" s="960">
        <v>0</v>
      </c>
      <c r="E73" s="960">
        <v>1</v>
      </c>
      <c r="F73" s="960">
        <v>0</v>
      </c>
      <c r="G73" s="960">
        <v>0</v>
      </c>
      <c r="H73" s="960">
        <v>0</v>
      </c>
      <c r="I73" s="960">
        <v>0</v>
      </c>
      <c r="J73" s="960">
        <v>0</v>
      </c>
      <c r="K73" s="960">
        <v>0</v>
      </c>
      <c r="L73" s="960">
        <v>0</v>
      </c>
      <c r="M73" s="960">
        <v>0</v>
      </c>
      <c r="N73" s="960" t="s">
        <v>1036</v>
      </c>
      <c r="O73" s="960">
        <v>0</v>
      </c>
      <c r="P73" s="960">
        <v>0</v>
      </c>
      <c r="Q73" s="960">
        <v>0</v>
      </c>
      <c r="R73" s="960">
        <v>0</v>
      </c>
      <c r="S73" s="960">
        <v>0</v>
      </c>
      <c r="T73" s="960">
        <v>0</v>
      </c>
      <c r="U73" s="960">
        <v>0</v>
      </c>
      <c r="V73" s="960">
        <v>0</v>
      </c>
      <c r="W73" s="960">
        <v>0</v>
      </c>
      <c r="X73" s="960">
        <v>0</v>
      </c>
      <c r="Y73" s="960">
        <v>0</v>
      </c>
      <c r="Z73" s="960">
        <v>0</v>
      </c>
      <c r="AA73" s="960">
        <v>0</v>
      </c>
      <c r="AB73" s="960">
        <v>0</v>
      </c>
      <c r="AC73" s="960">
        <v>0</v>
      </c>
      <c r="AD73" s="960">
        <v>0</v>
      </c>
      <c r="AE73" s="960">
        <v>0</v>
      </c>
      <c r="AF73" s="960">
        <v>2015</v>
      </c>
      <c r="AG73" s="960">
        <v>0</v>
      </c>
      <c r="AH73" s="960">
        <v>0</v>
      </c>
      <c r="AI73" s="960">
        <v>0</v>
      </c>
      <c r="AJ73" s="960">
        <v>0</v>
      </c>
      <c r="AK73" s="960">
        <v>0</v>
      </c>
      <c r="AL73" s="960">
        <v>0</v>
      </c>
      <c r="AM73" s="960">
        <v>0</v>
      </c>
      <c r="AN73" s="960">
        <v>0</v>
      </c>
      <c r="AO73" s="960">
        <v>0</v>
      </c>
      <c r="AP73" s="960">
        <v>0</v>
      </c>
      <c r="AQ73" s="960">
        <v>0</v>
      </c>
      <c r="AR73" s="960">
        <v>0</v>
      </c>
      <c r="AS73" s="960">
        <v>1</v>
      </c>
      <c r="AT73" s="960">
        <v>0</v>
      </c>
      <c r="AU73" s="960">
        <v>0</v>
      </c>
      <c r="AV73" s="960">
        <v>0</v>
      </c>
      <c r="AW73" s="960">
        <v>7.5180641812330782</v>
      </c>
      <c r="AX73" s="960">
        <v>9.6064283182717496</v>
      </c>
      <c r="AY73" s="960">
        <v>9.0975075637018392</v>
      </c>
      <c r="AZ73" s="960">
        <v>10.827686928478323</v>
      </c>
      <c r="BA73" s="960">
        <v>11.969546191322351</v>
      </c>
      <c r="BB73" s="960">
        <v>-8.9386203150461707</v>
      </c>
      <c r="BC73" s="960">
        <v>-2.5901749663526243</v>
      </c>
      <c r="BD73" s="960">
        <v>3.7661479905966639</v>
      </c>
      <c r="BE73" s="960">
        <v>1.4324463757763359</v>
      </c>
      <c r="BF73" s="960">
        <v>-2.482533428768694</v>
      </c>
      <c r="BG73" s="960">
        <v>1.0462047529937113</v>
      </c>
      <c r="BH73" s="960">
        <v>0.84656547879610855</v>
      </c>
      <c r="BI73" s="960">
        <v>0.73024715992231359</v>
      </c>
      <c r="BJ73" s="960">
        <v>0.93676293063422789</v>
      </c>
      <c r="BK73" s="960">
        <v>1.2209700305460256</v>
      </c>
      <c r="BL73" s="960">
        <v>1.4785842214744079E-2</v>
      </c>
      <c r="BM73" s="960">
        <v>0.13275324512895648</v>
      </c>
      <c r="BN73" s="960">
        <v>4.7532391518344111E-2</v>
      </c>
      <c r="BO73" s="960">
        <v>0.19499257126938435</v>
      </c>
      <c r="BP73" s="960">
        <v>0.32278398194226926</v>
      </c>
      <c r="BQ73" s="960">
        <v>0.98033604624781934</v>
      </c>
      <c r="BR73" s="960">
        <v>-2.9627944636384407</v>
      </c>
      <c r="BS73" s="960">
        <v>-2.8720386276205123</v>
      </c>
      <c r="BT73" s="960">
        <v>-0.490722870623712</v>
      </c>
      <c r="BU73" s="960">
        <v>-5754</v>
      </c>
      <c r="BV73" s="960">
        <v>17174</v>
      </c>
      <c r="BW73" s="960">
        <v>50696</v>
      </c>
      <c r="BX73" s="960">
        <v>16345</v>
      </c>
      <c r="BY73" s="960">
        <v>-108075</v>
      </c>
      <c r="BZ73" s="960">
        <v>68354</v>
      </c>
      <c r="CA73" s="960">
        <v>72229</v>
      </c>
      <c r="CB73" s="960">
        <v>129466</v>
      </c>
      <c r="CC73" s="960">
        <v>157208</v>
      </c>
      <c r="CD73" s="960">
        <v>82369</v>
      </c>
      <c r="CE73" s="960">
        <v>-4.7581614442326607</v>
      </c>
      <c r="CF73" s="960">
        <v>0.45920691058979185</v>
      </c>
      <c r="CG73" s="960">
        <v>0.25985973151252068</v>
      </c>
      <c r="CH73" s="960">
        <v>-6.6108810328751328</v>
      </c>
      <c r="CI73" s="960">
        <v>0.70948166827253933</v>
      </c>
      <c r="CJ73" s="960">
        <v>0.36877585172025873</v>
      </c>
      <c r="CK73" s="960">
        <v>3.6264168401572983</v>
      </c>
      <c r="CL73" s="960">
        <v>4.4167023554603855</v>
      </c>
      <c r="CM73" s="960">
        <v>0.66362237651885747</v>
      </c>
      <c r="CN73" s="960" t="s">
        <v>612</v>
      </c>
      <c r="CO73" s="960">
        <v>2311.5</v>
      </c>
    </row>
    <row r="74" spans="1:93">
      <c r="A74" s="960">
        <v>0</v>
      </c>
      <c r="B74" s="960" t="s">
        <v>612</v>
      </c>
      <c r="C74" s="960">
        <v>0</v>
      </c>
      <c r="D74" s="960">
        <v>0</v>
      </c>
      <c r="E74" s="960">
        <v>1</v>
      </c>
      <c r="F74" s="960">
        <v>0</v>
      </c>
      <c r="G74" s="960">
        <v>0</v>
      </c>
      <c r="H74" s="960">
        <v>0</v>
      </c>
      <c r="I74" s="960">
        <v>0</v>
      </c>
      <c r="J74" s="960">
        <v>0</v>
      </c>
      <c r="K74" s="960">
        <v>0</v>
      </c>
      <c r="L74" s="960">
        <v>0</v>
      </c>
      <c r="M74" s="960">
        <v>0</v>
      </c>
      <c r="N74" s="960" t="s">
        <v>1036</v>
      </c>
      <c r="O74" s="960">
        <v>0</v>
      </c>
      <c r="P74" s="960">
        <v>0</v>
      </c>
      <c r="Q74" s="960">
        <v>0</v>
      </c>
      <c r="R74" s="960">
        <v>0</v>
      </c>
      <c r="S74" s="960">
        <v>0</v>
      </c>
      <c r="T74" s="960">
        <v>0</v>
      </c>
      <c r="U74" s="960">
        <v>0</v>
      </c>
      <c r="V74" s="960">
        <v>0</v>
      </c>
      <c r="W74" s="960">
        <v>0</v>
      </c>
      <c r="X74" s="960">
        <v>0</v>
      </c>
      <c r="Y74" s="960">
        <v>0</v>
      </c>
      <c r="Z74" s="960">
        <v>0</v>
      </c>
      <c r="AA74" s="960">
        <v>0</v>
      </c>
      <c r="AB74" s="960">
        <v>0</v>
      </c>
      <c r="AC74" s="960">
        <v>0</v>
      </c>
      <c r="AD74" s="960">
        <v>0</v>
      </c>
      <c r="AE74" s="960">
        <v>0</v>
      </c>
      <c r="AF74" s="960">
        <v>2015</v>
      </c>
      <c r="AG74" s="960">
        <v>0</v>
      </c>
      <c r="AH74" s="960">
        <v>0</v>
      </c>
      <c r="AI74" s="960">
        <v>0</v>
      </c>
      <c r="AJ74" s="960">
        <v>0</v>
      </c>
      <c r="AK74" s="960">
        <v>0</v>
      </c>
      <c r="AL74" s="960">
        <v>0</v>
      </c>
      <c r="AM74" s="960">
        <v>0</v>
      </c>
      <c r="AN74" s="960">
        <v>0</v>
      </c>
      <c r="AO74" s="960">
        <v>0</v>
      </c>
      <c r="AP74" s="960">
        <v>0</v>
      </c>
      <c r="AQ74" s="960">
        <v>0</v>
      </c>
      <c r="AR74" s="960">
        <v>0</v>
      </c>
      <c r="AS74" s="960">
        <v>1</v>
      </c>
      <c r="AT74" s="960">
        <v>0</v>
      </c>
      <c r="AU74" s="960">
        <v>0</v>
      </c>
      <c r="AV74" s="960">
        <v>0</v>
      </c>
      <c r="AW74" s="960">
        <v>9.470162947548884</v>
      </c>
      <c r="AX74" s="960">
        <v>8.7823228593975067</v>
      </c>
      <c r="AY74" s="960">
        <v>8.6053872021521531</v>
      </c>
      <c r="AZ74" s="960" t="e">
        <v>#NUM!</v>
      </c>
      <c r="BA74" s="960" t="e">
        <v>#NUM!</v>
      </c>
      <c r="BB74" s="960">
        <v>-0.54831495334310176</v>
      </c>
      <c r="BC74" s="960">
        <v>-5.5710340595274621</v>
      </c>
      <c r="BD74" s="960">
        <v>-11.350851492400659</v>
      </c>
      <c r="BE74" s="960" t="e">
        <v>#DIV/0!</v>
      </c>
      <c r="BF74" s="960" t="e">
        <v>#DIV/0!</v>
      </c>
      <c r="BG74" s="960">
        <v>0.62967286917165777</v>
      </c>
      <c r="BH74" s="960">
        <v>0.50876396846105854</v>
      </c>
      <c r="BI74" s="960">
        <v>7.4827151663771671E-2</v>
      </c>
      <c r="BJ74" s="960">
        <v>6.0167164801556962E-2</v>
      </c>
      <c r="BK74" s="960">
        <v>3.8359865682014507E-2</v>
      </c>
      <c r="BL74" s="960">
        <v>0.10368871794461726</v>
      </c>
      <c r="BM74" s="960">
        <v>0.18486584604912359</v>
      </c>
      <c r="BN74" s="960">
        <v>9.2997513708661148E-2</v>
      </c>
      <c r="BO74" s="960">
        <v>0</v>
      </c>
      <c r="BP74" s="960">
        <v>0</v>
      </c>
      <c r="BQ74" s="960">
        <v>-0.97747180636721254</v>
      </c>
      <c r="BR74" s="960">
        <v>-1.0597312919806232</v>
      </c>
      <c r="BS74" s="960" t="e">
        <v>#DIV/0!</v>
      </c>
      <c r="BT74" s="960">
        <v>3.6467285981757164E-2</v>
      </c>
      <c r="BU74" s="960">
        <v>46312</v>
      </c>
      <c r="BV74" s="960">
        <v>17320</v>
      </c>
      <c r="BW74" s="960">
        <v>54328</v>
      </c>
      <c r="BX74" s="960">
        <v>108171</v>
      </c>
      <c r="BY74" s="960">
        <v>148057</v>
      </c>
      <c r="BZ74" s="960">
        <v>55925</v>
      </c>
      <c r="CA74" s="960">
        <v>11128</v>
      </c>
      <c r="CB74" s="960">
        <v>2013</v>
      </c>
      <c r="CC74" s="960">
        <v>6232</v>
      </c>
      <c r="CD74" s="960">
        <v>4376</v>
      </c>
      <c r="CE74" s="960">
        <v>-2.7488574040219378</v>
      </c>
      <c r="CF74" s="960">
        <v>-6.3037548138639279</v>
      </c>
      <c r="CG74" s="960">
        <v>-30.793343268753105</v>
      </c>
      <c r="CH74" s="960">
        <v>-0.18357496169958731</v>
      </c>
      <c r="CI74" s="960">
        <v>-0.72060281926398573</v>
      </c>
      <c r="CJ74" s="960">
        <v>-3.3597791342750782</v>
      </c>
      <c r="CK74" s="960">
        <v>-8.124573643934431E-2</v>
      </c>
      <c r="CL74" s="960">
        <v>-0.36317497295948081</v>
      </c>
      <c r="CM74" s="960">
        <v>-1.1409770284199676</v>
      </c>
      <c r="CN74" s="960" t="s">
        <v>612</v>
      </c>
      <c r="CO74" s="960">
        <v>2311.5</v>
      </c>
    </row>
    <row r="75" spans="1:93">
      <c r="A75" s="960">
        <v>0</v>
      </c>
      <c r="B75" s="960" t="s">
        <v>613</v>
      </c>
      <c r="C75" s="960">
        <v>0</v>
      </c>
      <c r="D75" s="960">
        <v>0</v>
      </c>
      <c r="E75" s="960">
        <v>0</v>
      </c>
      <c r="F75" s="960">
        <v>1</v>
      </c>
      <c r="G75" s="960">
        <v>0</v>
      </c>
      <c r="H75" s="960">
        <v>0</v>
      </c>
      <c r="I75" s="960">
        <v>0</v>
      </c>
      <c r="J75" s="960">
        <v>0</v>
      </c>
      <c r="K75" s="960">
        <v>0</v>
      </c>
      <c r="L75" s="960">
        <v>0</v>
      </c>
      <c r="M75" s="960">
        <v>0</v>
      </c>
      <c r="N75" s="960" t="s">
        <v>1036</v>
      </c>
      <c r="O75" s="960">
        <v>0</v>
      </c>
      <c r="P75" s="960">
        <v>0</v>
      </c>
      <c r="Q75" s="960">
        <v>0</v>
      </c>
      <c r="R75" s="960">
        <v>0</v>
      </c>
      <c r="S75" s="960">
        <v>0</v>
      </c>
      <c r="T75" s="960">
        <v>0</v>
      </c>
      <c r="U75" s="960">
        <v>0</v>
      </c>
      <c r="V75" s="960">
        <v>0</v>
      </c>
      <c r="W75" s="960">
        <v>0</v>
      </c>
      <c r="X75" s="960">
        <v>0</v>
      </c>
      <c r="Y75" s="960">
        <v>0</v>
      </c>
      <c r="Z75" s="960">
        <v>0</v>
      </c>
      <c r="AA75" s="960">
        <v>0</v>
      </c>
      <c r="AB75" s="960">
        <v>0</v>
      </c>
      <c r="AC75" s="960">
        <v>0</v>
      </c>
      <c r="AD75" s="960">
        <v>0</v>
      </c>
      <c r="AE75" s="960">
        <v>0</v>
      </c>
      <c r="AF75" s="960">
        <v>2014</v>
      </c>
      <c r="AG75" s="960">
        <v>0</v>
      </c>
      <c r="AH75" s="960">
        <v>0</v>
      </c>
      <c r="AI75" s="960">
        <v>0</v>
      </c>
      <c r="AJ75" s="960">
        <v>0</v>
      </c>
      <c r="AK75" s="960">
        <v>0</v>
      </c>
      <c r="AL75" s="960">
        <v>0</v>
      </c>
      <c r="AM75" s="960">
        <v>0</v>
      </c>
      <c r="AN75" s="960">
        <v>0</v>
      </c>
      <c r="AO75" s="960">
        <v>0</v>
      </c>
      <c r="AP75" s="960">
        <v>0</v>
      </c>
      <c r="AQ75" s="960">
        <v>0</v>
      </c>
      <c r="AR75" s="960">
        <v>1</v>
      </c>
      <c r="AS75" s="960">
        <v>0</v>
      </c>
      <c r="AT75" s="960">
        <v>0</v>
      </c>
      <c r="AU75" s="960">
        <v>0</v>
      </c>
      <c r="AV75" s="960">
        <v>0</v>
      </c>
      <c r="AW75" s="960">
        <v>11.003119417892567</v>
      </c>
      <c r="AX75" s="960">
        <v>10.819787768465309</v>
      </c>
      <c r="AY75" s="960">
        <v>10.687660782148676</v>
      </c>
      <c r="AZ75" s="960">
        <v>10.962975013753775</v>
      </c>
      <c r="BA75" s="960">
        <v>10.906822521078361</v>
      </c>
      <c r="BB75" s="960">
        <v>-4.1789708991882737E-2</v>
      </c>
      <c r="BC75" s="960">
        <v>-4.6687381692203288E-2</v>
      </c>
      <c r="BD75" s="960">
        <v>-0.29995548359839969</v>
      </c>
      <c r="BE75" s="960">
        <v>-3.2507897967911488E-2</v>
      </c>
      <c r="BF75" s="960">
        <v>-0.41480445619500378</v>
      </c>
      <c r="BG75" s="960">
        <v>0.49747900066356282</v>
      </c>
      <c r="BH75" s="960">
        <v>0.41748435581903648</v>
      </c>
      <c r="BI75" s="960">
        <v>0.49486439192697246</v>
      </c>
      <c r="BJ75" s="960">
        <v>0.43296824991339911</v>
      </c>
      <c r="BK75" s="960">
        <v>0.41227826975661996</v>
      </c>
      <c r="BL75" s="960">
        <v>0.53527726676844889</v>
      </c>
      <c r="BM75" s="960">
        <v>0.50299110751818921</v>
      </c>
      <c r="BN75" s="960">
        <v>0.48441324407255504</v>
      </c>
      <c r="BO75" s="960">
        <v>0.48474420309141708</v>
      </c>
      <c r="BP75" s="960">
        <v>0.43539176193660267</v>
      </c>
      <c r="BQ75" s="960">
        <v>3.5300034154644139E-2</v>
      </c>
      <c r="BR75" s="960">
        <v>1.9642138097104855E-2</v>
      </c>
      <c r="BS75" s="960">
        <v>-0.21916173892968488</v>
      </c>
      <c r="BT75" s="960">
        <v>8.2586122170352494E-2</v>
      </c>
      <c r="BU75" s="960">
        <v>56385.763104000005</v>
      </c>
      <c r="BV75" s="960">
        <v>57905.712458000002</v>
      </c>
      <c r="BW75" s="960">
        <v>45686.099115999998</v>
      </c>
      <c r="BX75" s="960">
        <v>67492.3122</v>
      </c>
      <c r="BY75" s="960">
        <v>73631.623615999997</v>
      </c>
      <c r="BZ75" s="960">
        <v>26143.234172</v>
      </c>
      <c r="CA75" s="960">
        <v>33536.396729</v>
      </c>
      <c r="CB75" s="960">
        <v>20782.885574</v>
      </c>
      <c r="CC75" s="960">
        <v>30654.748395000002</v>
      </c>
      <c r="CD75" s="960">
        <v>3385.2484939999999</v>
      </c>
      <c r="CE75" s="960">
        <v>-6.6838346242832714</v>
      </c>
      <c r="CF75" s="960">
        <v>-6.1185806056262691E-2</v>
      </c>
      <c r="CG75" s="960">
        <v>-0.63232894398651518</v>
      </c>
      <c r="CH75" s="960">
        <v>-2.9362022172807922</v>
      </c>
      <c r="CI75" s="960">
        <v>-4.2249526462353068E-2</v>
      </c>
      <c r="CJ75" s="960">
        <v>-0.45821948725096429</v>
      </c>
      <c r="CK75" s="960">
        <v>-0.30729243747225099</v>
      </c>
      <c r="CL75" s="960">
        <v>-2.7790357580903861E-2</v>
      </c>
      <c r="CM75" s="960">
        <v>-0.28765029937514613</v>
      </c>
      <c r="CN75" s="960" t="s">
        <v>613</v>
      </c>
      <c r="CO75" s="960">
        <v>2215.4</v>
      </c>
    </row>
    <row r="76" spans="1:93">
      <c r="A76" s="960">
        <v>0</v>
      </c>
      <c r="B76" s="960" t="s">
        <v>613</v>
      </c>
      <c r="C76" s="960">
        <v>0</v>
      </c>
      <c r="D76" s="960">
        <v>0</v>
      </c>
      <c r="E76" s="960">
        <v>0</v>
      </c>
      <c r="F76" s="960">
        <v>1</v>
      </c>
      <c r="G76" s="960">
        <v>0</v>
      </c>
      <c r="H76" s="960">
        <v>0</v>
      </c>
      <c r="I76" s="960">
        <v>0</v>
      </c>
      <c r="J76" s="960">
        <v>0</v>
      </c>
      <c r="K76" s="960">
        <v>0</v>
      </c>
      <c r="L76" s="960">
        <v>0</v>
      </c>
      <c r="M76" s="960">
        <v>0</v>
      </c>
      <c r="N76" s="960" t="s">
        <v>1036</v>
      </c>
      <c r="O76" s="960">
        <v>0</v>
      </c>
      <c r="P76" s="960">
        <v>0</v>
      </c>
      <c r="Q76" s="960">
        <v>0</v>
      </c>
      <c r="R76" s="960">
        <v>0</v>
      </c>
      <c r="S76" s="960">
        <v>0</v>
      </c>
      <c r="T76" s="960">
        <v>0</v>
      </c>
      <c r="U76" s="960">
        <v>0</v>
      </c>
      <c r="V76" s="960">
        <v>0</v>
      </c>
      <c r="W76" s="960">
        <v>0</v>
      </c>
      <c r="X76" s="960">
        <v>0</v>
      </c>
      <c r="Y76" s="960">
        <v>0</v>
      </c>
      <c r="Z76" s="960">
        <v>0</v>
      </c>
      <c r="AA76" s="960">
        <v>0</v>
      </c>
      <c r="AB76" s="960">
        <v>0</v>
      </c>
      <c r="AC76" s="960">
        <v>0</v>
      </c>
      <c r="AD76" s="960">
        <v>0</v>
      </c>
      <c r="AE76" s="960">
        <v>0</v>
      </c>
      <c r="AF76" s="960">
        <v>2014</v>
      </c>
      <c r="AG76" s="960">
        <v>0</v>
      </c>
      <c r="AH76" s="960">
        <v>0</v>
      </c>
      <c r="AI76" s="960">
        <v>0</v>
      </c>
      <c r="AJ76" s="960">
        <v>0</v>
      </c>
      <c r="AK76" s="960">
        <v>0</v>
      </c>
      <c r="AL76" s="960">
        <v>0</v>
      </c>
      <c r="AM76" s="960">
        <v>0</v>
      </c>
      <c r="AN76" s="960">
        <v>0</v>
      </c>
      <c r="AO76" s="960">
        <v>0</v>
      </c>
      <c r="AP76" s="960">
        <v>0</v>
      </c>
      <c r="AQ76" s="960">
        <v>0</v>
      </c>
      <c r="AR76" s="960">
        <v>1</v>
      </c>
      <c r="AS76" s="960">
        <v>0</v>
      </c>
      <c r="AT76" s="960">
        <v>0</v>
      </c>
      <c r="AU76" s="960">
        <v>0</v>
      </c>
      <c r="AV76" s="960">
        <v>0</v>
      </c>
      <c r="AW76" s="960">
        <v>12.001971027846302</v>
      </c>
      <c r="AX76" s="960">
        <v>12.08273882334818</v>
      </c>
      <c r="AY76" s="960">
        <v>12.206712870542397</v>
      </c>
      <c r="AZ76" s="960">
        <v>11.86382018857606</v>
      </c>
      <c r="BA76" s="960">
        <v>11.89755070771675</v>
      </c>
      <c r="BB76" s="960">
        <v>0.31625835189309576</v>
      </c>
      <c r="BC76" s="960">
        <v>0.41548821548821546</v>
      </c>
      <c r="BD76" s="960">
        <v>0.21353196772191185</v>
      </c>
      <c r="BE76" s="960">
        <v>-6.1197041022192332E-2</v>
      </c>
      <c r="BF76" s="960">
        <v>0.12772369031061659</v>
      </c>
      <c r="BG76" s="960">
        <v>0.64280094413847366</v>
      </c>
      <c r="BH76" s="960">
        <v>0.59742351046698872</v>
      </c>
      <c r="BI76" s="960">
        <v>0.66954153427144802</v>
      </c>
      <c r="BJ76" s="960">
        <v>0.67698218651763886</v>
      </c>
      <c r="BK76" s="960">
        <v>0.57328547622099724</v>
      </c>
      <c r="BL76" s="960">
        <v>0.26494885916601102</v>
      </c>
      <c r="BM76" s="960">
        <v>0.34161490683229817</v>
      </c>
      <c r="BN76" s="960">
        <v>0.36563776668179754</v>
      </c>
      <c r="BO76" s="960">
        <v>0.20775410408662245</v>
      </c>
      <c r="BP76" s="960">
        <v>0.22120240994744261</v>
      </c>
      <c r="BQ76" s="960">
        <v>4.9822563688920303E-2</v>
      </c>
      <c r="BR76" s="960">
        <v>0.17005369060163578</v>
      </c>
      <c r="BS76" s="960">
        <v>0.30916216282564668</v>
      </c>
      <c r="BT76" s="960">
        <v>9.6256058050450788E-2</v>
      </c>
      <c r="BU76" s="960">
        <v>219855.856</v>
      </c>
      <c r="BV76" s="960">
        <v>208342.75</v>
      </c>
      <c r="BW76" s="960">
        <v>180873.05600000001</v>
      </c>
      <c r="BX76" s="960">
        <v>220835.304</v>
      </c>
      <c r="BY76" s="960">
        <v>283392.39480000001</v>
      </c>
      <c r="BZ76" s="960">
        <v>200364.23</v>
      </c>
      <c r="CA76" s="960">
        <v>120719.74200000001</v>
      </c>
      <c r="CB76" s="960">
        <v>183854.48</v>
      </c>
      <c r="CC76" s="960">
        <v>289177.71750000003</v>
      </c>
      <c r="CD76" s="960">
        <v>199450.76380000002</v>
      </c>
      <c r="CE76" s="960">
        <v>9.4075465255250124E-2</v>
      </c>
      <c r="CF76" s="960">
        <v>-3.0057803468208091E-2</v>
      </c>
      <c r="CG76" s="960">
        <v>0.23243243243243242</v>
      </c>
      <c r="CH76" s="960">
        <v>8.2184886003657157E-2</v>
      </c>
      <c r="CI76" s="960">
        <v>-3.3062533944142831E-2</v>
      </c>
      <c r="CJ76" s="960">
        <v>0.23369851921826501</v>
      </c>
      <c r="CK76" s="960">
        <v>6.6210045662100453E-2</v>
      </c>
      <c r="CL76" s="960">
        <v>-3.9359861591695501E-2</v>
      </c>
      <c r="CM76" s="960">
        <v>0.23626373626373623</v>
      </c>
      <c r="CN76" s="960" t="s">
        <v>613</v>
      </c>
      <c r="CO76" s="960">
        <v>2215.4</v>
      </c>
    </row>
    <row r="77" spans="1:93">
      <c r="A77" s="960">
        <v>0</v>
      </c>
      <c r="B77" s="960" t="s">
        <v>614</v>
      </c>
      <c r="C77" s="960">
        <v>0</v>
      </c>
      <c r="D77" s="960">
        <v>0</v>
      </c>
      <c r="E77" s="960">
        <v>0</v>
      </c>
      <c r="F77" s="960">
        <v>0</v>
      </c>
      <c r="G77" s="960">
        <v>1</v>
      </c>
      <c r="H77" s="960">
        <v>0</v>
      </c>
      <c r="I77" s="960">
        <v>0</v>
      </c>
      <c r="J77" s="960">
        <v>0</v>
      </c>
      <c r="K77" s="960">
        <v>0</v>
      </c>
      <c r="L77" s="960">
        <v>0</v>
      </c>
      <c r="M77" s="960">
        <v>0</v>
      </c>
      <c r="N77" s="960" t="s">
        <v>1036</v>
      </c>
      <c r="O77" s="960">
        <v>0</v>
      </c>
      <c r="P77" s="960">
        <v>0</v>
      </c>
      <c r="Q77" s="960">
        <v>0</v>
      </c>
      <c r="R77" s="960">
        <v>0</v>
      </c>
      <c r="S77" s="960">
        <v>0</v>
      </c>
      <c r="T77" s="960">
        <v>0</v>
      </c>
      <c r="U77" s="960">
        <v>0</v>
      </c>
      <c r="V77" s="960">
        <v>0</v>
      </c>
      <c r="W77" s="960">
        <v>0</v>
      </c>
      <c r="X77" s="960">
        <v>0</v>
      </c>
      <c r="Y77" s="960">
        <v>0</v>
      </c>
      <c r="Z77" s="960">
        <v>0</v>
      </c>
      <c r="AA77" s="960">
        <v>0</v>
      </c>
      <c r="AB77" s="960">
        <v>0</v>
      </c>
      <c r="AC77" s="960">
        <v>0</v>
      </c>
      <c r="AD77" s="960">
        <v>0</v>
      </c>
      <c r="AE77" s="960">
        <v>0</v>
      </c>
      <c r="AF77" s="960">
        <v>2014</v>
      </c>
      <c r="AG77" s="960">
        <v>0</v>
      </c>
      <c r="AH77" s="960">
        <v>0</v>
      </c>
      <c r="AI77" s="960">
        <v>0</v>
      </c>
      <c r="AJ77" s="960">
        <v>0</v>
      </c>
      <c r="AK77" s="960">
        <v>0</v>
      </c>
      <c r="AL77" s="960">
        <v>0</v>
      </c>
      <c r="AM77" s="960">
        <v>0</v>
      </c>
      <c r="AN77" s="960">
        <v>0</v>
      </c>
      <c r="AO77" s="960">
        <v>0</v>
      </c>
      <c r="AP77" s="960">
        <v>0</v>
      </c>
      <c r="AQ77" s="960">
        <v>0</v>
      </c>
      <c r="AR77" s="960">
        <v>1</v>
      </c>
      <c r="AS77" s="960">
        <v>0</v>
      </c>
      <c r="AT77" s="960">
        <v>0</v>
      </c>
      <c r="AU77" s="960">
        <v>0</v>
      </c>
      <c r="AV77" s="960">
        <v>0</v>
      </c>
      <c r="AW77" s="960">
        <v>6.743388205070028</v>
      </c>
      <c r="AX77" s="960">
        <v>6.7582226599785233</v>
      </c>
      <c r="AY77" s="960">
        <v>6.9978764134930813</v>
      </c>
      <c r="AZ77" s="960">
        <v>7.5338979964673314</v>
      </c>
      <c r="BA77" s="960">
        <v>7.5217171879984344</v>
      </c>
      <c r="BB77" s="960">
        <v>-1.6649543378995435</v>
      </c>
      <c r="BC77" s="960">
        <v>-11.128439098575971</v>
      </c>
      <c r="BD77" s="960">
        <v>33.376433193325013</v>
      </c>
      <c r="BE77" s="960">
        <v>16.347774278662015</v>
      </c>
      <c r="BF77" s="960">
        <v>-4.8335790637670479</v>
      </c>
      <c r="BG77" s="960">
        <v>4.5461014624637183E-2</v>
      </c>
      <c r="BH77" s="960">
        <v>5.5001929494018574E-2</v>
      </c>
      <c r="BI77" s="960">
        <v>0.15109365193097052</v>
      </c>
      <c r="BJ77" s="960">
        <v>0.14002342623025849</v>
      </c>
      <c r="BK77" s="960">
        <v>6.9628777600817954E-3</v>
      </c>
      <c r="BL77" s="960">
        <v>1.5111981334287896E-2</v>
      </c>
      <c r="BM77" s="960">
        <v>1.4926235546851624E-2</v>
      </c>
      <c r="BN77" s="960">
        <v>1.2232071939968562E-2</v>
      </c>
      <c r="BO77" s="960">
        <v>1.9915685912224524E-2</v>
      </c>
      <c r="BP77" s="960">
        <v>2.667177883953676E-2</v>
      </c>
      <c r="BQ77" s="960">
        <v>0.537183083712516</v>
      </c>
      <c r="BR77" s="960">
        <v>0.61075221865014029</v>
      </c>
      <c r="BS77" s="960">
        <v>-0.52384077450535316</v>
      </c>
      <c r="BT77" s="960">
        <v>0.14413077417088871</v>
      </c>
      <c r="BU77" s="960">
        <v>53590.591296000006</v>
      </c>
      <c r="BV77" s="960">
        <v>54517.940290000006</v>
      </c>
      <c r="BW77" s="960">
        <v>75944.943970000008</v>
      </c>
      <c r="BX77" s="960">
        <v>80764.717740000007</v>
      </c>
      <c r="BY77" s="960">
        <v>68794.508413000003</v>
      </c>
      <c r="BZ77" s="960">
        <v>898030.17860600003</v>
      </c>
      <c r="CA77" s="960">
        <v>625403.38600300008</v>
      </c>
      <c r="CB77" s="960">
        <v>725827.30012200004</v>
      </c>
      <c r="CC77" s="960">
        <v>547541.17321499996</v>
      </c>
      <c r="CD77" s="960">
        <v>419107.11249000003</v>
      </c>
      <c r="CE77" s="960">
        <v>-2.1310030185214525E-2</v>
      </c>
      <c r="CF77" s="960">
        <v>5.5843441819111682E-2</v>
      </c>
      <c r="CG77" s="960">
        <v>5.0320591319534119E-2</v>
      </c>
      <c r="CH77" s="960">
        <v>-0.12906853092745313</v>
      </c>
      <c r="CI77" s="960">
        <v>0.33339652795377767</v>
      </c>
      <c r="CJ77" s="960">
        <v>0.41586605383010039</v>
      </c>
      <c r="CK77" s="960">
        <v>-0.12982410113875145</v>
      </c>
      <c r="CL77" s="960">
        <v>0.37858837999574241</v>
      </c>
      <c r="CM77" s="960">
        <v>0.48092811751138881</v>
      </c>
      <c r="CN77" s="960" t="s">
        <v>614</v>
      </c>
      <c r="CO77" s="960">
        <v>2219.8000000000002</v>
      </c>
    </row>
    <row r="78" spans="1:93">
      <c r="A78" s="960">
        <v>0</v>
      </c>
      <c r="B78" s="960" t="s">
        <v>615</v>
      </c>
      <c r="C78" s="960">
        <v>0</v>
      </c>
      <c r="D78" s="960">
        <v>0</v>
      </c>
      <c r="E78" s="960">
        <v>0</v>
      </c>
      <c r="F78" s="960">
        <v>0</v>
      </c>
      <c r="G78" s="960">
        <v>0</v>
      </c>
      <c r="H78" s="960">
        <v>1</v>
      </c>
      <c r="I78" s="960">
        <v>0</v>
      </c>
      <c r="J78" s="960">
        <v>0</v>
      </c>
      <c r="K78" s="960">
        <v>0</v>
      </c>
      <c r="L78" s="960">
        <v>0</v>
      </c>
      <c r="M78" s="960">
        <v>0</v>
      </c>
      <c r="N78" s="960" t="s">
        <v>1036</v>
      </c>
      <c r="O78" s="960">
        <v>0</v>
      </c>
      <c r="P78" s="960">
        <v>0</v>
      </c>
      <c r="Q78" s="960">
        <v>0</v>
      </c>
      <c r="R78" s="960">
        <v>0</v>
      </c>
      <c r="S78" s="960">
        <v>0</v>
      </c>
      <c r="T78" s="960">
        <v>0</v>
      </c>
      <c r="U78" s="960">
        <v>0</v>
      </c>
      <c r="V78" s="960">
        <v>0</v>
      </c>
      <c r="W78" s="960">
        <v>0</v>
      </c>
      <c r="X78" s="960">
        <v>0</v>
      </c>
      <c r="Y78" s="960">
        <v>0</v>
      </c>
      <c r="Z78" s="960">
        <v>0</v>
      </c>
      <c r="AA78" s="960">
        <v>0</v>
      </c>
      <c r="AB78" s="960">
        <v>0</v>
      </c>
      <c r="AC78" s="960">
        <v>0</v>
      </c>
      <c r="AD78" s="960">
        <v>0</v>
      </c>
      <c r="AE78" s="960">
        <v>0</v>
      </c>
      <c r="AF78" s="960">
        <v>2014</v>
      </c>
      <c r="AG78" s="960">
        <v>0</v>
      </c>
      <c r="AH78" s="960">
        <v>0</v>
      </c>
      <c r="AI78" s="960">
        <v>0</v>
      </c>
      <c r="AJ78" s="960">
        <v>0</v>
      </c>
      <c r="AK78" s="960">
        <v>0</v>
      </c>
      <c r="AL78" s="960">
        <v>0</v>
      </c>
      <c r="AM78" s="960">
        <v>0</v>
      </c>
      <c r="AN78" s="960">
        <v>0</v>
      </c>
      <c r="AO78" s="960">
        <v>0</v>
      </c>
      <c r="AP78" s="960">
        <v>0</v>
      </c>
      <c r="AQ78" s="960">
        <v>0</v>
      </c>
      <c r="AR78" s="960">
        <v>1</v>
      </c>
      <c r="AS78" s="960">
        <v>0</v>
      </c>
      <c r="AT78" s="960">
        <v>0</v>
      </c>
      <c r="AU78" s="960">
        <v>0</v>
      </c>
      <c r="AV78" s="960">
        <v>0</v>
      </c>
      <c r="AW78" s="960">
        <v>13.837784086929826</v>
      </c>
      <c r="AX78" s="960">
        <v>13.20179172593639</v>
      </c>
      <c r="AY78" s="960">
        <v>13.153207035418461</v>
      </c>
      <c r="AZ78" s="960">
        <v>13.73918540660738</v>
      </c>
      <c r="BA78" s="960">
        <v>13.622037792912426</v>
      </c>
      <c r="BB78" s="960">
        <v>0.67440208382666345</v>
      </c>
      <c r="BC78" s="960">
        <v>0.70925885199032335</v>
      </c>
      <c r="BD78" s="960">
        <v>0.65887737894483256</v>
      </c>
      <c r="BE78" s="960">
        <v>0.77560137457044664</v>
      </c>
      <c r="BF78" s="960">
        <v>0.56239669421487604</v>
      </c>
      <c r="BG78" s="960">
        <v>0.506180145753369</v>
      </c>
      <c r="BH78" s="960">
        <v>0.52077795152462869</v>
      </c>
      <c r="BI78" s="960">
        <v>0.53323272338552474</v>
      </c>
      <c r="BJ78" s="960">
        <v>0.56374107348537206</v>
      </c>
      <c r="BK78" s="960">
        <v>0.61110825404988434</v>
      </c>
      <c r="BL78" s="960">
        <v>0.1428112476961837</v>
      </c>
      <c r="BM78" s="960">
        <v>8.8878029710711487E-2</v>
      </c>
      <c r="BN78" s="960">
        <v>8.7006644448636525E-2</v>
      </c>
      <c r="BO78" s="960">
        <v>0.13407049067035245</v>
      </c>
      <c r="BP78" s="960">
        <v>0.12445358704037028</v>
      </c>
      <c r="BQ78" s="960">
        <v>-1.2665576089584983E-2</v>
      </c>
      <c r="BR78" s="960">
        <v>-5.7162370248447711E-2</v>
      </c>
      <c r="BS78" s="960">
        <v>-0.46883075749396524</v>
      </c>
      <c r="BT78" s="960">
        <v>-7.7875530664359593E-2</v>
      </c>
      <c r="BU78" s="960">
        <v>3535732.5300000003</v>
      </c>
      <c r="BV78" s="960">
        <v>2918822.4010000001</v>
      </c>
      <c r="BW78" s="960">
        <v>2766388.7940000002</v>
      </c>
      <c r="BX78" s="960">
        <v>3014834.91</v>
      </c>
      <c r="BY78" s="960">
        <v>2575118.108</v>
      </c>
      <c r="BZ78" s="960">
        <v>2325556.7940000002</v>
      </c>
      <c r="CA78" s="960">
        <v>2362130.5730000003</v>
      </c>
      <c r="CB78" s="960">
        <v>2082524.6640000001</v>
      </c>
      <c r="CC78" s="960">
        <v>2606547.4934999999</v>
      </c>
      <c r="CD78" s="960">
        <v>2603552.6970000002</v>
      </c>
      <c r="CE78" s="960">
        <v>0.17801321038519388</v>
      </c>
      <c r="CF78" s="960">
        <v>0.27569274367415242</v>
      </c>
      <c r="CG78" s="960">
        <v>0.16314722023383441</v>
      </c>
      <c r="CH78" s="960">
        <v>0.17877762813099815</v>
      </c>
      <c r="CI78" s="960">
        <v>0.25940458012425383</v>
      </c>
      <c r="CJ78" s="960">
        <v>0.14432214640316809</v>
      </c>
      <c r="CK78" s="960">
        <v>0.17997884157630256</v>
      </c>
      <c r="CL78" s="960">
        <v>0.23835674305628893</v>
      </c>
      <c r="CM78" s="960">
        <v>0.12281647132785485</v>
      </c>
      <c r="CN78" s="960" t="s">
        <v>615</v>
      </c>
      <c r="CO78" s="960">
        <v>2224.2000000000003</v>
      </c>
    </row>
    <row r="79" spans="1:93">
      <c r="A79" s="960">
        <v>0</v>
      </c>
      <c r="B79" s="960" t="s">
        <v>615</v>
      </c>
      <c r="C79" s="960">
        <v>0</v>
      </c>
      <c r="D79" s="960">
        <v>0</v>
      </c>
      <c r="E79" s="960">
        <v>0</v>
      </c>
      <c r="F79" s="960">
        <v>0</v>
      </c>
      <c r="G79" s="960">
        <v>0</v>
      </c>
      <c r="H79" s="960">
        <v>1</v>
      </c>
      <c r="I79" s="960">
        <v>0</v>
      </c>
      <c r="J79" s="960">
        <v>0</v>
      </c>
      <c r="K79" s="960">
        <v>0</v>
      </c>
      <c r="L79" s="960">
        <v>0</v>
      </c>
      <c r="M79" s="960">
        <v>0</v>
      </c>
      <c r="N79" s="960" t="s">
        <v>1036</v>
      </c>
      <c r="O79" s="960">
        <v>0</v>
      </c>
      <c r="P79" s="960">
        <v>0</v>
      </c>
      <c r="Q79" s="960">
        <v>0</v>
      </c>
      <c r="R79" s="960">
        <v>0</v>
      </c>
      <c r="S79" s="960">
        <v>0</v>
      </c>
      <c r="T79" s="960">
        <v>0</v>
      </c>
      <c r="U79" s="960">
        <v>0</v>
      </c>
      <c r="V79" s="960">
        <v>0</v>
      </c>
      <c r="W79" s="960">
        <v>0</v>
      </c>
      <c r="X79" s="960">
        <v>0</v>
      </c>
      <c r="Y79" s="960">
        <v>0</v>
      </c>
      <c r="Z79" s="960">
        <v>0</v>
      </c>
      <c r="AA79" s="960">
        <v>0</v>
      </c>
      <c r="AB79" s="960">
        <v>0</v>
      </c>
      <c r="AC79" s="960">
        <v>0</v>
      </c>
      <c r="AD79" s="960">
        <v>0</v>
      </c>
      <c r="AE79" s="960">
        <v>0</v>
      </c>
      <c r="AF79" s="960">
        <v>2014</v>
      </c>
      <c r="AG79" s="960">
        <v>0</v>
      </c>
      <c r="AH79" s="960">
        <v>0</v>
      </c>
      <c r="AI79" s="960">
        <v>0</v>
      </c>
      <c r="AJ79" s="960">
        <v>0</v>
      </c>
      <c r="AK79" s="960">
        <v>0</v>
      </c>
      <c r="AL79" s="960">
        <v>0</v>
      </c>
      <c r="AM79" s="960">
        <v>0</v>
      </c>
      <c r="AN79" s="960">
        <v>0</v>
      </c>
      <c r="AO79" s="960">
        <v>0</v>
      </c>
      <c r="AP79" s="960">
        <v>0</v>
      </c>
      <c r="AQ79" s="960">
        <v>0</v>
      </c>
      <c r="AR79" s="960">
        <v>1</v>
      </c>
      <c r="AS79" s="960">
        <v>0</v>
      </c>
      <c r="AT79" s="960">
        <v>0</v>
      </c>
      <c r="AU79" s="960">
        <v>0</v>
      </c>
      <c r="AV79" s="960">
        <v>0</v>
      </c>
      <c r="AW79" s="960">
        <v>12.876211592348891</v>
      </c>
      <c r="AX79" s="960">
        <v>12.786051999739421</v>
      </c>
      <c r="AY79" s="960">
        <v>12.9072941743581</v>
      </c>
      <c r="AZ79" s="960">
        <v>13.058077150357926</v>
      </c>
      <c r="BA79" s="960">
        <v>12.832199479471225</v>
      </c>
      <c r="BB79" s="960">
        <v>0.12423966313515228</v>
      </c>
      <c r="BC79" s="960">
        <v>0.10028440043768271</v>
      </c>
      <c r="BD79" s="960">
        <v>8.6061733027483933E-2</v>
      </c>
      <c r="BE79" s="960">
        <v>8.6420654308894507E-2</v>
      </c>
      <c r="BF79" s="960">
        <v>8.4471115594065269E-2</v>
      </c>
      <c r="BG79" s="960">
        <v>0.55004189219866817</v>
      </c>
      <c r="BH79" s="960">
        <v>0.57882440983781014</v>
      </c>
      <c r="BI79" s="960">
        <v>0.59219876932970617</v>
      </c>
      <c r="BJ79" s="960">
        <v>0.6045700812520397</v>
      </c>
      <c r="BK79" s="960">
        <v>0.62160081435895609</v>
      </c>
      <c r="BL79" s="960">
        <v>0.50831593991074964</v>
      </c>
      <c r="BM79" s="960">
        <v>0.46817057913180632</v>
      </c>
      <c r="BN79" s="960">
        <v>0.5192782349887578</v>
      </c>
      <c r="BO79" s="960">
        <v>0.47395065272622061</v>
      </c>
      <c r="BP79" s="960">
        <v>0.36800997814182568</v>
      </c>
      <c r="BQ79" s="960">
        <v>1.3603771423197956E-2</v>
      </c>
      <c r="BR79" s="960">
        <v>2.7435761871778874E-2</v>
      </c>
      <c r="BS79" s="960">
        <v>7.5094694886874688E-2</v>
      </c>
      <c r="BT79" s="960">
        <v>-2.9402045029249924E-2</v>
      </c>
      <c r="BU79" s="960">
        <v>346023.819372</v>
      </c>
      <c r="BV79" s="960">
        <v>321344.52411600004</v>
      </c>
      <c r="BW79" s="960">
        <v>316675.925392</v>
      </c>
      <c r="BX79" s="960">
        <v>391189.55511000002</v>
      </c>
      <c r="BY79" s="960">
        <v>384630.76926199999</v>
      </c>
      <c r="BZ79" s="960">
        <v>240888.04685000001</v>
      </c>
      <c r="CA79" s="960">
        <v>262601.27380299999</v>
      </c>
      <c r="CB79" s="960">
        <v>261981.702112</v>
      </c>
      <c r="CC79" s="960">
        <v>328124.45585999999</v>
      </c>
      <c r="CD79" s="960">
        <v>404265.44890100003</v>
      </c>
      <c r="CE79" s="960">
        <v>7.8161885825018956E-2</v>
      </c>
      <c r="CF79" s="960">
        <v>0.12348943404355243</v>
      </c>
      <c r="CG79" s="960">
        <v>0.1324664092195407</v>
      </c>
      <c r="CH79" s="960">
        <v>7.9671705284051125E-2</v>
      </c>
      <c r="CI79" s="960">
        <v>0.11561714269220649</v>
      </c>
      <c r="CJ79" s="960">
        <v>0.12313642934392281</v>
      </c>
      <c r="CK79" s="960">
        <v>8.2151903553187147E-2</v>
      </c>
      <c r="CL79" s="960">
        <v>0.10358125062568724</v>
      </c>
      <c r="CM79" s="960">
        <v>0.10958766542496602</v>
      </c>
      <c r="CN79" s="960" t="s">
        <v>615</v>
      </c>
      <c r="CO79" s="960">
        <v>2224.2000000000003</v>
      </c>
    </row>
    <row r="80" spans="1:93">
      <c r="A80" s="960">
        <v>0</v>
      </c>
      <c r="B80" s="960" t="s">
        <v>616</v>
      </c>
      <c r="C80" s="960">
        <v>0</v>
      </c>
      <c r="D80" s="960">
        <v>0</v>
      </c>
      <c r="E80" s="960">
        <v>0</v>
      </c>
      <c r="F80" s="960">
        <v>0</v>
      </c>
      <c r="G80" s="960">
        <v>0</v>
      </c>
      <c r="H80" s="960">
        <v>0</v>
      </c>
      <c r="I80" s="960">
        <v>1</v>
      </c>
      <c r="J80" s="960">
        <v>0</v>
      </c>
      <c r="K80" s="960">
        <v>0</v>
      </c>
      <c r="L80" s="960">
        <v>0</v>
      </c>
      <c r="M80" s="960">
        <v>0</v>
      </c>
      <c r="N80" s="960" t="s">
        <v>1036</v>
      </c>
      <c r="O80" s="960">
        <v>0</v>
      </c>
      <c r="P80" s="960">
        <v>0</v>
      </c>
      <c r="Q80" s="960">
        <v>0</v>
      </c>
      <c r="R80" s="960">
        <v>0</v>
      </c>
      <c r="S80" s="960">
        <v>0</v>
      </c>
      <c r="T80" s="960">
        <v>0</v>
      </c>
      <c r="U80" s="960">
        <v>0</v>
      </c>
      <c r="V80" s="960">
        <v>0</v>
      </c>
      <c r="W80" s="960">
        <v>0</v>
      </c>
      <c r="X80" s="960">
        <v>0</v>
      </c>
      <c r="Y80" s="960">
        <v>0</v>
      </c>
      <c r="Z80" s="960">
        <v>0</v>
      </c>
      <c r="AA80" s="960">
        <v>0</v>
      </c>
      <c r="AB80" s="960">
        <v>0</v>
      </c>
      <c r="AC80" s="960">
        <v>0</v>
      </c>
      <c r="AD80" s="960">
        <v>0</v>
      </c>
      <c r="AE80" s="960">
        <v>0</v>
      </c>
      <c r="AF80" s="960">
        <v>2014</v>
      </c>
      <c r="AG80" s="960">
        <v>0</v>
      </c>
      <c r="AH80" s="960">
        <v>0</v>
      </c>
      <c r="AI80" s="960">
        <v>0</v>
      </c>
      <c r="AJ80" s="960">
        <v>0</v>
      </c>
      <c r="AK80" s="960">
        <v>0</v>
      </c>
      <c r="AL80" s="960">
        <v>0</v>
      </c>
      <c r="AM80" s="960">
        <v>0</v>
      </c>
      <c r="AN80" s="960">
        <v>0</v>
      </c>
      <c r="AO80" s="960">
        <v>0</v>
      </c>
      <c r="AP80" s="960">
        <v>0</v>
      </c>
      <c r="AQ80" s="960">
        <v>0</v>
      </c>
      <c r="AR80" s="960">
        <v>1</v>
      </c>
      <c r="AS80" s="960">
        <v>0</v>
      </c>
      <c r="AT80" s="960">
        <v>0</v>
      </c>
      <c r="AU80" s="960">
        <v>0</v>
      </c>
      <c r="AV80" s="960">
        <v>0</v>
      </c>
      <c r="AW80" s="960">
        <v>15.189488127871122</v>
      </c>
      <c r="AX80" s="960">
        <v>15.101458754970468</v>
      </c>
      <c r="AY80" s="960">
        <v>14.968393205163625</v>
      </c>
      <c r="AZ80" s="960">
        <v>15.012259633875884</v>
      </c>
      <c r="BA80" s="960">
        <v>15.105893508576877</v>
      </c>
      <c r="BB80" s="960">
        <v>1.6739664417045153E-2</v>
      </c>
      <c r="BC80" s="960">
        <v>1.6416641123773078E-2</v>
      </c>
      <c r="BD80" s="960">
        <v>1.408387559159034E-2</v>
      </c>
      <c r="BE80" s="960">
        <v>1.7447280289338573E-2</v>
      </c>
      <c r="BF80" s="960">
        <v>1.2291913054341312E-2</v>
      </c>
      <c r="BG80" s="960">
        <v>0.773851522028836</v>
      </c>
      <c r="BH80" s="960">
        <v>0.7621883369922634</v>
      </c>
      <c r="BI80" s="960">
        <v>0.17041711312292679</v>
      </c>
      <c r="BJ80" s="960">
        <v>0.71884582741324698</v>
      </c>
      <c r="BK80" s="960">
        <v>0.68421653307304819</v>
      </c>
      <c r="BL80" s="960">
        <v>2.1748573089365424</v>
      </c>
      <c r="BM80" s="960">
        <v>2.317775994044923</v>
      </c>
      <c r="BN80" s="960">
        <v>2.0321897636936423</v>
      </c>
      <c r="BO80" s="960">
        <v>1.9477963152832989</v>
      </c>
      <c r="BP80" s="960">
        <v>1.9750613168350786</v>
      </c>
      <c r="BQ80" s="960">
        <v>4.343825826834985E-3</v>
      </c>
      <c r="BR80" s="960">
        <v>3.6050540518468482E-2</v>
      </c>
      <c r="BS80" s="960">
        <v>-0.13750030341325148</v>
      </c>
      <c r="BT80" s="960">
        <v>-0.51379941995012146</v>
      </c>
      <c r="BU80" s="960">
        <v>41084</v>
      </c>
      <c r="BV80" s="960">
        <v>37123</v>
      </c>
      <c r="BW80" s="960">
        <v>395006</v>
      </c>
      <c r="BX80" s="960">
        <v>477685</v>
      </c>
      <c r="BY80" s="960">
        <v>581053</v>
      </c>
      <c r="BZ80" s="960">
        <v>49695</v>
      </c>
      <c r="CA80" s="960">
        <v>156381</v>
      </c>
      <c r="CB80" s="960">
        <v>165834</v>
      </c>
      <c r="CC80" s="960">
        <v>184522</v>
      </c>
      <c r="CD80" s="960">
        <v>205461</v>
      </c>
      <c r="CE80" s="960">
        <v>0.21741839083816394</v>
      </c>
      <c r="CF80" s="960">
        <v>0.31291119758077629</v>
      </c>
      <c r="CG80" s="960">
        <v>0.26899188344971475</v>
      </c>
      <c r="CH80" s="960">
        <v>0.17303844554819231</v>
      </c>
      <c r="CI80" s="960">
        <v>0.25891880938432321</v>
      </c>
      <c r="CJ80" s="960">
        <v>0.17567642051765314</v>
      </c>
      <c r="CK80" s="960">
        <v>7.6879389659807285E-2</v>
      </c>
      <c r="CL80" s="960">
        <v>0.12087254152841308</v>
      </c>
      <c r="CM80" s="960">
        <v>0.11292993017827577</v>
      </c>
      <c r="CN80" s="960" t="s">
        <v>616</v>
      </c>
      <c r="CO80" s="960">
        <v>2228.6000000000004</v>
      </c>
    </row>
    <row r="81" spans="1:93">
      <c r="A81" s="960">
        <v>0</v>
      </c>
      <c r="B81" s="960" t="s">
        <v>616</v>
      </c>
      <c r="C81" s="960">
        <v>0</v>
      </c>
      <c r="D81" s="960">
        <v>0</v>
      </c>
      <c r="E81" s="960">
        <v>0</v>
      </c>
      <c r="F81" s="960">
        <v>0</v>
      </c>
      <c r="G81" s="960">
        <v>0</v>
      </c>
      <c r="H81" s="960">
        <v>0</v>
      </c>
      <c r="I81" s="960">
        <v>1</v>
      </c>
      <c r="J81" s="960">
        <v>0</v>
      </c>
      <c r="K81" s="960">
        <v>0</v>
      </c>
      <c r="L81" s="960">
        <v>0</v>
      </c>
      <c r="M81" s="960">
        <v>0</v>
      </c>
      <c r="N81" s="960" t="s">
        <v>1036</v>
      </c>
      <c r="O81" s="960">
        <v>0</v>
      </c>
      <c r="P81" s="960">
        <v>0</v>
      </c>
      <c r="Q81" s="960">
        <v>0</v>
      </c>
      <c r="R81" s="960">
        <v>0</v>
      </c>
      <c r="S81" s="960">
        <v>0</v>
      </c>
      <c r="T81" s="960">
        <v>0</v>
      </c>
      <c r="U81" s="960">
        <v>0</v>
      </c>
      <c r="V81" s="960">
        <v>0</v>
      </c>
      <c r="W81" s="960">
        <v>0</v>
      </c>
      <c r="X81" s="960">
        <v>0</v>
      </c>
      <c r="Y81" s="960">
        <v>0</v>
      </c>
      <c r="Z81" s="960">
        <v>0</v>
      </c>
      <c r="AA81" s="960">
        <v>0</v>
      </c>
      <c r="AB81" s="960">
        <v>0</v>
      </c>
      <c r="AC81" s="960">
        <v>0</v>
      </c>
      <c r="AD81" s="960">
        <v>0</v>
      </c>
      <c r="AE81" s="960">
        <v>0</v>
      </c>
      <c r="AF81" s="960">
        <v>2014</v>
      </c>
      <c r="AG81" s="960">
        <v>0</v>
      </c>
      <c r="AH81" s="960">
        <v>0</v>
      </c>
      <c r="AI81" s="960">
        <v>0</v>
      </c>
      <c r="AJ81" s="960">
        <v>0</v>
      </c>
      <c r="AK81" s="960">
        <v>0</v>
      </c>
      <c r="AL81" s="960">
        <v>0</v>
      </c>
      <c r="AM81" s="960">
        <v>0</v>
      </c>
      <c r="AN81" s="960">
        <v>0</v>
      </c>
      <c r="AO81" s="960">
        <v>0</v>
      </c>
      <c r="AP81" s="960">
        <v>0</v>
      </c>
      <c r="AQ81" s="960">
        <v>0</v>
      </c>
      <c r="AR81" s="960">
        <v>1</v>
      </c>
      <c r="AS81" s="960">
        <v>0</v>
      </c>
      <c r="AT81" s="960">
        <v>0</v>
      </c>
      <c r="AU81" s="960">
        <v>0</v>
      </c>
      <c r="AV81" s="960">
        <v>0</v>
      </c>
      <c r="AW81" s="960">
        <v>9.8821617658213761</v>
      </c>
      <c r="AX81" s="960">
        <v>11.947211238886586</v>
      </c>
      <c r="AY81" s="960">
        <v>11.849604822997465</v>
      </c>
      <c r="AZ81" s="960">
        <v>11.935260800514463</v>
      </c>
      <c r="BA81" s="960">
        <v>12.117640259385096</v>
      </c>
      <c r="BB81" s="960">
        <v>0.68827255082235161</v>
      </c>
      <c r="BC81" s="960">
        <v>5.9279986527275792E-2</v>
      </c>
      <c r="BD81" s="960">
        <v>5.9694777510372853E-2</v>
      </c>
      <c r="BE81" s="960">
        <v>4.9176674183229324E-2</v>
      </c>
      <c r="BF81" s="960">
        <v>6.1702162525331422E-2</v>
      </c>
      <c r="BG81" s="960">
        <v>0.65780349768011015</v>
      </c>
      <c r="BH81" s="960">
        <v>0.67129368998407613</v>
      </c>
      <c r="BI81" s="960">
        <v>0.6408523437641559</v>
      </c>
      <c r="BJ81" s="960">
        <v>6.5657304304470667</v>
      </c>
      <c r="BK81" s="960">
        <v>0.64118313473376742</v>
      </c>
      <c r="BL81" s="960">
        <v>0.24955386733289145</v>
      </c>
      <c r="BM81" s="960">
        <v>2.4832478165060881</v>
      </c>
      <c r="BN81" s="960">
        <v>2.5372628603526066</v>
      </c>
      <c r="BO81" s="960">
        <v>25.353498421140102</v>
      </c>
      <c r="BP81" s="960">
        <v>2.498846621077488</v>
      </c>
      <c r="BQ81" s="960">
        <v>-2.7228984055173711E-3</v>
      </c>
      <c r="BR81" s="960">
        <v>3.7877553489623286</v>
      </c>
      <c r="BS81" s="960">
        <v>-0.26803543638763216</v>
      </c>
      <c r="BT81" s="960">
        <v>-3.3079096961152743E-4</v>
      </c>
      <c r="BU81" s="960">
        <v>26846</v>
      </c>
      <c r="BV81" s="960">
        <v>20436</v>
      </c>
      <c r="BW81" s="960">
        <v>1982</v>
      </c>
      <c r="BX81" s="960">
        <v>20664</v>
      </c>
      <c r="BY81" s="960">
        <v>26288</v>
      </c>
      <c r="BZ81" s="960">
        <v>27</v>
      </c>
      <c r="CA81" s="960">
        <v>183</v>
      </c>
      <c r="CB81" s="960">
        <v>32</v>
      </c>
      <c r="CC81" s="960">
        <v>90</v>
      </c>
      <c r="CD81" s="960">
        <v>0</v>
      </c>
      <c r="CE81" s="960" t="e">
        <v>#DIV/0!</v>
      </c>
      <c r="CF81" s="960">
        <v>83.355555555555554</v>
      </c>
      <c r="CG81" s="960">
        <v>261.21875</v>
      </c>
      <c r="CH81" s="960" t="e">
        <v>#DIV/0!</v>
      </c>
      <c r="CI81" s="960">
        <v>54.853690838919356</v>
      </c>
      <c r="CJ81" s="960">
        <v>247.58082329317267</v>
      </c>
      <c r="CK81" s="960">
        <v>0.4297017650639075</v>
      </c>
      <c r="CL81" s="960">
        <v>0.36304684475416182</v>
      </c>
      <c r="CM81" s="960">
        <v>4.217457114026236</v>
      </c>
      <c r="CN81" s="960" t="s">
        <v>616</v>
      </c>
      <c r="CO81" s="960">
        <v>2228.6000000000004</v>
      </c>
    </row>
    <row r="82" spans="1:93">
      <c r="A82" s="960">
        <v>0</v>
      </c>
      <c r="B82" s="960" t="s">
        <v>616</v>
      </c>
      <c r="C82" s="960">
        <v>0</v>
      </c>
      <c r="D82" s="960">
        <v>0</v>
      </c>
      <c r="E82" s="960">
        <v>0</v>
      </c>
      <c r="F82" s="960">
        <v>0</v>
      </c>
      <c r="G82" s="960">
        <v>0</v>
      </c>
      <c r="H82" s="960">
        <v>0</v>
      </c>
      <c r="I82" s="960">
        <v>1</v>
      </c>
      <c r="J82" s="960">
        <v>0</v>
      </c>
      <c r="K82" s="960">
        <v>0</v>
      </c>
      <c r="L82" s="960">
        <v>0</v>
      </c>
      <c r="M82" s="960">
        <v>0</v>
      </c>
      <c r="N82" s="960" t="s">
        <v>1036</v>
      </c>
      <c r="O82" s="960">
        <v>0</v>
      </c>
      <c r="P82" s="960">
        <v>0</v>
      </c>
      <c r="Q82" s="960">
        <v>0</v>
      </c>
      <c r="R82" s="960">
        <v>0</v>
      </c>
      <c r="S82" s="960">
        <v>0</v>
      </c>
      <c r="T82" s="960">
        <v>0</v>
      </c>
      <c r="U82" s="960">
        <v>0</v>
      </c>
      <c r="V82" s="960">
        <v>0</v>
      </c>
      <c r="W82" s="960">
        <v>0</v>
      </c>
      <c r="X82" s="960">
        <v>0</v>
      </c>
      <c r="Y82" s="960">
        <v>0</v>
      </c>
      <c r="Z82" s="960">
        <v>0</v>
      </c>
      <c r="AA82" s="960">
        <v>0</v>
      </c>
      <c r="AB82" s="960">
        <v>0</v>
      </c>
      <c r="AC82" s="960">
        <v>0</v>
      </c>
      <c r="AD82" s="960">
        <v>0</v>
      </c>
      <c r="AE82" s="960">
        <v>0</v>
      </c>
      <c r="AF82" s="960">
        <v>2014</v>
      </c>
      <c r="AG82" s="960">
        <v>0</v>
      </c>
      <c r="AH82" s="960">
        <v>0</v>
      </c>
      <c r="AI82" s="960">
        <v>0</v>
      </c>
      <c r="AJ82" s="960">
        <v>0</v>
      </c>
      <c r="AK82" s="960">
        <v>0</v>
      </c>
      <c r="AL82" s="960">
        <v>0</v>
      </c>
      <c r="AM82" s="960">
        <v>0</v>
      </c>
      <c r="AN82" s="960">
        <v>0</v>
      </c>
      <c r="AO82" s="960">
        <v>0</v>
      </c>
      <c r="AP82" s="960">
        <v>0</v>
      </c>
      <c r="AQ82" s="960">
        <v>0</v>
      </c>
      <c r="AR82" s="960">
        <v>1</v>
      </c>
      <c r="AS82" s="960">
        <v>0</v>
      </c>
      <c r="AT82" s="960">
        <v>0</v>
      </c>
      <c r="AU82" s="960">
        <v>0</v>
      </c>
      <c r="AV82" s="960">
        <v>0</v>
      </c>
      <c r="AW82" s="960">
        <v>10.965764295283641</v>
      </c>
      <c r="AX82" s="960">
        <v>10.80525330579372</v>
      </c>
      <c r="AY82" s="960">
        <v>8.5055253865485554</v>
      </c>
      <c r="AZ82" s="960">
        <v>10.988659928837535</v>
      </c>
      <c r="BA82" s="960">
        <v>11.245202870258051</v>
      </c>
      <c r="BB82" s="960">
        <v>6.2393058988230006E-2</v>
      </c>
      <c r="BC82" s="960">
        <v>5.957913107002983E-2</v>
      </c>
      <c r="BD82" s="960">
        <v>0.30008093889113718</v>
      </c>
      <c r="BE82" s="960">
        <v>-1.1081268264666632E-2</v>
      </c>
      <c r="BF82" s="960">
        <v>3.3968527812630697E-2</v>
      </c>
      <c r="BG82" s="960">
        <v>0.76311544665488906</v>
      </c>
      <c r="BH82" s="960">
        <v>0.74023993074164163</v>
      </c>
      <c r="BI82" s="960">
        <v>0.74714338370807221</v>
      </c>
      <c r="BJ82" s="960">
        <v>0.73961139245052621</v>
      </c>
      <c r="BK82" s="960">
        <v>0.60501671316887207</v>
      </c>
      <c r="BL82" s="960">
        <v>2.2220984714647822</v>
      </c>
      <c r="BM82" s="960">
        <v>2.0315372882054663</v>
      </c>
      <c r="BN82" s="960">
        <v>0.20239996723594217</v>
      </c>
      <c r="BO82" s="960">
        <v>2.1261717487339724</v>
      </c>
      <c r="BP82" s="960">
        <v>2.1136495483300646</v>
      </c>
      <c r="BQ82" s="960">
        <v>-1.1061191268907179E-2</v>
      </c>
      <c r="BR82" s="960">
        <v>5.8400981014781778E-2</v>
      </c>
      <c r="BS82" s="960">
        <v>-2.7396774837094959</v>
      </c>
      <c r="BT82" s="960">
        <v>0.14212667053920014</v>
      </c>
      <c r="BU82" s="960">
        <v>6168</v>
      </c>
      <c r="BV82" s="960">
        <v>6301</v>
      </c>
      <c r="BW82" s="960">
        <v>6175</v>
      </c>
      <c r="BX82" s="960">
        <v>7250</v>
      </c>
      <c r="BY82" s="960">
        <v>14299</v>
      </c>
      <c r="BZ82" s="960">
        <v>828</v>
      </c>
      <c r="CA82" s="960">
        <v>2356</v>
      </c>
      <c r="CB82" s="960">
        <v>2557</v>
      </c>
      <c r="CC82" s="960">
        <v>2158</v>
      </c>
      <c r="CD82" s="960">
        <v>2603</v>
      </c>
      <c r="CE82" s="960">
        <v>0.99846331156358048</v>
      </c>
      <c r="CF82" s="960">
        <v>-0.303985171455051</v>
      </c>
      <c r="CG82" s="960">
        <v>0.57997653500195545</v>
      </c>
      <c r="CH82" s="960">
        <v>0.67586588360646338</v>
      </c>
      <c r="CI82" s="960">
        <v>-0.24839157546865873</v>
      </c>
      <c r="CJ82" s="960">
        <v>0.49404176951595846</v>
      </c>
      <c r="CK82" s="960">
        <v>0.18176096230505628</v>
      </c>
      <c r="CL82" s="960">
        <v>-9.0482758620689649E-2</v>
      </c>
      <c r="CM82" s="960">
        <v>0.24016194331983806</v>
      </c>
      <c r="CN82" s="960" t="s">
        <v>616</v>
      </c>
      <c r="CO82" s="960">
        <v>2228.6000000000004</v>
      </c>
    </row>
    <row r="83" spans="1:93">
      <c r="A83" s="960">
        <v>0</v>
      </c>
      <c r="B83" s="960" t="s">
        <v>616</v>
      </c>
      <c r="C83" s="960">
        <v>0</v>
      </c>
      <c r="D83" s="960">
        <v>0</v>
      </c>
      <c r="E83" s="960">
        <v>0</v>
      </c>
      <c r="F83" s="960">
        <v>0</v>
      </c>
      <c r="G83" s="960">
        <v>0</v>
      </c>
      <c r="H83" s="960">
        <v>0</v>
      </c>
      <c r="I83" s="960">
        <v>1</v>
      </c>
      <c r="J83" s="960">
        <v>0</v>
      </c>
      <c r="K83" s="960">
        <v>0</v>
      </c>
      <c r="L83" s="960">
        <v>0</v>
      </c>
      <c r="M83" s="960">
        <v>0</v>
      </c>
      <c r="N83" s="960" t="s">
        <v>1036</v>
      </c>
      <c r="O83" s="960">
        <v>0</v>
      </c>
      <c r="P83" s="960">
        <v>0</v>
      </c>
      <c r="Q83" s="960">
        <v>0</v>
      </c>
      <c r="R83" s="960">
        <v>0</v>
      </c>
      <c r="S83" s="960">
        <v>0</v>
      </c>
      <c r="T83" s="960">
        <v>0</v>
      </c>
      <c r="U83" s="960">
        <v>0</v>
      </c>
      <c r="V83" s="960">
        <v>0</v>
      </c>
      <c r="W83" s="960">
        <v>0</v>
      </c>
      <c r="X83" s="960">
        <v>0</v>
      </c>
      <c r="Y83" s="960">
        <v>0</v>
      </c>
      <c r="Z83" s="960">
        <v>0</v>
      </c>
      <c r="AA83" s="960">
        <v>0</v>
      </c>
      <c r="AB83" s="960">
        <v>0</v>
      </c>
      <c r="AC83" s="960">
        <v>0</v>
      </c>
      <c r="AD83" s="960">
        <v>0</v>
      </c>
      <c r="AE83" s="960">
        <v>0</v>
      </c>
      <c r="AF83" s="960">
        <v>2014</v>
      </c>
      <c r="AG83" s="960">
        <v>0</v>
      </c>
      <c r="AH83" s="960">
        <v>0</v>
      </c>
      <c r="AI83" s="960">
        <v>0</v>
      </c>
      <c r="AJ83" s="960">
        <v>0</v>
      </c>
      <c r="AK83" s="960">
        <v>0</v>
      </c>
      <c r="AL83" s="960">
        <v>0</v>
      </c>
      <c r="AM83" s="960">
        <v>0</v>
      </c>
      <c r="AN83" s="960">
        <v>0</v>
      </c>
      <c r="AO83" s="960">
        <v>0</v>
      </c>
      <c r="AP83" s="960">
        <v>0</v>
      </c>
      <c r="AQ83" s="960">
        <v>0</v>
      </c>
      <c r="AR83" s="960">
        <v>1</v>
      </c>
      <c r="AS83" s="960">
        <v>0</v>
      </c>
      <c r="AT83" s="960">
        <v>0</v>
      </c>
      <c r="AU83" s="960">
        <v>0</v>
      </c>
      <c r="AV83" s="960">
        <v>0</v>
      </c>
      <c r="AW83" s="960">
        <v>7.6722924556287557</v>
      </c>
      <c r="AX83" s="960">
        <v>6.62273632394984</v>
      </c>
      <c r="AY83" s="960">
        <v>6.3261494731550991</v>
      </c>
      <c r="AZ83" s="960">
        <v>10.923904038063169</v>
      </c>
      <c r="BA83" s="960">
        <v>8.8424600241952902</v>
      </c>
      <c r="BB83" s="960">
        <v>-2.6927374301675977</v>
      </c>
      <c r="BC83" s="960">
        <v>-6.4760638297872344</v>
      </c>
      <c r="BD83" s="960">
        <v>-3.7513416815742398</v>
      </c>
      <c r="BE83" s="960">
        <v>-4.1649395353866671E-2</v>
      </c>
      <c r="BF83" s="960">
        <v>-5.3452759318116154E-2</v>
      </c>
      <c r="BG83" s="960">
        <v>0.60067380103051926</v>
      </c>
      <c r="BH83" s="960">
        <v>0.47135416666666669</v>
      </c>
      <c r="BI83" s="960">
        <v>1.0154798761609907</v>
      </c>
      <c r="BJ83" s="960">
        <v>0.43841619483440625</v>
      </c>
      <c r="BK83" s="960">
        <v>0.36798548094373867</v>
      </c>
      <c r="BL83" s="960">
        <v>0.42568370986920334</v>
      </c>
      <c r="BM83" s="960">
        <v>0.65277777777777779</v>
      </c>
      <c r="BN83" s="960">
        <v>0.8653250773993808</v>
      </c>
      <c r="BO83" s="960">
        <v>1.0759132862793763</v>
      </c>
      <c r="BP83" s="960">
        <v>0.10050090744101633</v>
      </c>
      <c r="BQ83" s="960">
        <v>-3.2407579801430555</v>
      </c>
      <c r="BR83" s="960">
        <v>209.70979146819096</v>
      </c>
      <c r="BS83" s="960">
        <v>-2.5163105510401902</v>
      </c>
      <c r="BT83" s="960">
        <v>0.64749439521725205</v>
      </c>
      <c r="BU83" s="960">
        <v>2014</v>
      </c>
      <c r="BV83" s="960">
        <v>-2938</v>
      </c>
      <c r="BW83" s="960">
        <v>-10</v>
      </c>
      <c r="BX83" s="960">
        <v>28962</v>
      </c>
      <c r="BY83" s="960">
        <v>37788</v>
      </c>
      <c r="BZ83" s="960">
        <v>110</v>
      </c>
      <c r="CA83" s="960">
        <v>149</v>
      </c>
      <c r="CB83" s="960">
        <v>0</v>
      </c>
      <c r="CC83" s="960">
        <v>2513</v>
      </c>
      <c r="CD83" s="960">
        <v>58</v>
      </c>
      <c r="CE83" s="960">
        <v>-6.3793103448275863</v>
      </c>
      <c r="CF83" s="960">
        <v>-0.9196179864703542</v>
      </c>
      <c r="CG83" s="960" t="e">
        <v>#DIV/0!</v>
      </c>
      <c r="CH83" s="960">
        <v>-2.5668607652044919</v>
      </c>
      <c r="CI83" s="960">
        <v>-0.44798655615633887</v>
      </c>
      <c r="CJ83" s="960" t="e">
        <v>#DIV/0!</v>
      </c>
      <c r="CK83" s="960">
        <v>-9.7914681909600926E-3</v>
      </c>
      <c r="CL83" s="960">
        <v>-7.9794213106829645E-2</v>
      </c>
      <c r="CM83" s="960">
        <v>209.7</v>
      </c>
      <c r="CN83" s="960" t="s">
        <v>616</v>
      </c>
      <c r="CO83" s="960">
        <v>2228.6000000000004</v>
      </c>
    </row>
    <row r="84" spans="1:93">
      <c r="A84" s="960">
        <v>0</v>
      </c>
      <c r="B84" s="960" t="s">
        <v>616</v>
      </c>
      <c r="C84" s="960">
        <v>0</v>
      </c>
      <c r="D84" s="960">
        <v>0</v>
      </c>
      <c r="E84" s="960">
        <v>0</v>
      </c>
      <c r="F84" s="960">
        <v>0</v>
      </c>
      <c r="G84" s="960">
        <v>0</v>
      </c>
      <c r="H84" s="960">
        <v>0</v>
      </c>
      <c r="I84" s="960">
        <v>1</v>
      </c>
      <c r="J84" s="960">
        <v>0</v>
      </c>
      <c r="K84" s="960">
        <v>0</v>
      </c>
      <c r="L84" s="960">
        <v>0</v>
      </c>
      <c r="M84" s="960">
        <v>0</v>
      </c>
      <c r="N84" s="960" t="s">
        <v>1036</v>
      </c>
      <c r="O84" s="960">
        <v>0</v>
      </c>
      <c r="P84" s="960">
        <v>0</v>
      </c>
      <c r="Q84" s="960">
        <v>0</v>
      </c>
      <c r="R84" s="960">
        <v>0</v>
      </c>
      <c r="S84" s="960">
        <v>0</v>
      </c>
      <c r="T84" s="960">
        <v>0</v>
      </c>
      <c r="U84" s="960">
        <v>0</v>
      </c>
      <c r="V84" s="960">
        <v>0</v>
      </c>
      <c r="W84" s="960">
        <v>0</v>
      </c>
      <c r="X84" s="960">
        <v>0</v>
      </c>
      <c r="Y84" s="960">
        <v>0</v>
      </c>
      <c r="Z84" s="960">
        <v>0</v>
      </c>
      <c r="AA84" s="960">
        <v>0</v>
      </c>
      <c r="AB84" s="960">
        <v>0</v>
      </c>
      <c r="AC84" s="960">
        <v>0</v>
      </c>
      <c r="AD84" s="960">
        <v>0</v>
      </c>
      <c r="AE84" s="960">
        <v>0</v>
      </c>
      <c r="AF84" s="960">
        <v>2014</v>
      </c>
      <c r="AG84" s="960">
        <v>0</v>
      </c>
      <c r="AH84" s="960">
        <v>0</v>
      </c>
      <c r="AI84" s="960">
        <v>0</v>
      </c>
      <c r="AJ84" s="960">
        <v>0</v>
      </c>
      <c r="AK84" s="960">
        <v>0</v>
      </c>
      <c r="AL84" s="960">
        <v>0</v>
      </c>
      <c r="AM84" s="960">
        <v>0</v>
      </c>
      <c r="AN84" s="960">
        <v>0</v>
      </c>
      <c r="AO84" s="960">
        <v>0</v>
      </c>
      <c r="AP84" s="960">
        <v>0</v>
      </c>
      <c r="AQ84" s="960">
        <v>0</v>
      </c>
      <c r="AR84" s="960">
        <v>1</v>
      </c>
      <c r="AS84" s="960">
        <v>0</v>
      </c>
      <c r="AT84" s="960">
        <v>0</v>
      </c>
      <c r="AU84" s="960">
        <v>0</v>
      </c>
      <c r="AV84" s="960">
        <v>0</v>
      </c>
      <c r="AW84" s="960">
        <v>12.945626198904275</v>
      </c>
      <c r="AX84" s="960">
        <v>13.193753373491001</v>
      </c>
      <c r="AY84" s="960">
        <v>13.331002242515657</v>
      </c>
      <c r="AZ84" s="960">
        <v>13.083622549087899</v>
      </c>
      <c r="BA84" s="960">
        <v>12.611871031428459</v>
      </c>
      <c r="BB84" s="960">
        <v>-0.15966587112171837</v>
      </c>
      <c r="BC84" s="960">
        <v>-0.11731843575418995</v>
      </c>
      <c r="BD84" s="960">
        <v>-8.1168831168831168E-2</v>
      </c>
      <c r="BE84" s="960">
        <v>-0.12266112266112267</v>
      </c>
      <c r="BF84" s="960">
        <v>0.20093302232589136</v>
      </c>
      <c r="BG84" s="960">
        <v>0.26484448633364749</v>
      </c>
      <c r="BH84" s="960">
        <v>0.37873357228195936</v>
      </c>
      <c r="BI84" s="960">
        <v>0.6085997794928335</v>
      </c>
      <c r="BJ84" s="960">
        <v>0.54691358024691361</v>
      </c>
      <c r="BK84" s="960">
        <v>0.41080472706809229</v>
      </c>
      <c r="BL84" s="960">
        <v>0.65818410304743957</v>
      </c>
      <c r="BM84" s="960">
        <v>0.64157706093189959</v>
      </c>
      <c r="BN84" s="960">
        <v>0.67916207276736495</v>
      </c>
      <c r="BO84" s="960">
        <v>0.59382716049382711</v>
      </c>
      <c r="BP84" s="960">
        <v>0.56293378353029455</v>
      </c>
      <c r="BQ84" s="960">
        <v>-0.16823877811481885</v>
      </c>
      <c r="BR84" s="960">
        <v>-0.33294446513422682</v>
      </c>
      <c r="BS84" s="960">
        <v>0.71913121108719835</v>
      </c>
      <c r="BT84" s="960">
        <v>0.19779505242474121</v>
      </c>
      <c r="BU84" s="960">
        <v>468000</v>
      </c>
      <c r="BV84" s="960">
        <v>520000</v>
      </c>
      <c r="BW84" s="960">
        <v>355000</v>
      </c>
      <c r="BX84" s="960">
        <v>367000</v>
      </c>
      <c r="BY84" s="960">
        <v>313900</v>
      </c>
      <c r="BZ84" s="960">
        <v>38800</v>
      </c>
      <c r="CA84" s="960">
        <v>166000</v>
      </c>
      <c r="CB84" s="960">
        <v>229000</v>
      </c>
      <c r="CC84" s="960">
        <v>203000</v>
      </c>
      <c r="CD84" s="960">
        <v>74900</v>
      </c>
      <c r="CE84" s="960">
        <v>0.80507343124165553</v>
      </c>
      <c r="CF84" s="960">
        <v>-0.29064039408866993</v>
      </c>
      <c r="CG84" s="960">
        <v>-0.2183406113537118</v>
      </c>
      <c r="CH84" s="960">
        <v>0.44400653301167675</v>
      </c>
      <c r="CI84" s="960">
        <v>-0.23179468466824787</v>
      </c>
      <c r="CJ84" s="960">
        <v>-0.18800883954492714</v>
      </c>
      <c r="CK84" s="960">
        <v>0.19209939471169163</v>
      </c>
      <c r="CL84" s="960">
        <v>-0.16076294277929154</v>
      </c>
      <c r="CM84" s="960">
        <v>-0.14084507042253522</v>
      </c>
      <c r="CN84" s="960" t="s">
        <v>616</v>
      </c>
      <c r="CO84" s="960">
        <v>2228.6000000000004</v>
      </c>
    </row>
    <row r="85" spans="1:93">
      <c r="A85" s="960">
        <v>0</v>
      </c>
      <c r="B85" s="960" t="s">
        <v>616</v>
      </c>
      <c r="C85" s="960">
        <v>0</v>
      </c>
      <c r="D85" s="960">
        <v>0</v>
      </c>
      <c r="E85" s="960">
        <v>0</v>
      </c>
      <c r="F85" s="960">
        <v>0</v>
      </c>
      <c r="G85" s="960">
        <v>0</v>
      </c>
      <c r="H85" s="960">
        <v>0</v>
      </c>
      <c r="I85" s="960">
        <v>1</v>
      </c>
      <c r="J85" s="960">
        <v>0</v>
      </c>
      <c r="K85" s="960">
        <v>0</v>
      </c>
      <c r="L85" s="960">
        <v>0</v>
      </c>
      <c r="M85" s="960">
        <v>0</v>
      </c>
      <c r="N85" s="960" t="s">
        <v>1036</v>
      </c>
      <c r="O85" s="960">
        <v>0</v>
      </c>
      <c r="P85" s="960">
        <v>0</v>
      </c>
      <c r="Q85" s="960">
        <v>0</v>
      </c>
      <c r="R85" s="960">
        <v>0</v>
      </c>
      <c r="S85" s="960">
        <v>0</v>
      </c>
      <c r="T85" s="960">
        <v>0</v>
      </c>
      <c r="U85" s="960">
        <v>0</v>
      </c>
      <c r="V85" s="960">
        <v>0</v>
      </c>
      <c r="W85" s="960">
        <v>0</v>
      </c>
      <c r="X85" s="960">
        <v>0</v>
      </c>
      <c r="Y85" s="960">
        <v>0</v>
      </c>
      <c r="Z85" s="960">
        <v>0</v>
      </c>
      <c r="AA85" s="960">
        <v>0</v>
      </c>
      <c r="AB85" s="960">
        <v>0</v>
      </c>
      <c r="AC85" s="960">
        <v>0</v>
      </c>
      <c r="AD85" s="960">
        <v>0</v>
      </c>
      <c r="AE85" s="960">
        <v>0</v>
      </c>
      <c r="AF85" s="960">
        <v>2014</v>
      </c>
      <c r="AG85" s="960">
        <v>0</v>
      </c>
      <c r="AH85" s="960">
        <v>0</v>
      </c>
      <c r="AI85" s="960">
        <v>0</v>
      </c>
      <c r="AJ85" s="960">
        <v>0</v>
      </c>
      <c r="AK85" s="960">
        <v>0</v>
      </c>
      <c r="AL85" s="960">
        <v>0</v>
      </c>
      <c r="AM85" s="960">
        <v>0</v>
      </c>
      <c r="AN85" s="960">
        <v>0</v>
      </c>
      <c r="AO85" s="960">
        <v>0</v>
      </c>
      <c r="AP85" s="960">
        <v>0</v>
      </c>
      <c r="AQ85" s="960">
        <v>0</v>
      </c>
      <c r="AR85" s="960">
        <v>1</v>
      </c>
      <c r="AS85" s="960">
        <v>0</v>
      </c>
      <c r="AT85" s="960">
        <v>0</v>
      </c>
      <c r="AU85" s="960">
        <v>0</v>
      </c>
      <c r="AV85" s="960">
        <v>0</v>
      </c>
      <c r="AW85" s="960">
        <v>11.654352416517556</v>
      </c>
      <c r="AX85" s="960">
        <v>11.800800939703583</v>
      </c>
      <c r="AY85" s="960">
        <v>11.866178141143138</v>
      </c>
      <c r="AZ85" s="960">
        <v>11.789763600614192</v>
      </c>
      <c r="BA85" s="960">
        <v>11.71505250110695</v>
      </c>
      <c r="BB85" s="960">
        <v>1.0546749373080618E-2</v>
      </c>
      <c r="BC85" s="960">
        <v>6.6239289533872661E-2</v>
      </c>
      <c r="BD85" s="960">
        <v>3.1798814884878401E-2</v>
      </c>
      <c r="BE85" s="960">
        <v>-2.1967039784481614E-3</v>
      </c>
      <c r="BF85" s="960">
        <v>7.1179471200058977E-2</v>
      </c>
      <c r="BG85" s="960">
        <v>0.5960195972444251</v>
      </c>
      <c r="BH85" s="960">
        <v>0.51316499930231574</v>
      </c>
      <c r="BI85" s="960">
        <v>0.55986211634821548</v>
      </c>
      <c r="BJ85" s="960">
        <v>0.59642594626805079</v>
      </c>
      <c r="BK85" s="960">
        <v>0.49255730480755422</v>
      </c>
      <c r="BL85" s="960">
        <v>1.3678364826166463</v>
      </c>
      <c r="BM85" s="960">
        <v>1.6989613604237066</v>
      </c>
      <c r="BN85" s="960">
        <v>1.6969654343216574</v>
      </c>
      <c r="BO85" s="960">
        <v>1.3563363657347911</v>
      </c>
      <c r="BP85" s="960">
        <v>1.4544930327794223</v>
      </c>
      <c r="BQ85" s="960">
        <v>-4.9568555225377675E-2</v>
      </c>
      <c r="BR85" s="960">
        <v>-8.1423011002839427E-2</v>
      </c>
      <c r="BS85" s="960">
        <v>0.15112564003618881</v>
      </c>
      <c r="BT85" s="960">
        <v>6.7304811540661258E-2</v>
      </c>
      <c r="BU85" s="960">
        <v>34020.998791999999</v>
      </c>
      <c r="BV85" s="960">
        <v>38213.750993000001</v>
      </c>
      <c r="BW85" s="960">
        <v>36925.805822000002</v>
      </c>
      <c r="BX85" s="960">
        <v>39244.751400000001</v>
      </c>
      <c r="BY85" s="960">
        <v>42702.623066</v>
      </c>
      <c r="BZ85" s="960">
        <v>6300.87997</v>
      </c>
      <c r="CA85" s="960">
        <v>4532.9429749999999</v>
      </c>
      <c r="CB85" s="960">
        <v>4619.4680360000002</v>
      </c>
      <c r="CC85" s="960">
        <v>10852.641540000001</v>
      </c>
      <c r="CD85" s="960">
        <v>9086.6389890000009</v>
      </c>
      <c r="CE85" s="960">
        <v>0.95881349897876955</v>
      </c>
      <c r="CF85" s="960">
        <v>-2.6697177726926008E-2</v>
      </c>
      <c r="CG85" s="960">
        <v>0.9800193621255312</v>
      </c>
      <c r="CH85" s="960">
        <v>0.57580296784744411</v>
      </c>
      <c r="CI85" s="960">
        <v>-1.8902420868407401E-2</v>
      </c>
      <c r="CJ85" s="960">
        <v>0.60263809618570463</v>
      </c>
      <c r="CK85" s="960">
        <v>0.20402475298846082</v>
      </c>
      <c r="CL85" s="960">
        <v>-7.38276813240305E-3</v>
      </c>
      <c r="CM85" s="960">
        <v>0.12260174198562139</v>
      </c>
      <c r="CN85" s="960" t="s">
        <v>616</v>
      </c>
      <c r="CO85" s="960">
        <v>2228.6000000000004</v>
      </c>
    </row>
    <row r="86" spans="1:93">
      <c r="A86" s="960">
        <v>0</v>
      </c>
      <c r="B86" s="960" t="s">
        <v>617</v>
      </c>
      <c r="C86" s="960">
        <v>0</v>
      </c>
      <c r="D86" s="960">
        <v>0</v>
      </c>
      <c r="E86" s="960">
        <v>0</v>
      </c>
      <c r="F86" s="960">
        <v>0</v>
      </c>
      <c r="G86" s="960">
        <v>0</v>
      </c>
      <c r="H86" s="960">
        <v>0</v>
      </c>
      <c r="I86" s="960">
        <v>0</v>
      </c>
      <c r="J86" s="960">
        <v>1</v>
      </c>
      <c r="K86" s="960">
        <v>0</v>
      </c>
      <c r="L86" s="960">
        <v>0</v>
      </c>
      <c r="M86" s="960">
        <v>0</v>
      </c>
      <c r="N86" s="960" t="s">
        <v>1036</v>
      </c>
      <c r="O86" s="960">
        <v>0</v>
      </c>
      <c r="P86" s="960">
        <v>0</v>
      </c>
      <c r="Q86" s="960">
        <v>0</v>
      </c>
      <c r="R86" s="960">
        <v>0</v>
      </c>
      <c r="S86" s="960">
        <v>0</v>
      </c>
      <c r="T86" s="960">
        <v>0</v>
      </c>
      <c r="U86" s="960">
        <v>0</v>
      </c>
      <c r="V86" s="960">
        <v>0</v>
      </c>
      <c r="W86" s="960">
        <v>0</v>
      </c>
      <c r="X86" s="960">
        <v>0</v>
      </c>
      <c r="Y86" s="960">
        <v>0</v>
      </c>
      <c r="Z86" s="960">
        <v>0</v>
      </c>
      <c r="AA86" s="960">
        <v>0</v>
      </c>
      <c r="AB86" s="960">
        <v>0</v>
      </c>
      <c r="AC86" s="960">
        <v>0</v>
      </c>
      <c r="AD86" s="960">
        <v>0</v>
      </c>
      <c r="AE86" s="960">
        <v>0</v>
      </c>
      <c r="AF86" s="960">
        <v>2014</v>
      </c>
      <c r="AG86" s="960">
        <v>0</v>
      </c>
      <c r="AH86" s="960">
        <v>0</v>
      </c>
      <c r="AI86" s="960">
        <v>0</v>
      </c>
      <c r="AJ86" s="960">
        <v>0</v>
      </c>
      <c r="AK86" s="960">
        <v>0</v>
      </c>
      <c r="AL86" s="960">
        <v>0</v>
      </c>
      <c r="AM86" s="960">
        <v>0</v>
      </c>
      <c r="AN86" s="960">
        <v>0</v>
      </c>
      <c r="AO86" s="960">
        <v>0</v>
      </c>
      <c r="AP86" s="960">
        <v>0</v>
      </c>
      <c r="AQ86" s="960">
        <v>0</v>
      </c>
      <c r="AR86" s="960">
        <v>1</v>
      </c>
      <c r="AS86" s="960">
        <v>0</v>
      </c>
      <c r="AT86" s="960">
        <v>0</v>
      </c>
      <c r="AU86" s="960">
        <v>0</v>
      </c>
      <c r="AV86" s="960">
        <v>0</v>
      </c>
      <c r="AW86" s="960">
        <v>9.3489804050725009</v>
      </c>
      <c r="AX86" s="960">
        <v>9.1404100739922765</v>
      </c>
      <c r="AY86" s="960">
        <v>7.1680343848628336</v>
      </c>
      <c r="AZ86" s="960">
        <v>6.4202787803654324</v>
      </c>
      <c r="BA86" s="960">
        <v>6.5616802215091603</v>
      </c>
      <c r="BB86" s="960">
        <v>0.46382386728918773</v>
      </c>
      <c r="BC86" s="960">
        <v>-1.8362677629814999</v>
      </c>
      <c r="BD86" s="960">
        <v>-3.4580101503399403</v>
      </c>
      <c r="BE86" s="960">
        <v>-2.7078797304302751</v>
      </c>
      <c r="BF86" s="960">
        <v>-2.1756919374247894</v>
      </c>
      <c r="BG86" s="960">
        <v>0.653737746156419</v>
      </c>
      <c r="BH86" s="960">
        <v>0.70854773236397739</v>
      </c>
      <c r="BI86" s="960">
        <v>0.4085868102784817</v>
      </c>
      <c r="BJ86" s="960">
        <v>0.11660744991352869</v>
      </c>
      <c r="BK86" s="960">
        <v>4.9060360985678599E-2</v>
      </c>
      <c r="BL86" s="960">
        <v>0.14899009328859167</v>
      </c>
      <c r="BM86" s="960">
        <v>0.12929644101736157</v>
      </c>
      <c r="BN86" s="960">
        <v>1.9273537320677481E-2</v>
      </c>
      <c r="BO86" s="960">
        <v>9.5589219082165104E-3</v>
      </c>
      <c r="BP86" s="960">
        <v>1.0801494271698525E-2</v>
      </c>
      <c r="BQ86" s="960">
        <v>-4.3147363688783857E-2</v>
      </c>
      <c r="BR86" s="960">
        <v>-8.7979421970617339E-2</v>
      </c>
      <c r="BS86" s="960">
        <v>0.60635416335367354</v>
      </c>
      <c r="BT86" s="960">
        <v>0.35952644929280309</v>
      </c>
      <c r="BU86" s="960">
        <v>26696.747924000003</v>
      </c>
      <c r="BV86" s="960">
        <v>21018.926203000003</v>
      </c>
      <c r="BW86" s="960">
        <v>39807.849022000002</v>
      </c>
      <c r="BX86" s="960">
        <v>56759.226105000002</v>
      </c>
      <c r="BY86" s="960">
        <v>62283.157799000001</v>
      </c>
      <c r="BZ86" s="960">
        <v>43949.016122000001</v>
      </c>
      <c r="CA86" s="960">
        <v>49392.827692999999</v>
      </c>
      <c r="CB86" s="960">
        <v>26313.302867999999</v>
      </c>
      <c r="CC86" s="960">
        <v>2228.0932200000002</v>
      </c>
      <c r="CD86" s="960">
        <v>1702.4997330000001</v>
      </c>
      <c r="CE86" s="960">
        <v>-0.9040904090409041</v>
      </c>
      <c r="CF86" s="960">
        <v>-0.74642755072877964</v>
      </c>
      <c r="CG86" s="960">
        <v>-0.17048598324977104</v>
      </c>
      <c r="CH86" s="960">
        <v>-6.7855725830311103E-2</v>
      </c>
      <c r="CI86" s="960">
        <v>-0.11292342411570944</v>
      </c>
      <c r="CJ86" s="960">
        <v>-0.13630616021525227</v>
      </c>
      <c r="CK86" s="960">
        <v>-2.4713160578134868E-2</v>
      </c>
      <c r="CL86" s="960">
        <v>-2.930114237152177E-2</v>
      </c>
      <c r="CM86" s="960">
        <v>-0.11269258254875221</v>
      </c>
      <c r="CN86" s="960" t="s">
        <v>617</v>
      </c>
      <c r="CO86" s="960">
        <v>2233</v>
      </c>
    </row>
    <row r="87" spans="1:93">
      <c r="A87" s="960">
        <v>0</v>
      </c>
      <c r="B87" s="960" t="s">
        <v>613</v>
      </c>
      <c r="C87" s="960">
        <v>0</v>
      </c>
      <c r="D87" s="960">
        <v>0</v>
      </c>
      <c r="E87" s="960">
        <v>0</v>
      </c>
      <c r="F87" s="960">
        <v>1</v>
      </c>
      <c r="G87" s="960">
        <v>0</v>
      </c>
      <c r="H87" s="960">
        <v>0</v>
      </c>
      <c r="I87" s="960">
        <v>0</v>
      </c>
      <c r="J87" s="960">
        <v>0</v>
      </c>
      <c r="K87" s="960">
        <v>0</v>
      </c>
      <c r="L87" s="960">
        <v>0</v>
      </c>
      <c r="M87" s="960">
        <v>0</v>
      </c>
      <c r="N87" s="960" t="s">
        <v>1036</v>
      </c>
      <c r="O87" s="960">
        <v>0</v>
      </c>
      <c r="P87" s="960">
        <v>0</v>
      </c>
      <c r="Q87" s="960">
        <v>0</v>
      </c>
      <c r="R87" s="960">
        <v>0</v>
      </c>
      <c r="S87" s="960">
        <v>0</v>
      </c>
      <c r="T87" s="960">
        <v>0</v>
      </c>
      <c r="U87" s="960">
        <v>0</v>
      </c>
      <c r="V87" s="960">
        <v>0</v>
      </c>
      <c r="W87" s="960">
        <v>0</v>
      </c>
      <c r="X87" s="960">
        <v>0</v>
      </c>
      <c r="Y87" s="960">
        <v>0</v>
      </c>
      <c r="Z87" s="960">
        <v>0</v>
      </c>
      <c r="AA87" s="960">
        <v>0</v>
      </c>
      <c r="AB87" s="960">
        <v>0</v>
      </c>
      <c r="AC87" s="960">
        <v>0</v>
      </c>
      <c r="AD87" s="960">
        <v>0</v>
      </c>
      <c r="AE87" s="960">
        <v>0</v>
      </c>
      <c r="AF87" s="960">
        <v>2014</v>
      </c>
      <c r="AG87" s="960">
        <v>0</v>
      </c>
      <c r="AH87" s="960">
        <v>0</v>
      </c>
      <c r="AI87" s="960">
        <v>0</v>
      </c>
      <c r="AJ87" s="960">
        <v>0</v>
      </c>
      <c r="AK87" s="960">
        <v>0</v>
      </c>
      <c r="AL87" s="960">
        <v>0</v>
      </c>
      <c r="AM87" s="960">
        <v>0</v>
      </c>
      <c r="AN87" s="960">
        <v>0</v>
      </c>
      <c r="AO87" s="960">
        <v>0</v>
      </c>
      <c r="AP87" s="960">
        <v>0</v>
      </c>
      <c r="AQ87" s="960">
        <v>0</v>
      </c>
      <c r="AR87" s="960">
        <v>1</v>
      </c>
      <c r="AS87" s="960">
        <v>0</v>
      </c>
      <c r="AT87" s="960">
        <v>0</v>
      </c>
      <c r="AU87" s="960">
        <v>0</v>
      </c>
      <c r="AV87" s="960">
        <v>0</v>
      </c>
      <c r="AW87" s="960">
        <v>13.400720608343692</v>
      </c>
      <c r="AX87" s="960">
        <v>13.287760859890275</v>
      </c>
      <c r="AY87" s="960">
        <v>13.172014123547799</v>
      </c>
      <c r="AZ87" s="960">
        <v>13.25898125193928</v>
      </c>
      <c r="BA87" s="960">
        <v>13.334123988169967</v>
      </c>
      <c r="BB87" s="960">
        <v>7.1885707191296014E-2</v>
      </c>
      <c r="BC87" s="960">
        <v>8.1346801575099464E-2</v>
      </c>
      <c r="BD87" s="960">
        <v>5.9963612280474712E-2</v>
      </c>
      <c r="BE87" s="960">
        <v>3.5054388122715656E-2</v>
      </c>
      <c r="BF87" s="960">
        <v>2.6396364613238479E-2</v>
      </c>
      <c r="BG87" s="960">
        <v>0.3974025505184971</v>
      </c>
      <c r="BH87" s="960">
        <v>0.61492487433719789</v>
      </c>
      <c r="BI87" s="960">
        <v>0.62665725555682283</v>
      </c>
      <c r="BJ87" s="960">
        <v>0.68029791824009744</v>
      </c>
      <c r="BK87" s="960">
        <v>0.73638726821096412</v>
      </c>
      <c r="BL87" s="960">
        <v>1.1921896011768847</v>
      </c>
      <c r="BM87" s="960">
        <v>1.1462293387426141</v>
      </c>
      <c r="BN87" s="960">
        <v>1.1307362400177319</v>
      </c>
      <c r="BO87" s="960">
        <v>1.1302968336820352</v>
      </c>
      <c r="BP87" s="960">
        <v>1.0198734083200607</v>
      </c>
      <c r="BQ87" s="960">
        <v>4.0882079142542507E-2</v>
      </c>
      <c r="BR87" s="960">
        <v>7.9487575754085799E-2</v>
      </c>
      <c r="BS87" s="960">
        <v>-0.16210986462216773</v>
      </c>
      <c r="BT87" s="960">
        <v>-0.10973001265414128</v>
      </c>
      <c r="BU87" s="960">
        <v>214888</v>
      </c>
      <c r="BV87" s="960">
        <v>198187</v>
      </c>
      <c r="BW87" s="960">
        <v>173492</v>
      </c>
      <c r="BX87" s="960">
        <v>162127</v>
      </c>
      <c r="BY87" s="960">
        <v>159719</v>
      </c>
      <c r="BZ87" s="960">
        <v>206946</v>
      </c>
      <c r="CA87" s="960">
        <v>196487</v>
      </c>
      <c r="CB87" s="960">
        <v>194163</v>
      </c>
      <c r="CC87" s="960">
        <v>214823</v>
      </c>
      <c r="CD87" s="960">
        <v>303115</v>
      </c>
      <c r="CE87" s="960">
        <v>5.3811259752899063E-2</v>
      </c>
      <c r="CF87" s="960">
        <v>9.3532815387551607E-2</v>
      </c>
      <c r="CG87" s="960">
        <v>0.16227602581336301</v>
      </c>
      <c r="CH87" s="960">
        <v>6.6546876913790506E-2</v>
      </c>
      <c r="CI87" s="960">
        <v>0.10325204349705336</v>
      </c>
      <c r="CJ87" s="960">
        <v>0.16949447846677529</v>
      </c>
      <c r="CK87" s="960">
        <v>0.10212310370087466</v>
      </c>
      <c r="CL87" s="960">
        <v>0.12393370629198097</v>
      </c>
      <c r="CM87" s="960">
        <v>0.18161067945496046</v>
      </c>
      <c r="CN87" s="960" t="s">
        <v>613</v>
      </c>
      <c r="CO87" s="960">
        <v>2215.4</v>
      </c>
    </row>
    <row r="88" spans="1:93">
      <c r="A88" s="960">
        <v>0</v>
      </c>
      <c r="B88" s="960" t="s">
        <v>613</v>
      </c>
      <c r="C88" s="960">
        <v>0</v>
      </c>
      <c r="D88" s="960">
        <v>0</v>
      </c>
      <c r="E88" s="960">
        <v>0</v>
      </c>
      <c r="F88" s="960">
        <v>1</v>
      </c>
      <c r="G88" s="960">
        <v>0</v>
      </c>
      <c r="H88" s="960">
        <v>0</v>
      </c>
      <c r="I88" s="960">
        <v>0</v>
      </c>
      <c r="J88" s="960">
        <v>0</v>
      </c>
      <c r="K88" s="960">
        <v>0</v>
      </c>
      <c r="L88" s="960">
        <v>0</v>
      </c>
      <c r="M88" s="960">
        <v>0</v>
      </c>
      <c r="N88" s="960" t="s">
        <v>1036</v>
      </c>
      <c r="O88" s="960">
        <v>0</v>
      </c>
      <c r="P88" s="960">
        <v>0</v>
      </c>
      <c r="Q88" s="960">
        <v>0</v>
      </c>
      <c r="R88" s="960">
        <v>0</v>
      </c>
      <c r="S88" s="960">
        <v>0</v>
      </c>
      <c r="T88" s="960">
        <v>0</v>
      </c>
      <c r="U88" s="960">
        <v>0</v>
      </c>
      <c r="V88" s="960">
        <v>0</v>
      </c>
      <c r="W88" s="960">
        <v>0</v>
      </c>
      <c r="X88" s="960">
        <v>0</v>
      </c>
      <c r="Y88" s="960">
        <v>0</v>
      </c>
      <c r="Z88" s="960">
        <v>0</v>
      </c>
      <c r="AA88" s="960">
        <v>0</v>
      </c>
      <c r="AB88" s="960">
        <v>0</v>
      </c>
      <c r="AC88" s="960">
        <v>0</v>
      </c>
      <c r="AD88" s="960">
        <v>0</v>
      </c>
      <c r="AE88" s="960">
        <v>0</v>
      </c>
      <c r="AF88" s="960">
        <v>2014</v>
      </c>
      <c r="AG88" s="960">
        <v>0</v>
      </c>
      <c r="AH88" s="960">
        <v>0</v>
      </c>
      <c r="AI88" s="960">
        <v>0</v>
      </c>
      <c r="AJ88" s="960">
        <v>0</v>
      </c>
      <c r="AK88" s="960">
        <v>0</v>
      </c>
      <c r="AL88" s="960">
        <v>0</v>
      </c>
      <c r="AM88" s="960">
        <v>0</v>
      </c>
      <c r="AN88" s="960">
        <v>0</v>
      </c>
      <c r="AO88" s="960">
        <v>0</v>
      </c>
      <c r="AP88" s="960">
        <v>0</v>
      </c>
      <c r="AQ88" s="960">
        <v>0</v>
      </c>
      <c r="AR88" s="960">
        <v>1</v>
      </c>
      <c r="AS88" s="960">
        <v>0</v>
      </c>
      <c r="AT88" s="960">
        <v>0</v>
      </c>
      <c r="AU88" s="960">
        <v>0</v>
      </c>
      <c r="AV88" s="960">
        <v>0</v>
      </c>
      <c r="AW88" s="960">
        <v>11.184641762160672</v>
      </c>
      <c r="AX88" s="960">
        <v>11.776922495403449</v>
      </c>
      <c r="AY88" s="960">
        <v>12.178877132940956</v>
      </c>
      <c r="AZ88" s="960">
        <v>12.503084568827706</v>
      </c>
      <c r="BA88" s="960">
        <v>12.4230422508621</v>
      </c>
      <c r="BB88" s="960">
        <v>1.3022318306525364</v>
      </c>
      <c r="BC88" s="960">
        <v>-1.0992699328447932</v>
      </c>
      <c r="BD88" s="960">
        <v>-0.97439708956295579</v>
      </c>
      <c r="BE88" s="960">
        <v>2.1244431616824263E-3</v>
      </c>
      <c r="BF88" s="960">
        <v>9.2376537181898862E-3</v>
      </c>
      <c r="BG88" s="960">
        <v>0.91178210219270905</v>
      </c>
      <c r="BH88" s="960">
        <v>1.1279256678722598</v>
      </c>
      <c r="BI88" s="960">
        <v>0.92311180448554908</v>
      </c>
      <c r="BJ88" s="960">
        <v>0.75851881963573331</v>
      </c>
      <c r="BK88" s="960">
        <v>0.75769989499475821</v>
      </c>
      <c r="BL88" s="960">
        <v>0.12401743192465653</v>
      </c>
      <c r="BM88" s="960">
        <v>0.19989882011016108</v>
      </c>
      <c r="BN88" s="960">
        <v>0.23977966486630095</v>
      </c>
      <c r="BO88" s="960">
        <v>0.20191612985048285</v>
      </c>
      <c r="BP88" s="960">
        <v>0.17489826980462264</v>
      </c>
      <c r="BQ88" s="960">
        <v>-0.23525625723447022</v>
      </c>
      <c r="BR88" s="960">
        <v>-3.0453737942438841</v>
      </c>
      <c r="BS88" s="960">
        <v>-0.24416511792114343</v>
      </c>
      <c r="BT88" s="960">
        <v>0.16541190949079088</v>
      </c>
      <c r="BU88" s="960">
        <v>51227.504042</v>
      </c>
      <c r="BV88" s="960">
        <v>-83329.837767000005</v>
      </c>
      <c r="BW88" s="960">
        <v>62411.763530000004</v>
      </c>
      <c r="BX88" s="960">
        <v>321908.68708499998</v>
      </c>
      <c r="BY88" s="960">
        <v>344212.61853500002</v>
      </c>
      <c r="BZ88" s="960">
        <v>500328.36860600003</v>
      </c>
      <c r="CA88" s="960">
        <v>7995.5994800000008</v>
      </c>
      <c r="CB88" s="960">
        <v>16365.781692</v>
      </c>
      <c r="CC88" s="960">
        <v>818322.63490499998</v>
      </c>
      <c r="CD88" s="960">
        <v>844157.05408100004</v>
      </c>
      <c r="CE88" s="960">
        <v>2.7189243386690543E-3</v>
      </c>
      <c r="CF88" s="960">
        <v>6.9878115991058249E-4</v>
      </c>
      <c r="CG88" s="960">
        <v>-11.588263423965023</v>
      </c>
      <c r="CH88" s="960">
        <v>3.6757783382738852E-3</v>
      </c>
      <c r="CI88" s="960">
        <v>9.5899811641757889E-4</v>
      </c>
      <c r="CJ88" s="960">
        <v>-10.930903367732345</v>
      </c>
      <c r="CK88" s="960">
        <v>6.6679692620467404E-3</v>
      </c>
      <c r="CL88" s="960">
        <v>1.7763684639209773E-3</v>
      </c>
      <c r="CM88" s="960">
        <v>-3.0387058249818373</v>
      </c>
      <c r="CN88" s="960" t="s">
        <v>613</v>
      </c>
      <c r="CO88" s="960">
        <v>2215.4</v>
      </c>
    </row>
    <row r="89" spans="1:93">
      <c r="A89" s="960">
        <v>0</v>
      </c>
      <c r="B89" s="960" t="s">
        <v>613</v>
      </c>
      <c r="C89" s="960">
        <v>0</v>
      </c>
      <c r="D89" s="960">
        <v>0</v>
      </c>
      <c r="E89" s="960">
        <v>0</v>
      </c>
      <c r="F89" s="960">
        <v>1</v>
      </c>
      <c r="G89" s="960">
        <v>0</v>
      </c>
      <c r="H89" s="960">
        <v>0</v>
      </c>
      <c r="I89" s="960">
        <v>0</v>
      </c>
      <c r="J89" s="960">
        <v>0</v>
      </c>
      <c r="K89" s="960">
        <v>0</v>
      </c>
      <c r="L89" s="960">
        <v>0</v>
      </c>
      <c r="M89" s="960">
        <v>0</v>
      </c>
      <c r="N89" s="960" t="s">
        <v>1036</v>
      </c>
      <c r="O89" s="960">
        <v>0</v>
      </c>
      <c r="P89" s="960">
        <v>0</v>
      </c>
      <c r="Q89" s="960">
        <v>0</v>
      </c>
      <c r="R89" s="960">
        <v>0</v>
      </c>
      <c r="S89" s="960">
        <v>0</v>
      </c>
      <c r="T89" s="960">
        <v>0</v>
      </c>
      <c r="U89" s="960">
        <v>0</v>
      </c>
      <c r="V89" s="960">
        <v>0</v>
      </c>
      <c r="W89" s="960">
        <v>0</v>
      </c>
      <c r="X89" s="960">
        <v>0</v>
      </c>
      <c r="Y89" s="960">
        <v>0</v>
      </c>
      <c r="Z89" s="960">
        <v>0</v>
      </c>
      <c r="AA89" s="960">
        <v>0</v>
      </c>
      <c r="AB89" s="960">
        <v>0</v>
      </c>
      <c r="AC89" s="960">
        <v>0</v>
      </c>
      <c r="AD89" s="960">
        <v>0</v>
      </c>
      <c r="AE89" s="960">
        <v>0</v>
      </c>
      <c r="AF89" s="960">
        <v>2014</v>
      </c>
      <c r="AG89" s="960">
        <v>0</v>
      </c>
      <c r="AH89" s="960">
        <v>0</v>
      </c>
      <c r="AI89" s="960">
        <v>0</v>
      </c>
      <c r="AJ89" s="960">
        <v>0</v>
      </c>
      <c r="AK89" s="960">
        <v>0</v>
      </c>
      <c r="AL89" s="960">
        <v>0</v>
      </c>
      <c r="AM89" s="960">
        <v>0</v>
      </c>
      <c r="AN89" s="960">
        <v>0</v>
      </c>
      <c r="AO89" s="960">
        <v>0</v>
      </c>
      <c r="AP89" s="960">
        <v>0</v>
      </c>
      <c r="AQ89" s="960">
        <v>0</v>
      </c>
      <c r="AR89" s="960">
        <v>1</v>
      </c>
      <c r="AS89" s="960">
        <v>0</v>
      </c>
      <c r="AT89" s="960">
        <v>0</v>
      </c>
      <c r="AU89" s="960">
        <v>0</v>
      </c>
      <c r="AV89" s="960">
        <v>0</v>
      </c>
      <c r="AW89" s="960">
        <v>10.682870345779202</v>
      </c>
      <c r="AX89" s="960">
        <v>10.571035452912456</v>
      </c>
      <c r="AY89" s="960">
        <v>11.274733291422768</v>
      </c>
      <c r="AZ89" s="960">
        <v>10.810404976897123</v>
      </c>
      <c r="BA89" s="960">
        <v>9.2689439120291777</v>
      </c>
      <c r="BB89" s="960">
        <v>-8.5421554608432482E-2</v>
      </c>
      <c r="BC89" s="960">
        <v>-7.0877850824292418E-2</v>
      </c>
      <c r="BD89" s="960">
        <v>4.1962958467390435E-3</v>
      </c>
      <c r="BE89" s="960">
        <v>7.9803953077293904E-2</v>
      </c>
      <c r="BF89" s="960">
        <v>-0.25285824394630357</v>
      </c>
      <c r="BG89" s="960">
        <v>0.43962956491350696</v>
      </c>
      <c r="BH89" s="960">
        <v>0.45427174386282193</v>
      </c>
      <c r="BI89" s="960">
        <v>0.53590977824809216</v>
      </c>
      <c r="BJ89" s="960">
        <v>0.41368714871350232</v>
      </c>
      <c r="BK89" s="960">
        <v>0.38973926794278763</v>
      </c>
      <c r="BL89" s="960">
        <v>0.92545816159768113</v>
      </c>
      <c r="BM89" s="960">
        <v>1.0967982852741218</v>
      </c>
      <c r="BN89" s="960">
        <v>1.869899455568558</v>
      </c>
      <c r="BO89" s="960">
        <v>1.1832508119043816</v>
      </c>
      <c r="BP89" s="960">
        <v>0.29484927537604222</v>
      </c>
      <c r="BQ89" s="960">
        <v>8.2401721319648055E-2</v>
      </c>
      <c r="BR89" s="960">
        <v>0.1390768063867768</v>
      </c>
      <c r="BS89" s="960">
        <v>2.0057893793935904</v>
      </c>
      <c r="BT89" s="960">
        <v>0.14617051030530454</v>
      </c>
      <c r="BU89" s="960">
        <v>26401.831148000001</v>
      </c>
      <c r="BV89" s="960">
        <v>19399.567297000001</v>
      </c>
      <c r="BW89" s="960">
        <v>19558.638343999999</v>
      </c>
      <c r="BX89" s="960">
        <v>24544.207515000002</v>
      </c>
      <c r="BY89" s="960">
        <v>21946.564965000001</v>
      </c>
      <c r="BZ89" s="960">
        <v>5196.0316540000003</v>
      </c>
      <c r="CA89" s="960">
        <v>7646.417031</v>
      </c>
      <c r="CB89" s="960">
        <v>11751.903826</v>
      </c>
      <c r="CC89" s="960">
        <v>9474.9680100000005</v>
      </c>
      <c r="CD89" s="960">
        <v>11412.826743</v>
      </c>
      <c r="CE89" s="960">
        <v>-0.23492816542093722</v>
      </c>
      <c r="CF89" s="960">
        <v>0.41720151886824153</v>
      </c>
      <c r="CG89" s="960">
        <v>2.8139237428779825E-2</v>
      </c>
      <c r="CH89" s="960">
        <v>-0.16611580121072431</v>
      </c>
      <c r="CI89" s="960">
        <v>0.26702001448337503</v>
      </c>
      <c r="CJ89" s="960">
        <v>2.2926743809749746E-2</v>
      </c>
      <c r="CK89" s="960">
        <v>-0.12216920749447224</v>
      </c>
      <c r="CL89" s="960">
        <v>0.16105515089799385</v>
      </c>
      <c r="CM89" s="960">
        <v>1.6907598892304566E-2</v>
      </c>
      <c r="CN89" s="960" t="s">
        <v>613</v>
      </c>
      <c r="CO89" s="960">
        <v>2215.4</v>
      </c>
    </row>
    <row r="90" spans="1:93">
      <c r="A90" s="960">
        <v>0</v>
      </c>
      <c r="B90" s="960" t="s">
        <v>618</v>
      </c>
      <c r="C90" s="960">
        <v>1</v>
      </c>
      <c r="D90" s="960">
        <v>0</v>
      </c>
      <c r="E90" s="960">
        <v>0</v>
      </c>
      <c r="F90" s="960">
        <v>0</v>
      </c>
      <c r="G90" s="960">
        <v>0</v>
      </c>
      <c r="H90" s="960">
        <v>0</v>
      </c>
      <c r="I90" s="960">
        <v>0</v>
      </c>
      <c r="J90" s="960">
        <v>0</v>
      </c>
      <c r="K90" s="960">
        <v>0</v>
      </c>
      <c r="L90" s="960">
        <v>0</v>
      </c>
      <c r="M90" s="960">
        <v>0</v>
      </c>
      <c r="N90" s="960" t="s">
        <v>1036</v>
      </c>
      <c r="O90" s="960">
        <v>0</v>
      </c>
      <c r="P90" s="960">
        <v>0</v>
      </c>
      <c r="Q90" s="960">
        <v>0</v>
      </c>
      <c r="R90" s="960">
        <v>0</v>
      </c>
      <c r="S90" s="960">
        <v>0</v>
      </c>
      <c r="T90" s="960">
        <v>0</v>
      </c>
      <c r="U90" s="960">
        <v>0</v>
      </c>
      <c r="V90" s="960">
        <v>0</v>
      </c>
      <c r="W90" s="960">
        <v>0</v>
      </c>
      <c r="X90" s="960">
        <v>0</v>
      </c>
      <c r="Y90" s="960">
        <v>0</v>
      </c>
      <c r="Z90" s="960">
        <v>0</v>
      </c>
      <c r="AA90" s="960">
        <v>0</v>
      </c>
      <c r="AB90" s="960">
        <v>0</v>
      </c>
      <c r="AC90" s="960">
        <v>0</v>
      </c>
      <c r="AD90" s="960">
        <v>0</v>
      </c>
      <c r="AE90" s="960">
        <v>0</v>
      </c>
      <c r="AF90" s="960">
        <v>2013</v>
      </c>
      <c r="AG90" s="960">
        <v>0</v>
      </c>
      <c r="AH90" s="960">
        <v>0</v>
      </c>
      <c r="AI90" s="960">
        <v>0</v>
      </c>
      <c r="AJ90" s="960">
        <v>0</v>
      </c>
      <c r="AK90" s="960">
        <v>0</v>
      </c>
      <c r="AL90" s="960">
        <v>0</v>
      </c>
      <c r="AM90" s="960">
        <v>0</v>
      </c>
      <c r="AN90" s="960">
        <v>0</v>
      </c>
      <c r="AO90" s="960">
        <v>0</v>
      </c>
      <c r="AP90" s="960">
        <v>0</v>
      </c>
      <c r="AQ90" s="960">
        <v>1</v>
      </c>
      <c r="AR90" s="960">
        <v>0</v>
      </c>
      <c r="AS90" s="960">
        <v>0</v>
      </c>
      <c r="AT90" s="960">
        <v>0</v>
      </c>
      <c r="AU90" s="960">
        <v>0</v>
      </c>
      <c r="AV90" s="960">
        <v>0</v>
      </c>
      <c r="AW90" s="960">
        <v>13.562670861429643</v>
      </c>
      <c r="AX90" s="960">
        <v>13.535784898592562</v>
      </c>
      <c r="AY90" s="960">
        <v>13.597290417709267</v>
      </c>
      <c r="AZ90" s="960">
        <v>13.571090676093069</v>
      </c>
      <c r="BA90" s="960">
        <v>13.039648369585201</v>
      </c>
      <c r="BB90" s="960">
        <v>7.2917843577291169E-2</v>
      </c>
      <c r="BC90" s="960">
        <v>8.0742262362809583E-2</v>
      </c>
      <c r="BD90" s="960">
        <v>4.4535677214209812E-2</v>
      </c>
      <c r="BE90" s="960">
        <v>1.7235659162812701E-2</v>
      </c>
      <c r="BF90" s="960">
        <v>0.12204483105716958</v>
      </c>
      <c r="BG90" s="960">
        <v>0.59084364224366648</v>
      </c>
      <c r="BH90" s="960">
        <v>0.60037452659049684</v>
      </c>
      <c r="BI90" s="960">
        <v>0.63931953518336793</v>
      </c>
      <c r="BJ90" s="960">
        <v>0.56968905703844819</v>
      </c>
      <c r="BK90" s="960">
        <v>0.54433541034237476</v>
      </c>
      <c r="BL90" s="960">
        <v>0.8391309577333067</v>
      </c>
      <c r="BM90" s="960">
        <v>0.7747189459278826</v>
      </c>
      <c r="BN90" s="960">
        <v>0.73243427710838127</v>
      </c>
      <c r="BO90" s="960">
        <v>0.66694526184708613</v>
      </c>
      <c r="BP90" s="960">
        <v>0.41115089110321862</v>
      </c>
      <c r="BQ90" s="960">
        <v>-1.7559384497775068E-2</v>
      </c>
      <c r="BR90" s="960">
        <v>-1.9683662265949767E-2</v>
      </c>
      <c r="BS90" s="960">
        <v>0.5576420481240667</v>
      </c>
      <c r="BT90" s="960">
        <v>9.4984124840993167E-2</v>
      </c>
      <c r="BU90" s="960">
        <v>378662.82907199999</v>
      </c>
      <c r="BV90" s="960">
        <v>389965.041708</v>
      </c>
      <c r="BW90" s="960">
        <v>395896.95126</v>
      </c>
      <c r="BX90" s="960">
        <v>505291.50041400001</v>
      </c>
      <c r="BY90" s="960">
        <v>510142.34862</v>
      </c>
      <c r="BZ90" s="960">
        <v>274649.19929700001</v>
      </c>
      <c r="CA90" s="960">
        <v>262181.58174599998</v>
      </c>
      <c r="CB90" s="960">
        <v>371044.06464</v>
      </c>
      <c r="CC90" s="960">
        <v>432618.820542</v>
      </c>
      <c r="CD90" s="960">
        <v>403964.14930799999</v>
      </c>
      <c r="CE90" s="960">
        <v>0.13906694012385584</v>
      </c>
      <c r="CF90" s="960">
        <v>3.120127076785266E-2</v>
      </c>
      <c r="CG90" s="960">
        <v>9.649632393321983E-2</v>
      </c>
      <c r="CH90" s="960">
        <v>0.1258779009610746</v>
      </c>
      <c r="CI90" s="960">
        <v>2.9270263735588525E-2</v>
      </c>
      <c r="CJ90" s="960">
        <v>9.4311441509811772E-2</v>
      </c>
      <c r="CK90" s="960">
        <v>0.11012231843909606</v>
      </c>
      <c r="CL90" s="960">
        <v>2.6713801732149631E-2</v>
      </c>
      <c r="CM90" s="960">
        <v>9.0438656173146295E-2</v>
      </c>
      <c r="CN90" s="960" t="s">
        <v>618</v>
      </c>
      <c r="CO90" s="960">
        <v>2102.1</v>
      </c>
    </row>
    <row r="91" spans="1:93">
      <c r="A91" s="960">
        <v>0</v>
      </c>
      <c r="B91" s="960" t="s">
        <v>618</v>
      </c>
      <c r="C91" s="960">
        <v>1</v>
      </c>
      <c r="D91" s="960">
        <v>0</v>
      </c>
      <c r="E91" s="960">
        <v>0</v>
      </c>
      <c r="F91" s="960">
        <v>0</v>
      </c>
      <c r="G91" s="960">
        <v>0</v>
      </c>
      <c r="H91" s="960">
        <v>0</v>
      </c>
      <c r="I91" s="960">
        <v>0</v>
      </c>
      <c r="J91" s="960">
        <v>0</v>
      </c>
      <c r="K91" s="960">
        <v>0</v>
      </c>
      <c r="L91" s="960">
        <v>0</v>
      </c>
      <c r="M91" s="960">
        <v>0</v>
      </c>
      <c r="N91" s="960" t="s">
        <v>1036</v>
      </c>
      <c r="O91" s="960">
        <v>0</v>
      </c>
      <c r="P91" s="960">
        <v>0</v>
      </c>
      <c r="Q91" s="960">
        <v>0</v>
      </c>
      <c r="R91" s="960">
        <v>0</v>
      </c>
      <c r="S91" s="960">
        <v>0</v>
      </c>
      <c r="T91" s="960">
        <v>0</v>
      </c>
      <c r="U91" s="960">
        <v>0</v>
      </c>
      <c r="V91" s="960">
        <v>0</v>
      </c>
      <c r="W91" s="960">
        <v>0</v>
      </c>
      <c r="X91" s="960">
        <v>0</v>
      </c>
      <c r="Y91" s="960">
        <v>0</v>
      </c>
      <c r="Z91" s="960">
        <v>0</v>
      </c>
      <c r="AA91" s="960">
        <v>0</v>
      </c>
      <c r="AB91" s="960">
        <v>0</v>
      </c>
      <c r="AC91" s="960">
        <v>0</v>
      </c>
      <c r="AD91" s="960">
        <v>0</v>
      </c>
      <c r="AE91" s="960">
        <v>0</v>
      </c>
      <c r="AF91" s="960">
        <v>2013</v>
      </c>
      <c r="AG91" s="960">
        <v>0</v>
      </c>
      <c r="AH91" s="960">
        <v>0</v>
      </c>
      <c r="AI91" s="960">
        <v>0</v>
      </c>
      <c r="AJ91" s="960">
        <v>0</v>
      </c>
      <c r="AK91" s="960">
        <v>0</v>
      </c>
      <c r="AL91" s="960">
        <v>0</v>
      </c>
      <c r="AM91" s="960">
        <v>0</v>
      </c>
      <c r="AN91" s="960">
        <v>0</v>
      </c>
      <c r="AO91" s="960">
        <v>0</v>
      </c>
      <c r="AP91" s="960">
        <v>0</v>
      </c>
      <c r="AQ91" s="960">
        <v>1</v>
      </c>
      <c r="AR91" s="960">
        <v>0</v>
      </c>
      <c r="AS91" s="960">
        <v>0</v>
      </c>
      <c r="AT91" s="960">
        <v>0</v>
      </c>
      <c r="AU91" s="960">
        <v>0</v>
      </c>
      <c r="AV91" s="960">
        <v>0</v>
      </c>
      <c r="AW91" s="960">
        <v>5.5501398496361292</v>
      </c>
      <c r="AX91" s="960">
        <v>5.1087840594836198</v>
      </c>
      <c r="AY91" s="960">
        <v>5.3278680619606043</v>
      </c>
      <c r="AZ91" s="960">
        <v>2.5336776074237815</v>
      </c>
      <c r="BA91" s="960">
        <v>3.537614606265135</v>
      </c>
      <c r="BB91" s="960">
        <v>-37.213789912077743</v>
      </c>
      <c r="BC91" s="960">
        <v>-107.90690690690691</v>
      </c>
      <c r="BD91" s="960">
        <v>6.464451313755796</v>
      </c>
      <c r="BE91" s="960">
        <v>272.13513513513516</v>
      </c>
      <c r="BF91" s="960">
        <v>-65.52000000000001</v>
      </c>
      <c r="BG91" s="960">
        <v>0.26287135594939753</v>
      </c>
      <c r="BH91" s="960">
        <v>0.3008028149076864</v>
      </c>
      <c r="BI91" s="960">
        <v>0.18887104990969014</v>
      </c>
      <c r="BJ91" s="960">
        <v>7.4848788009508702E-3</v>
      </c>
      <c r="BK91" s="960">
        <v>0.30404226184083344</v>
      </c>
      <c r="BL91" s="960">
        <v>8.119389974939226E-3</v>
      </c>
      <c r="BM91" s="960">
        <v>3.3669693231683888E-3</v>
      </c>
      <c r="BN91" s="960">
        <v>2.4970282662055976E-3</v>
      </c>
      <c r="BO91" s="960">
        <v>3.3959597257533065E-4</v>
      </c>
      <c r="BP91" s="960">
        <v>1.3424981205026314E-3</v>
      </c>
      <c r="BQ91" s="960">
        <v>0.10410239451129055</v>
      </c>
      <c r="BR91" s="960">
        <v>0.14628822656421284</v>
      </c>
      <c r="BS91" s="960">
        <v>1.7902534556954692</v>
      </c>
      <c r="BT91" s="960">
        <v>-0.1151712119311433</v>
      </c>
      <c r="BU91" s="960">
        <v>23356.889017000001</v>
      </c>
      <c r="BV91" s="960">
        <v>34362.029633999999</v>
      </c>
      <c r="BW91" s="960">
        <v>66916.026299999998</v>
      </c>
      <c r="BX91" s="960">
        <v>36824.325158</v>
      </c>
      <c r="BY91" s="960">
        <v>17825.252243999999</v>
      </c>
      <c r="BZ91" s="960">
        <v>0</v>
      </c>
      <c r="CA91" s="960">
        <v>9044.1497039999995</v>
      </c>
      <c r="CB91" s="960">
        <v>0</v>
      </c>
      <c r="CC91" s="960">
        <v>0</v>
      </c>
      <c r="CD91" s="960">
        <v>0</v>
      </c>
      <c r="CE91" s="960" t="e">
        <v>#DIV/0!</v>
      </c>
      <c r="CF91" s="960" t="e">
        <v>#DIV/0!</v>
      </c>
      <c r="CG91" s="960" t="e">
        <v>#DIV/0!</v>
      </c>
      <c r="CH91" s="960" t="e">
        <v>#DIV/0!</v>
      </c>
      <c r="CI91" s="960" t="e">
        <v>#DIV/0!</v>
      </c>
      <c r="CJ91" s="960" t="e">
        <v>#DIV/0!</v>
      </c>
      <c r="CK91" s="960">
        <v>-0.12638766987201128</v>
      </c>
      <c r="CL91" s="960">
        <v>9.3113365453082672E-2</v>
      </c>
      <c r="CM91" s="960">
        <v>1.9900556692201553E-2</v>
      </c>
      <c r="CN91" s="960" t="s">
        <v>618</v>
      </c>
      <c r="CO91" s="960">
        <v>2102.1</v>
      </c>
    </row>
    <row r="92" spans="1:93">
      <c r="A92" s="960">
        <v>0</v>
      </c>
      <c r="B92" s="960" t="s">
        <v>617</v>
      </c>
      <c r="C92" s="960">
        <v>0</v>
      </c>
      <c r="D92" s="960">
        <v>0</v>
      </c>
      <c r="E92" s="960">
        <v>0</v>
      </c>
      <c r="F92" s="960">
        <v>0</v>
      </c>
      <c r="G92" s="960">
        <v>0</v>
      </c>
      <c r="H92" s="960">
        <v>0</v>
      </c>
      <c r="I92" s="960">
        <v>0</v>
      </c>
      <c r="J92" s="960">
        <v>1</v>
      </c>
      <c r="K92" s="960">
        <v>0</v>
      </c>
      <c r="L92" s="960">
        <v>0</v>
      </c>
      <c r="M92" s="960">
        <v>0</v>
      </c>
      <c r="N92" s="960" t="s">
        <v>1036</v>
      </c>
      <c r="O92" s="960">
        <v>0</v>
      </c>
      <c r="P92" s="960">
        <v>0</v>
      </c>
      <c r="Q92" s="960">
        <v>0</v>
      </c>
      <c r="R92" s="960">
        <v>0</v>
      </c>
      <c r="S92" s="960">
        <v>0</v>
      </c>
      <c r="T92" s="960">
        <v>0</v>
      </c>
      <c r="U92" s="960">
        <v>0</v>
      </c>
      <c r="V92" s="960">
        <v>0</v>
      </c>
      <c r="W92" s="960">
        <v>0</v>
      </c>
      <c r="X92" s="960">
        <v>0</v>
      </c>
      <c r="Y92" s="960">
        <v>0</v>
      </c>
      <c r="Z92" s="960">
        <v>0</v>
      </c>
      <c r="AA92" s="960">
        <v>0</v>
      </c>
      <c r="AB92" s="960">
        <v>0</v>
      </c>
      <c r="AC92" s="960">
        <v>0</v>
      </c>
      <c r="AD92" s="960">
        <v>0</v>
      </c>
      <c r="AE92" s="960">
        <v>0</v>
      </c>
      <c r="AF92" s="960">
        <v>2012</v>
      </c>
      <c r="AG92" s="960">
        <v>0</v>
      </c>
      <c r="AH92" s="960">
        <v>0</v>
      </c>
      <c r="AI92" s="960">
        <v>0</v>
      </c>
      <c r="AJ92" s="960">
        <v>0</v>
      </c>
      <c r="AK92" s="960">
        <v>0</v>
      </c>
      <c r="AL92" s="960">
        <v>0</v>
      </c>
      <c r="AM92" s="960">
        <v>0</v>
      </c>
      <c r="AN92" s="960">
        <v>0</v>
      </c>
      <c r="AO92" s="960">
        <v>0</v>
      </c>
      <c r="AP92" s="960">
        <v>1</v>
      </c>
      <c r="AQ92" s="960">
        <v>0</v>
      </c>
      <c r="AR92" s="960">
        <v>0</v>
      </c>
      <c r="AS92" s="960">
        <v>0</v>
      </c>
      <c r="AT92" s="960">
        <v>0</v>
      </c>
      <c r="AU92" s="960">
        <v>0</v>
      </c>
      <c r="AV92" s="960">
        <v>0</v>
      </c>
      <c r="AW92" s="960">
        <v>11.382680096022749</v>
      </c>
      <c r="AX92" s="960">
        <v>11.381004203959231</v>
      </c>
      <c r="AY92" s="960">
        <v>11.377712659563167</v>
      </c>
      <c r="AZ92" s="960">
        <v>11.382714268674379</v>
      </c>
      <c r="BA92" s="960">
        <v>11.336975565983122</v>
      </c>
      <c r="BB92" s="960">
        <v>0.16756276484257529</v>
      </c>
      <c r="BC92" s="960">
        <v>0.2622288654853322</v>
      </c>
      <c r="BD92" s="960">
        <v>0.35384016576419813</v>
      </c>
      <c r="BE92" s="960">
        <v>-0.1011493205453862</v>
      </c>
      <c r="BF92" s="960">
        <v>-8.8999117640044839E-2</v>
      </c>
      <c r="BG92" s="960">
        <v>0.75276631120284376</v>
      </c>
      <c r="BH92" s="960">
        <v>0.76537898279042405</v>
      </c>
      <c r="BI92" s="960">
        <v>0.92196440707399219</v>
      </c>
      <c r="BJ92" s="960">
        <v>0.95641960113983826</v>
      </c>
      <c r="BK92" s="960">
        <v>0.95107356937725263</v>
      </c>
      <c r="BL92" s="960">
        <v>9.6791123106912583E-2</v>
      </c>
      <c r="BM92" s="960">
        <v>8.7669404887183444E-2</v>
      </c>
      <c r="BN92" s="960">
        <v>9.3637780555311384E-2</v>
      </c>
      <c r="BO92" s="960">
        <v>9.1335835095907258E-2</v>
      </c>
      <c r="BP92" s="960">
        <v>8.0822234643332116E-2</v>
      </c>
      <c r="BQ92" s="960">
        <v>4.0325915362436217E-2</v>
      </c>
      <c r="BR92" s="960">
        <v>0.57160469035601924</v>
      </c>
      <c r="BS92" s="960">
        <v>4.0737093580045486E-2</v>
      </c>
      <c r="BT92" s="960">
        <v>-2.9109162303260439E-2</v>
      </c>
      <c r="BU92" s="960">
        <v>224237</v>
      </c>
      <c r="BV92" s="960">
        <v>234545</v>
      </c>
      <c r="BW92" s="960">
        <v>72798</v>
      </c>
      <c r="BX92" s="960">
        <v>41889</v>
      </c>
      <c r="BY92" s="960">
        <v>50769</v>
      </c>
      <c r="BZ92" s="960">
        <v>660783</v>
      </c>
      <c r="CA92" s="960">
        <v>683671</v>
      </c>
      <c r="CB92" s="960">
        <v>778390</v>
      </c>
      <c r="CC92" s="960">
        <v>861360</v>
      </c>
      <c r="CD92" s="960">
        <v>919849</v>
      </c>
      <c r="CE92" s="960">
        <v>-8.1143752942058976E-3</v>
      </c>
      <c r="CF92" s="960">
        <v>-1.0309278350515464E-2</v>
      </c>
      <c r="CG92" s="960">
        <v>3.9708886290933852E-2</v>
      </c>
      <c r="CH92" s="960">
        <v>-1.4910475443280219E-2</v>
      </c>
      <c r="CI92" s="960">
        <v>-1.9098553549436029E-2</v>
      </c>
      <c r="CJ92" s="960">
        <v>6.9742987598272396E-2</v>
      </c>
      <c r="CK92" s="960">
        <v>-0.14701885008568222</v>
      </c>
      <c r="CL92" s="960">
        <v>-0.21198882761584187</v>
      </c>
      <c r="CM92" s="960">
        <v>0.42458584027033708</v>
      </c>
      <c r="CN92" s="960" t="s">
        <v>617</v>
      </c>
      <c r="CO92" s="960">
        <v>2030</v>
      </c>
    </row>
    <row r="93" spans="1:93">
      <c r="A93" s="960">
        <v>0</v>
      </c>
      <c r="B93" s="960" t="s">
        <v>617</v>
      </c>
      <c r="C93" s="960">
        <v>0</v>
      </c>
      <c r="D93" s="960">
        <v>0</v>
      </c>
      <c r="E93" s="960">
        <v>0</v>
      </c>
      <c r="F93" s="960">
        <v>0</v>
      </c>
      <c r="G93" s="960">
        <v>0</v>
      </c>
      <c r="H93" s="960">
        <v>0</v>
      </c>
      <c r="I93" s="960">
        <v>0</v>
      </c>
      <c r="J93" s="960">
        <v>1</v>
      </c>
      <c r="K93" s="960">
        <v>0</v>
      </c>
      <c r="L93" s="960">
        <v>0</v>
      </c>
      <c r="M93" s="960">
        <v>0</v>
      </c>
      <c r="N93" s="960" t="s">
        <v>1036</v>
      </c>
      <c r="O93" s="960">
        <v>0</v>
      </c>
      <c r="P93" s="960">
        <v>0</v>
      </c>
      <c r="Q93" s="960">
        <v>0</v>
      </c>
      <c r="R93" s="960">
        <v>0</v>
      </c>
      <c r="S93" s="960">
        <v>0</v>
      </c>
      <c r="T93" s="960">
        <v>0</v>
      </c>
      <c r="U93" s="960">
        <v>0</v>
      </c>
      <c r="V93" s="960">
        <v>0</v>
      </c>
      <c r="W93" s="960">
        <v>0</v>
      </c>
      <c r="X93" s="960">
        <v>0</v>
      </c>
      <c r="Y93" s="960">
        <v>0</v>
      </c>
      <c r="Z93" s="960">
        <v>0</v>
      </c>
      <c r="AA93" s="960">
        <v>0</v>
      </c>
      <c r="AB93" s="960">
        <v>0</v>
      </c>
      <c r="AC93" s="960">
        <v>0</v>
      </c>
      <c r="AD93" s="960">
        <v>0</v>
      </c>
      <c r="AE93" s="960">
        <v>0</v>
      </c>
      <c r="AF93" s="960">
        <v>2012</v>
      </c>
      <c r="AG93" s="960">
        <v>0</v>
      </c>
      <c r="AH93" s="960">
        <v>0</v>
      </c>
      <c r="AI93" s="960">
        <v>0</v>
      </c>
      <c r="AJ93" s="960">
        <v>0</v>
      </c>
      <c r="AK93" s="960">
        <v>0</v>
      </c>
      <c r="AL93" s="960">
        <v>0</v>
      </c>
      <c r="AM93" s="960">
        <v>0</v>
      </c>
      <c r="AN93" s="960">
        <v>0</v>
      </c>
      <c r="AO93" s="960">
        <v>0</v>
      </c>
      <c r="AP93" s="960">
        <v>1</v>
      </c>
      <c r="AQ93" s="960">
        <v>0</v>
      </c>
      <c r="AR93" s="960">
        <v>0</v>
      </c>
      <c r="AS93" s="960">
        <v>0</v>
      </c>
      <c r="AT93" s="960">
        <v>0</v>
      </c>
      <c r="AU93" s="960">
        <v>0</v>
      </c>
      <c r="AV93" s="960">
        <v>0</v>
      </c>
      <c r="AW93" s="960">
        <v>7.1680343848628336</v>
      </c>
      <c r="AX93" s="960">
        <v>6.4202787803654324</v>
      </c>
      <c r="AY93" s="960">
        <v>6.5616802215091603</v>
      </c>
      <c r="AZ93" s="960">
        <v>6.6334184335433415</v>
      </c>
      <c r="BA93" s="960">
        <v>8.6807849882260033</v>
      </c>
      <c r="BB93" s="960">
        <v>-3.4580101503399403</v>
      </c>
      <c r="BC93" s="960">
        <v>-2.7078797304302751</v>
      </c>
      <c r="BD93" s="960">
        <v>-2.1756919374247894</v>
      </c>
      <c r="BE93" s="960">
        <v>-6.0952273241348109</v>
      </c>
      <c r="BF93" s="960">
        <v>0.64536576489142305</v>
      </c>
      <c r="BG93" s="960">
        <v>0.4085868102784817</v>
      </c>
      <c r="BH93" s="960">
        <v>0.11660744991352869</v>
      </c>
      <c r="BI93" s="960">
        <v>4.9060360985678599E-2</v>
      </c>
      <c r="BJ93" s="960">
        <v>0.24707222955999275</v>
      </c>
      <c r="BK93" s="960">
        <v>0.2620668345584477</v>
      </c>
      <c r="BL93" s="960">
        <v>1.9273537320677481E-2</v>
      </c>
      <c r="BM93" s="960">
        <v>9.5589219082165104E-3</v>
      </c>
      <c r="BN93" s="960">
        <v>1.0801494271698525E-2</v>
      </c>
      <c r="BO93" s="960">
        <v>1.144951182244322E-2</v>
      </c>
      <c r="BP93" s="960">
        <v>7.660139951119331E-2</v>
      </c>
      <c r="BQ93" s="960">
        <v>-7.2936644786369284E-2</v>
      </c>
      <c r="BR93" s="960">
        <v>-9.1705780969027484E-2</v>
      </c>
      <c r="BS93" s="960">
        <v>-2.1191047667168426</v>
      </c>
      <c r="BT93" s="960">
        <v>-0.21300647357276911</v>
      </c>
      <c r="BU93" s="960">
        <v>39807.849022000002</v>
      </c>
      <c r="BV93" s="960">
        <v>56759.226105000002</v>
      </c>
      <c r="BW93" s="960">
        <v>62283.157799000001</v>
      </c>
      <c r="BX93" s="960">
        <v>49983.120671999997</v>
      </c>
      <c r="BY93" s="960">
        <v>56727.804671999998</v>
      </c>
      <c r="BZ93" s="960">
        <v>26313.302867999999</v>
      </c>
      <c r="CA93" s="960">
        <v>2228.0932200000002</v>
      </c>
      <c r="CB93" s="960">
        <v>1702.4997330000001</v>
      </c>
      <c r="CC93" s="960">
        <v>2291.4030720000001</v>
      </c>
      <c r="CD93" s="960">
        <v>15846.82308</v>
      </c>
      <c r="CE93" s="960">
        <v>0.23981742364476502</v>
      </c>
      <c r="CF93" s="960">
        <v>-2.0218337334933971</v>
      </c>
      <c r="CG93" s="960">
        <v>-0.9040904090409041</v>
      </c>
      <c r="CH93" s="960">
        <v>0.11228437473579153</v>
      </c>
      <c r="CI93" s="960">
        <v>-0.56932634564197826</v>
      </c>
      <c r="CJ93" s="960">
        <v>-6.7855725830311103E-2</v>
      </c>
      <c r="CK93" s="960">
        <v>6.6992620390892613E-2</v>
      </c>
      <c r="CL93" s="960">
        <v>-9.2688010786714722E-2</v>
      </c>
      <c r="CM93" s="960">
        <v>-2.4713160578134868E-2</v>
      </c>
      <c r="CN93" s="960" t="s">
        <v>617</v>
      </c>
      <c r="CO93" s="960">
        <v>2030</v>
      </c>
    </row>
    <row r="94" spans="1:93">
      <c r="A94" s="960">
        <v>0</v>
      </c>
      <c r="B94" s="960" t="s">
        <v>617</v>
      </c>
      <c r="C94" s="960">
        <v>0</v>
      </c>
      <c r="D94" s="960">
        <v>0</v>
      </c>
      <c r="E94" s="960">
        <v>0</v>
      </c>
      <c r="F94" s="960">
        <v>0</v>
      </c>
      <c r="G94" s="960">
        <v>0</v>
      </c>
      <c r="H94" s="960">
        <v>0</v>
      </c>
      <c r="I94" s="960">
        <v>0</v>
      </c>
      <c r="J94" s="960">
        <v>1</v>
      </c>
      <c r="K94" s="960">
        <v>0</v>
      </c>
      <c r="L94" s="960">
        <v>0</v>
      </c>
      <c r="M94" s="960">
        <v>0</v>
      </c>
      <c r="N94" s="960" t="s">
        <v>1036</v>
      </c>
      <c r="O94" s="960">
        <v>0</v>
      </c>
      <c r="P94" s="960">
        <v>0</v>
      </c>
      <c r="Q94" s="960">
        <v>0</v>
      </c>
      <c r="R94" s="960">
        <v>0</v>
      </c>
      <c r="S94" s="960">
        <v>0</v>
      </c>
      <c r="T94" s="960">
        <v>0</v>
      </c>
      <c r="U94" s="960">
        <v>0</v>
      </c>
      <c r="V94" s="960">
        <v>0</v>
      </c>
      <c r="W94" s="960">
        <v>0</v>
      </c>
      <c r="X94" s="960">
        <v>0</v>
      </c>
      <c r="Y94" s="960">
        <v>0</v>
      </c>
      <c r="Z94" s="960">
        <v>0</v>
      </c>
      <c r="AA94" s="960">
        <v>0</v>
      </c>
      <c r="AB94" s="960">
        <v>0</v>
      </c>
      <c r="AC94" s="960">
        <v>0</v>
      </c>
      <c r="AD94" s="960">
        <v>0</v>
      </c>
      <c r="AE94" s="960">
        <v>0</v>
      </c>
      <c r="AF94" s="960">
        <v>2012</v>
      </c>
      <c r="AG94" s="960">
        <v>0</v>
      </c>
      <c r="AH94" s="960">
        <v>0</v>
      </c>
      <c r="AI94" s="960">
        <v>0</v>
      </c>
      <c r="AJ94" s="960">
        <v>0</v>
      </c>
      <c r="AK94" s="960">
        <v>0</v>
      </c>
      <c r="AL94" s="960">
        <v>0</v>
      </c>
      <c r="AM94" s="960">
        <v>0</v>
      </c>
      <c r="AN94" s="960">
        <v>0</v>
      </c>
      <c r="AO94" s="960">
        <v>0</v>
      </c>
      <c r="AP94" s="960">
        <v>1</v>
      </c>
      <c r="AQ94" s="960">
        <v>0</v>
      </c>
      <c r="AR94" s="960">
        <v>0</v>
      </c>
      <c r="AS94" s="960">
        <v>0</v>
      </c>
      <c r="AT94" s="960">
        <v>0</v>
      </c>
      <c r="AU94" s="960">
        <v>0</v>
      </c>
      <c r="AV94" s="960">
        <v>0</v>
      </c>
      <c r="AW94" s="960">
        <v>10.66673906139933</v>
      </c>
      <c r="AX94" s="960">
        <v>10.764366927694565</v>
      </c>
      <c r="AY94" s="960">
        <v>10.610155140097312</v>
      </c>
      <c r="AZ94" s="960">
        <v>10.319925702805369</v>
      </c>
      <c r="BA94" s="960">
        <v>10.168465734511907</v>
      </c>
      <c r="BB94" s="960">
        <v>0.48183000026058481</v>
      </c>
      <c r="BC94" s="960">
        <v>0.51899040888440184</v>
      </c>
      <c r="BD94" s="960">
        <v>0.46082486782041215</v>
      </c>
      <c r="BE94" s="960">
        <v>0.38349742944434057</v>
      </c>
      <c r="BF94" s="960">
        <v>0.32642281157295444</v>
      </c>
      <c r="BG94" s="960">
        <v>0.89307305703909734</v>
      </c>
      <c r="BH94" s="960">
        <v>0.90738485529795787</v>
      </c>
      <c r="BI94" s="960">
        <v>0.89666645068890161</v>
      </c>
      <c r="BJ94" s="960">
        <v>0.90199653017756787</v>
      </c>
      <c r="BK94" s="960">
        <v>0.89930309937555131</v>
      </c>
      <c r="BL94" s="960">
        <v>3.1003299099964743E-2</v>
      </c>
      <c r="BM94" s="960">
        <v>2.6203722189574737E-2</v>
      </c>
      <c r="BN94" s="960">
        <v>2.6786079873077066E-2</v>
      </c>
      <c r="BO94" s="960">
        <v>2.1298084450856715E-2</v>
      </c>
      <c r="BP94" s="960">
        <v>1.9095592567003866E-2</v>
      </c>
      <c r="BQ94" s="960">
        <v>6.1104547025647308E-3</v>
      </c>
      <c r="BR94" s="960">
        <v>5.7553979681419259E-2</v>
      </c>
      <c r="BS94" s="960">
        <v>0.44168940558540482</v>
      </c>
      <c r="BT94" s="960">
        <v>-2.6366486866497008E-3</v>
      </c>
      <c r="BU94" s="960">
        <v>147973.911742</v>
      </c>
      <c r="BV94" s="960">
        <v>167195.344725</v>
      </c>
      <c r="BW94" s="960">
        <v>156409.64993799999</v>
      </c>
      <c r="BX94" s="960">
        <v>139568.59089600001</v>
      </c>
      <c r="BY94" s="960">
        <v>137464.80541200002</v>
      </c>
      <c r="BZ94" s="960">
        <v>38429.064648</v>
      </c>
      <c r="CA94" s="960">
        <v>49176.927450000003</v>
      </c>
      <c r="CB94" s="960">
        <v>39812.681275000003</v>
      </c>
      <c r="CC94" s="960">
        <v>40070.670527999995</v>
      </c>
      <c r="CD94" s="960">
        <v>22202.16174</v>
      </c>
      <c r="CE94" s="960">
        <v>0.38326026625909987</v>
      </c>
      <c r="CF94" s="960">
        <v>0.29028368916043118</v>
      </c>
      <c r="CG94" s="960">
        <v>0.46929541323639473</v>
      </c>
      <c r="CH94" s="960">
        <v>0.35090038232868048</v>
      </c>
      <c r="CI94" s="960">
        <v>0.27000264102884469</v>
      </c>
      <c r="CJ94" s="960">
        <v>0.43314519295201526</v>
      </c>
      <c r="CK94" s="960">
        <v>6.1900981814921971E-2</v>
      </c>
      <c r="CL94" s="960">
        <v>8.3341545496203512E-2</v>
      </c>
      <c r="CM94" s="960">
        <v>0.11945496149634123</v>
      </c>
      <c r="CN94" s="960" t="s">
        <v>617</v>
      </c>
      <c r="CO94" s="960">
        <v>2030</v>
      </c>
    </row>
    <row r="95" spans="1:93">
      <c r="A95" s="960">
        <v>0</v>
      </c>
      <c r="B95" s="960" t="s">
        <v>616</v>
      </c>
      <c r="C95" s="960">
        <v>0</v>
      </c>
      <c r="D95" s="960">
        <v>0</v>
      </c>
      <c r="E95" s="960">
        <v>0</v>
      </c>
      <c r="F95" s="960">
        <v>0</v>
      </c>
      <c r="G95" s="960">
        <v>0</v>
      </c>
      <c r="H95" s="960">
        <v>0</v>
      </c>
      <c r="I95" s="960">
        <v>1</v>
      </c>
      <c r="J95" s="960">
        <v>0</v>
      </c>
      <c r="K95" s="960">
        <v>0</v>
      </c>
      <c r="L95" s="960">
        <v>0</v>
      </c>
      <c r="M95" s="960">
        <v>0</v>
      </c>
      <c r="N95" s="960" t="s">
        <v>1036</v>
      </c>
      <c r="O95" s="960">
        <v>0</v>
      </c>
      <c r="P95" s="960">
        <v>0</v>
      </c>
      <c r="Q95" s="960">
        <v>0</v>
      </c>
      <c r="R95" s="960">
        <v>0</v>
      </c>
      <c r="S95" s="960">
        <v>0</v>
      </c>
      <c r="T95" s="960">
        <v>0</v>
      </c>
      <c r="U95" s="960">
        <v>0</v>
      </c>
      <c r="V95" s="960">
        <v>0</v>
      </c>
      <c r="W95" s="960">
        <v>0</v>
      </c>
      <c r="X95" s="960">
        <v>0</v>
      </c>
      <c r="Y95" s="960">
        <v>0</v>
      </c>
      <c r="Z95" s="960">
        <v>0</v>
      </c>
      <c r="AA95" s="960">
        <v>0</v>
      </c>
      <c r="AB95" s="960">
        <v>0</v>
      </c>
      <c r="AC95" s="960">
        <v>0</v>
      </c>
      <c r="AD95" s="960">
        <v>0</v>
      </c>
      <c r="AE95" s="960">
        <v>0</v>
      </c>
      <c r="AF95" s="960">
        <v>2006</v>
      </c>
      <c r="AG95" s="960">
        <v>0</v>
      </c>
      <c r="AH95" s="960">
        <v>0</v>
      </c>
      <c r="AI95" s="960">
        <v>0</v>
      </c>
      <c r="AJ95" s="960">
        <v>1</v>
      </c>
      <c r="AK95" s="960">
        <v>0</v>
      </c>
      <c r="AL95" s="960">
        <v>0</v>
      </c>
      <c r="AM95" s="960">
        <v>0</v>
      </c>
      <c r="AN95" s="960">
        <v>0</v>
      </c>
      <c r="AO95" s="960">
        <v>0</v>
      </c>
      <c r="AP95" s="960">
        <v>0</v>
      </c>
      <c r="AQ95" s="960">
        <v>0</v>
      </c>
      <c r="AR95" s="960">
        <v>0</v>
      </c>
      <c r="AS95" s="960">
        <v>0</v>
      </c>
      <c r="AT95" s="960">
        <v>0</v>
      </c>
      <c r="AU95" s="960">
        <v>0</v>
      </c>
      <c r="AV95" s="960">
        <v>0</v>
      </c>
      <c r="AW95" s="960">
        <v>11.411624163654226</v>
      </c>
      <c r="AX95" s="960">
        <v>11.507644108949034</v>
      </c>
      <c r="AY95" s="960">
        <v>11.279768870844498</v>
      </c>
      <c r="AZ95" s="960">
        <v>10.985505761074966</v>
      </c>
      <c r="BA95" s="960">
        <v>11.014302529848237</v>
      </c>
      <c r="BB95" s="960">
        <v>-1.5323523119655022E-2</v>
      </c>
      <c r="BC95" s="960">
        <v>2.4094186199928789E-2</v>
      </c>
      <c r="BD95" s="960">
        <v>7.7224373044815844E-2</v>
      </c>
      <c r="BE95" s="960">
        <v>5.1287748925994123E-2</v>
      </c>
      <c r="BF95" s="960">
        <v>1.4848304093267829E-3</v>
      </c>
      <c r="BG95" s="960">
        <v>0.5032114685169673</v>
      </c>
      <c r="BH95" s="960">
        <v>0.5150584208024328</v>
      </c>
      <c r="BI95" s="960">
        <v>0.66118695780549197</v>
      </c>
      <c r="BJ95" s="960">
        <v>0.6696940357025839</v>
      </c>
      <c r="BK95" s="960">
        <v>0.58493302220118659</v>
      </c>
      <c r="BL95" s="960">
        <v>0.77162693486203238</v>
      </c>
      <c r="BM95" s="960">
        <v>0.63685293105412977</v>
      </c>
      <c r="BN95" s="960">
        <v>1.3016098870970012</v>
      </c>
      <c r="BO95" s="960">
        <v>1.3916718513582664</v>
      </c>
      <c r="BP95" s="960">
        <v>1.0748836006207967</v>
      </c>
      <c r="BQ95" s="960">
        <v>9.8919987623311029E-2</v>
      </c>
      <c r="BR95" s="960">
        <v>0.29282577426514023</v>
      </c>
      <c r="BS95" s="960">
        <v>0.26546634099625938</v>
      </c>
      <c r="BT95" s="960">
        <v>7.6253935604305378E-2</v>
      </c>
      <c r="BU95" s="960">
        <v>58179.446649999998</v>
      </c>
      <c r="BV95" s="960">
        <v>75745.819445999994</v>
      </c>
      <c r="BW95" s="960">
        <v>20616.771543999999</v>
      </c>
      <c r="BX95" s="960">
        <v>14006.634192</v>
      </c>
      <c r="BY95" s="960">
        <v>23453.338803999999</v>
      </c>
      <c r="BZ95" s="960">
        <v>15668.484129999999</v>
      </c>
      <c r="CA95" s="960">
        <v>22688.813414</v>
      </c>
      <c r="CB95" s="960">
        <v>17163.389159999999</v>
      </c>
      <c r="CC95" s="960">
        <v>10742.728128000001</v>
      </c>
      <c r="CD95" s="960">
        <v>8973.7366569999995</v>
      </c>
      <c r="CE95" s="960">
        <v>1.004972883059276E-2</v>
      </c>
      <c r="CF95" s="960">
        <v>0.2817368053940944</v>
      </c>
      <c r="CG95" s="960">
        <v>0.35636309256766863</v>
      </c>
      <c r="CH95" s="960">
        <v>7.4744586817737102E-3</v>
      </c>
      <c r="CI95" s="960">
        <v>0.26005125998507228</v>
      </c>
      <c r="CJ95" s="960">
        <v>0.33613863652897319</v>
      </c>
      <c r="CK95" s="960">
        <v>3.8452358853324139E-3</v>
      </c>
      <c r="CL95" s="960">
        <v>0.21608488252864341</v>
      </c>
      <c r="CM95" s="960">
        <v>0.29667101015047265</v>
      </c>
      <c r="CN95" s="960" t="s">
        <v>616</v>
      </c>
      <c r="CO95" s="960">
        <v>1418.1999999999998</v>
      </c>
    </row>
    <row r="96" spans="1:93">
      <c r="A96" s="960">
        <v>0</v>
      </c>
      <c r="B96" s="960" t="s">
        <v>616</v>
      </c>
      <c r="C96" s="960">
        <v>0</v>
      </c>
      <c r="D96" s="960">
        <v>0</v>
      </c>
      <c r="E96" s="960">
        <v>0</v>
      </c>
      <c r="F96" s="960">
        <v>0</v>
      </c>
      <c r="G96" s="960">
        <v>0</v>
      </c>
      <c r="H96" s="960">
        <v>0</v>
      </c>
      <c r="I96" s="960">
        <v>1</v>
      </c>
      <c r="J96" s="960">
        <v>0</v>
      </c>
      <c r="K96" s="960">
        <v>0</v>
      </c>
      <c r="L96" s="960">
        <v>0</v>
      </c>
      <c r="M96" s="960">
        <v>0</v>
      </c>
      <c r="N96" s="960" t="s">
        <v>1036</v>
      </c>
      <c r="O96" s="960">
        <v>0</v>
      </c>
      <c r="P96" s="960">
        <v>0</v>
      </c>
      <c r="Q96" s="960">
        <v>0</v>
      </c>
      <c r="R96" s="960">
        <v>0</v>
      </c>
      <c r="S96" s="960">
        <v>0</v>
      </c>
      <c r="T96" s="960">
        <v>0</v>
      </c>
      <c r="U96" s="960">
        <v>0</v>
      </c>
      <c r="V96" s="960">
        <v>0</v>
      </c>
      <c r="W96" s="960">
        <v>0</v>
      </c>
      <c r="X96" s="960">
        <v>0</v>
      </c>
      <c r="Y96" s="960">
        <v>0</v>
      </c>
      <c r="Z96" s="960">
        <v>0</v>
      </c>
      <c r="AA96" s="960">
        <v>0</v>
      </c>
      <c r="AB96" s="960">
        <v>0</v>
      </c>
      <c r="AC96" s="960">
        <v>0</v>
      </c>
      <c r="AD96" s="960">
        <v>0</v>
      </c>
      <c r="AE96" s="960">
        <v>0</v>
      </c>
      <c r="AF96" s="960">
        <v>2006</v>
      </c>
      <c r="AG96" s="960">
        <v>0</v>
      </c>
      <c r="AH96" s="960">
        <v>0</v>
      </c>
      <c r="AI96" s="960">
        <v>0</v>
      </c>
      <c r="AJ96" s="960">
        <v>1</v>
      </c>
      <c r="AK96" s="960">
        <v>0</v>
      </c>
      <c r="AL96" s="960">
        <v>0</v>
      </c>
      <c r="AM96" s="960">
        <v>0</v>
      </c>
      <c r="AN96" s="960">
        <v>0</v>
      </c>
      <c r="AO96" s="960">
        <v>0</v>
      </c>
      <c r="AP96" s="960">
        <v>0</v>
      </c>
      <c r="AQ96" s="960">
        <v>0</v>
      </c>
      <c r="AR96" s="960">
        <v>0</v>
      </c>
      <c r="AS96" s="960">
        <v>0</v>
      </c>
      <c r="AT96" s="960">
        <v>0</v>
      </c>
      <c r="AU96" s="960">
        <v>0</v>
      </c>
      <c r="AV96" s="960">
        <v>0</v>
      </c>
      <c r="AW96" s="960">
        <v>14.661689832968051</v>
      </c>
      <c r="AX96" s="960">
        <v>14.791971668567975</v>
      </c>
      <c r="AY96" s="960">
        <v>14.631070420189788</v>
      </c>
      <c r="AZ96" s="960">
        <v>14.127014138827278</v>
      </c>
      <c r="BA96" s="960">
        <v>13.20208069522125</v>
      </c>
      <c r="BB96" s="960">
        <v>2.6254455717027694E-2</v>
      </c>
      <c r="BC96" s="960">
        <v>2.9191890464388741E-2</v>
      </c>
      <c r="BD96" s="960">
        <v>3.203560857815492E-2</v>
      </c>
      <c r="BE96" s="960">
        <v>-4.961701154681605E-3</v>
      </c>
      <c r="BF96" s="960">
        <v>-4.3933955491744434E-2</v>
      </c>
      <c r="BG96" s="960">
        <v>0.60690329793180553</v>
      </c>
      <c r="BH96" s="960">
        <v>0.65488221586312645</v>
      </c>
      <c r="BI96" s="960">
        <v>0.68765428426969621</v>
      </c>
      <c r="BJ96" s="960">
        <v>0.72786793682316064</v>
      </c>
      <c r="BK96" s="960">
        <v>0.949918943955535</v>
      </c>
      <c r="BL96" s="960">
        <v>2.0385690329793182</v>
      </c>
      <c r="BM96" s="960">
        <v>1.7830984895135291</v>
      </c>
      <c r="BN96" s="960">
        <v>1.9644737233441394</v>
      </c>
      <c r="BO96" s="960">
        <v>1.3570918794799391</v>
      </c>
      <c r="BP96" s="960">
        <v>2.0162691060676243</v>
      </c>
      <c r="BQ96" s="960">
        <v>0.15151578842847779</v>
      </c>
      <c r="BR96" s="960">
        <v>1.9702715585140405</v>
      </c>
      <c r="BS96" s="960">
        <v>1.4289897249685384</v>
      </c>
      <c r="BT96" s="960">
        <v>-0.26226465968583879</v>
      </c>
      <c r="BU96" s="960">
        <v>449433.01</v>
      </c>
      <c r="BV96" s="960">
        <v>513882.32380000001</v>
      </c>
      <c r="BW96" s="960">
        <v>359403.64479999995</v>
      </c>
      <c r="BX96" s="960">
        <v>273813.43199999997</v>
      </c>
      <c r="BY96" s="960">
        <v>13449.798499999999</v>
      </c>
      <c r="BZ96" s="960">
        <v>17574.7</v>
      </c>
      <c r="CA96" s="960">
        <v>28136.509000000002</v>
      </c>
      <c r="CB96" s="960">
        <v>19369.878399999998</v>
      </c>
      <c r="CC96" s="960">
        <v>10100.187599999999</v>
      </c>
      <c r="CD96" s="960">
        <v>4509.1809999999996</v>
      </c>
      <c r="CE96" s="960">
        <v>-5.2758620689655178</v>
      </c>
      <c r="CF96" s="960">
        <v>-0.67078825347758886</v>
      </c>
      <c r="CG96" s="960">
        <v>3.7385159010600706</v>
      </c>
      <c r="CH96" s="960">
        <v>-5.1002240021721432</v>
      </c>
      <c r="CI96" s="960">
        <v>-0.49497874644936862</v>
      </c>
      <c r="CJ96" s="960">
        <v>2.6337395874374652</v>
      </c>
      <c r="CK96" s="960">
        <v>-1.7687861271676302</v>
      </c>
      <c r="CL96" s="960">
        <v>-2.4743443557582671E-2</v>
      </c>
      <c r="CM96" s="960">
        <v>0.2014854313464102</v>
      </c>
      <c r="CN96" s="960" t="s">
        <v>616</v>
      </c>
      <c r="CO96" s="960">
        <v>1418.1999999999998</v>
      </c>
    </row>
    <row r="97" spans="1:93">
      <c r="A97" s="960">
        <v>0</v>
      </c>
      <c r="B97" s="960" t="s">
        <v>616</v>
      </c>
      <c r="C97" s="960">
        <v>0</v>
      </c>
      <c r="D97" s="960">
        <v>0</v>
      </c>
      <c r="E97" s="960">
        <v>0</v>
      </c>
      <c r="F97" s="960">
        <v>0</v>
      </c>
      <c r="G97" s="960">
        <v>0</v>
      </c>
      <c r="H97" s="960">
        <v>0</v>
      </c>
      <c r="I97" s="960">
        <v>1</v>
      </c>
      <c r="J97" s="960">
        <v>0</v>
      </c>
      <c r="K97" s="960">
        <v>0</v>
      </c>
      <c r="L97" s="960">
        <v>0</v>
      </c>
      <c r="M97" s="960">
        <v>0</v>
      </c>
      <c r="N97" s="960" t="s">
        <v>1036</v>
      </c>
      <c r="O97" s="960">
        <v>0</v>
      </c>
      <c r="P97" s="960">
        <v>0</v>
      </c>
      <c r="Q97" s="960">
        <v>0</v>
      </c>
      <c r="R97" s="960">
        <v>0</v>
      </c>
      <c r="S97" s="960">
        <v>0</v>
      </c>
      <c r="T97" s="960">
        <v>0</v>
      </c>
      <c r="U97" s="960">
        <v>0</v>
      </c>
      <c r="V97" s="960">
        <v>0</v>
      </c>
      <c r="W97" s="960">
        <v>0</v>
      </c>
      <c r="X97" s="960">
        <v>0</v>
      </c>
      <c r="Y97" s="960">
        <v>0</v>
      </c>
      <c r="Z97" s="960">
        <v>0</v>
      </c>
      <c r="AA97" s="960">
        <v>0</v>
      </c>
      <c r="AB97" s="960">
        <v>0</v>
      </c>
      <c r="AC97" s="960">
        <v>0</v>
      </c>
      <c r="AD97" s="960">
        <v>0</v>
      </c>
      <c r="AE97" s="960">
        <v>0</v>
      </c>
      <c r="AF97" s="960">
        <v>2006</v>
      </c>
      <c r="AG97" s="960">
        <v>0</v>
      </c>
      <c r="AH97" s="960">
        <v>0</v>
      </c>
      <c r="AI97" s="960">
        <v>0</v>
      </c>
      <c r="AJ97" s="960">
        <v>1</v>
      </c>
      <c r="AK97" s="960">
        <v>0</v>
      </c>
      <c r="AL97" s="960">
        <v>0</v>
      </c>
      <c r="AM97" s="960">
        <v>0</v>
      </c>
      <c r="AN97" s="960">
        <v>0</v>
      </c>
      <c r="AO97" s="960">
        <v>0</v>
      </c>
      <c r="AP97" s="960">
        <v>0</v>
      </c>
      <c r="AQ97" s="960">
        <v>0</v>
      </c>
      <c r="AR97" s="960">
        <v>0</v>
      </c>
      <c r="AS97" s="960">
        <v>0</v>
      </c>
      <c r="AT97" s="960">
        <v>0</v>
      </c>
      <c r="AU97" s="960">
        <v>0</v>
      </c>
      <c r="AV97" s="960">
        <v>0</v>
      </c>
      <c r="AW97" s="960">
        <v>11.491672719412607</v>
      </c>
      <c r="AX97" s="960">
        <v>11.400570537746098</v>
      </c>
      <c r="AY97" s="960">
        <v>10.896369223585648</v>
      </c>
      <c r="AZ97" s="960">
        <v>10.415514234902389</v>
      </c>
      <c r="BA97" s="960">
        <v>10.083228846062099</v>
      </c>
      <c r="BB97" s="960">
        <v>4.6442361988321273E-2</v>
      </c>
      <c r="BC97" s="960">
        <v>0.17642917204781275</v>
      </c>
      <c r="BD97" s="960">
        <v>3.9522484197980129E-2</v>
      </c>
      <c r="BE97" s="960">
        <v>-8.5090558694757318E-2</v>
      </c>
      <c r="BF97" s="960">
        <v>1.818075529054133E-2</v>
      </c>
      <c r="BG97" s="960">
        <v>0.26625744174386284</v>
      </c>
      <c r="BH97" s="960">
        <v>0.2553000520357428</v>
      </c>
      <c r="BI97" s="960">
        <v>0.132895572971828</v>
      </c>
      <c r="BJ97" s="960">
        <v>0.11170275201946368</v>
      </c>
      <c r="BK97" s="960">
        <v>0.10923027296047678</v>
      </c>
      <c r="BL97" s="960">
        <v>0.74568098953896478</v>
      </c>
      <c r="BM97" s="960">
        <v>0.61883444915560171</v>
      </c>
      <c r="BN97" s="960">
        <v>0.51401430596516384</v>
      </c>
      <c r="BO97" s="960">
        <v>0.38021050085544872</v>
      </c>
      <c r="BP97" s="960">
        <v>0.47296969324587951</v>
      </c>
      <c r="BQ97" s="960">
        <v>1.171617603229818E-2</v>
      </c>
      <c r="BR97" s="960">
        <v>1.3775303176084341E-2</v>
      </c>
      <c r="BS97" s="960">
        <v>0.81314037752354873</v>
      </c>
      <c r="BT97" s="960">
        <v>2.3665300011351212E-2</v>
      </c>
      <c r="BU97" s="960">
        <v>96329.646789999999</v>
      </c>
      <c r="BV97" s="960">
        <v>107550.322418</v>
      </c>
      <c r="BW97" s="960">
        <v>91060.330815999987</v>
      </c>
      <c r="BX97" s="960">
        <v>77971.262759999998</v>
      </c>
      <c r="BY97" s="960">
        <v>45084.035549999993</v>
      </c>
      <c r="BZ97" s="960">
        <v>0</v>
      </c>
      <c r="CA97" s="960">
        <v>0</v>
      </c>
      <c r="CB97" s="960">
        <v>0</v>
      </c>
      <c r="CC97" s="960">
        <v>0</v>
      </c>
      <c r="CD97" s="960">
        <v>0</v>
      </c>
      <c r="CE97" s="960" t="e">
        <v>#DIV/0!</v>
      </c>
      <c r="CF97" s="960" t="e">
        <v>#DIV/0!</v>
      </c>
      <c r="CG97" s="960" t="e">
        <v>#DIV/0!</v>
      </c>
      <c r="CH97" s="960" t="e">
        <v>#DIV/0!</v>
      </c>
      <c r="CI97" s="960" t="e">
        <v>#DIV/0!</v>
      </c>
      <c r="CJ97" s="960" t="e">
        <v>#DIV/0!</v>
      </c>
      <c r="CK97" s="960">
        <v>9.6533885152612527E-3</v>
      </c>
      <c r="CL97" s="960">
        <v>-3.6420605842192727E-2</v>
      </c>
      <c r="CM97" s="960">
        <v>2.3428691691345593E-2</v>
      </c>
      <c r="CN97" s="960" t="s">
        <v>616</v>
      </c>
      <c r="CO97" s="960">
        <v>1418.1999999999998</v>
      </c>
    </row>
    <row r="98" spans="1:93">
      <c r="A98" s="960">
        <v>0</v>
      </c>
      <c r="B98" s="960" t="s">
        <v>612</v>
      </c>
      <c r="C98" s="960">
        <v>0</v>
      </c>
      <c r="D98" s="960">
        <v>0</v>
      </c>
      <c r="E98" s="960">
        <v>1</v>
      </c>
      <c r="F98" s="960">
        <v>0</v>
      </c>
      <c r="G98" s="960">
        <v>0</v>
      </c>
      <c r="H98" s="960">
        <v>0</v>
      </c>
      <c r="I98" s="960">
        <v>0</v>
      </c>
      <c r="J98" s="960">
        <v>0</v>
      </c>
      <c r="K98" s="960">
        <v>0</v>
      </c>
      <c r="L98" s="960">
        <v>0</v>
      </c>
      <c r="M98" s="960">
        <v>0</v>
      </c>
      <c r="N98" s="960" t="s">
        <v>1036</v>
      </c>
      <c r="O98" s="960">
        <v>0</v>
      </c>
      <c r="P98" s="960">
        <v>0</v>
      </c>
      <c r="Q98" s="960">
        <v>0</v>
      </c>
      <c r="R98" s="960">
        <v>0</v>
      </c>
      <c r="S98" s="960">
        <v>0</v>
      </c>
      <c r="T98" s="960">
        <v>0</v>
      </c>
      <c r="U98" s="960">
        <v>0</v>
      </c>
      <c r="V98" s="960">
        <v>0</v>
      </c>
      <c r="W98" s="960">
        <v>0</v>
      </c>
      <c r="X98" s="960">
        <v>0</v>
      </c>
      <c r="Y98" s="960">
        <v>0</v>
      </c>
      <c r="Z98" s="960">
        <v>0</v>
      </c>
      <c r="AA98" s="960">
        <v>0</v>
      </c>
      <c r="AB98" s="960">
        <v>0</v>
      </c>
      <c r="AC98" s="960">
        <v>0</v>
      </c>
      <c r="AD98" s="960">
        <v>0</v>
      </c>
      <c r="AE98" s="960">
        <v>0</v>
      </c>
      <c r="AF98" s="960">
        <v>2015</v>
      </c>
      <c r="AG98" s="960">
        <v>0</v>
      </c>
      <c r="AH98" s="960">
        <v>0</v>
      </c>
      <c r="AI98" s="960">
        <v>0</v>
      </c>
      <c r="AJ98" s="960">
        <v>0</v>
      </c>
      <c r="AK98" s="960">
        <v>0</v>
      </c>
      <c r="AL98" s="960">
        <v>0</v>
      </c>
      <c r="AM98" s="960">
        <v>0</v>
      </c>
      <c r="AN98" s="960">
        <v>0</v>
      </c>
      <c r="AO98" s="960">
        <v>0</v>
      </c>
      <c r="AP98" s="960">
        <v>0</v>
      </c>
      <c r="AQ98" s="960">
        <v>0</v>
      </c>
      <c r="AR98" s="960">
        <v>0</v>
      </c>
      <c r="AS98" s="960">
        <v>1</v>
      </c>
      <c r="AT98" s="960">
        <v>0</v>
      </c>
      <c r="AU98" s="960">
        <v>0</v>
      </c>
      <c r="AV98" s="960">
        <v>0</v>
      </c>
      <c r="AW98" s="960">
        <v>8.3660927957385809</v>
      </c>
      <c r="AX98" s="960">
        <v>8.408280264075751</v>
      </c>
      <c r="AY98" s="960">
        <v>8.5324084551841928</v>
      </c>
      <c r="AZ98" s="960">
        <v>8.7992013695297562</v>
      </c>
      <c r="BA98" s="960">
        <v>8.6813180122799594</v>
      </c>
      <c r="BB98" s="960">
        <v>-0.64221364221364219</v>
      </c>
      <c r="BC98" s="960">
        <v>-2.4301528160267831</v>
      </c>
      <c r="BD98" s="960">
        <v>-0.34618451292153279</v>
      </c>
      <c r="BE98" s="960">
        <v>8.6840823057606528E-2</v>
      </c>
      <c r="BF98" s="960">
        <v>-1.0878141042961362</v>
      </c>
      <c r="BG98" s="960">
        <v>0.92739533195889434</v>
      </c>
      <c r="BH98" s="960">
        <v>0.88400747381758105</v>
      </c>
      <c r="BI98" s="960">
        <v>0.8224271483186677</v>
      </c>
      <c r="BJ98" s="960">
        <v>0.75396210036202937</v>
      </c>
      <c r="BK98" s="960">
        <v>0.71939367399717535</v>
      </c>
      <c r="BL98" s="960">
        <v>2.7886221981185871E-2</v>
      </c>
      <c r="BM98" s="960">
        <v>2.970120767910699E-2</v>
      </c>
      <c r="BN98" s="960">
        <v>3.2269049500095348E-2</v>
      </c>
      <c r="BO98" s="960">
        <v>5.2639262920106934E-2</v>
      </c>
      <c r="BP98" s="960">
        <v>4.2426312796903946E-2</v>
      </c>
      <c r="BQ98" s="960">
        <v>3.4980896270120423E-2</v>
      </c>
      <c r="BR98" s="960">
        <v>0.10156296412009656</v>
      </c>
      <c r="BS98" s="960">
        <v>-0.14890955709576714</v>
      </c>
      <c r="BT98" s="960">
        <v>0.10303347432149235</v>
      </c>
      <c r="BU98" s="960">
        <v>11192.38911</v>
      </c>
      <c r="BV98" s="960">
        <v>17511.591570000001</v>
      </c>
      <c r="BW98" s="960">
        <v>27936.143609000002</v>
      </c>
      <c r="BX98" s="960">
        <v>30983.952015999999</v>
      </c>
      <c r="BY98" s="960">
        <v>38968.070489999998</v>
      </c>
      <c r="BZ98" s="960">
        <v>137722.87974</v>
      </c>
      <c r="CA98" s="960">
        <v>131745.59505800001</v>
      </c>
      <c r="CB98" s="960">
        <v>127459.927595</v>
      </c>
      <c r="CC98" s="960">
        <v>92058.174203999995</v>
      </c>
      <c r="CD98" s="960">
        <v>92987.709839999996</v>
      </c>
      <c r="CE98" s="960">
        <v>-6.8925137644835238E-2</v>
      </c>
      <c r="CF98" s="960">
        <v>6.2532554982497905E-3</v>
      </c>
      <c r="CG98" s="960">
        <v>-1.3788336610266063E-2</v>
      </c>
      <c r="CH98" s="960">
        <v>-9.5736359201945676E-2</v>
      </c>
      <c r="CI98" s="960">
        <v>9.2859545666886551E-3</v>
      </c>
      <c r="CJ98" s="960">
        <v>-2.2510964577092861E-2</v>
      </c>
      <c r="CK98" s="960">
        <v>-0.1644728779076893</v>
      </c>
      <c r="CL98" s="960">
        <v>1.8579401481861629E-2</v>
      </c>
      <c r="CM98" s="960">
        <v>-6.2909913787592739E-2</v>
      </c>
      <c r="CN98" s="960" t="s">
        <v>612</v>
      </c>
      <c r="CO98" s="960">
        <v>2311.5</v>
      </c>
    </row>
    <row r="99" spans="1:93">
      <c r="A99" s="960">
        <v>0</v>
      </c>
      <c r="B99" s="960" t="s">
        <v>612</v>
      </c>
      <c r="C99" s="960">
        <v>0</v>
      </c>
      <c r="D99" s="960">
        <v>0</v>
      </c>
      <c r="E99" s="960">
        <v>1</v>
      </c>
      <c r="F99" s="960">
        <v>0</v>
      </c>
      <c r="G99" s="960">
        <v>0</v>
      </c>
      <c r="H99" s="960">
        <v>0</v>
      </c>
      <c r="I99" s="960">
        <v>0</v>
      </c>
      <c r="J99" s="960">
        <v>0</v>
      </c>
      <c r="K99" s="960">
        <v>0</v>
      </c>
      <c r="L99" s="960">
        <v>0</v>
      </c>
      <c r="M99" s="960">
        <v>0</v>
      </c>
      <c r="N99" s="960" t="s">
        <v>1036</v>
      </c>
      <c r="O99" s="960">
        <v>0</v>
      </c>
      <c r="P99" s="960">
        <v>0</v>
      </c>
      <c r="Q99" s="960">
        <v>0</v>
      </c>
      <c r="R99" s="960">
        <v>0</v>
      </c>
      <c r="S99" s="960">
        <v>0</v>
      </c>
      <c r="T99" s="960">
        <v>0</v>
      </c>
      <c r="U99" s="960">
        <v>0</v>
      </c>
      <c r="V99" s="960">
        <v>0</v>
      </c>
      <c r="W99" s="960">
        <v>0</v>
      </c>
      <c r="X99" s="960">
        <v>0</v>
      </c>
      <c r="Y99" s="960">
        <v>0</v>
      </c>
      <c r="Z99" s="960">
        <v>0</v>
      </c>
      <c r="AA99" s="960">
        <v>0</v>
      </c>
      <c r="AB99" s="960">
        <v>0</v>
      </c>
      <c r="AC99" s="960">
        <v>0</v>
      </c>
      <c r="AD99" s="960">
        <v>0</v>
      </c>
      <c r="AE99" s="960">
        <v>0</v>
      </c>
      <c r="AF99" s="960">
        <v>2015</v>
      </c>
      <c r="AG99" s="960">
        <v>0</v>
      </c>
      <c r="AH99" s="960">
        <v>0</v>
      </c>
      <c r="AI99" s="960">
        <v>0</v>
      </c>
      <c r="AJ99" s="960">
        <v>0</v>
      </c>
      <c r="AK99" s="960">
        <v>0</v>
      </c>
      <c r="AL99" s="960">
        <v>0</v>
      </c>
      <c r="AM99" s="960">
        <v>0</v>
      </c>
      <c r="AN99" s="960">
        <v>0</v>
      </c>
      <c r="AO99" s="960">
        <v>0</v>
      </c>
      <c r="AP99" s="960">
        <v>0</v>
      </c>
      <c r="AQ99" s="960">
        <v>0</v>
      </c>
      <c r="AR99" s="960">
        <v>0</v>
      </c>
      <c r="AS99" s="960">
        <v>1</v>
      </c>
      <c r="AT99" s="960">
        <v>0</v>
      </c>
      <c r="AU99" s="960">
        <v>0</v>
      </c>
      <c r="AV99" s="960">
        <v>0</v>
      </c>
      <c r="AW99" s="960">
        <v>13.310793803452981</v>
      </c>
      <c r="AX99" s="960">
        <v>13.032953393191004</v>
      </c>
      <c r="AY99" s="960">
        <v>12.635633469832063</v>
      </c>
      <c r="AZ99" s="960">
        <v>13.026216478960574</v>
      </c>
      <c r="BA99" s="960">
        <v>13.333764885134082</v>
      </c>
      <c r="BB99" s="960">
        <v>-1.199107349246807</v>
      </c>
      <c r="BC99" s="960">
        <v>-9.135276312082577E-2</v>
      </c>
      <c r="BD99" s="960">
        <v>-0.32018577933493508</v>
      </c>
      <c r="BE99" s="960">
        <v>-0.43878516176325782</v>
      </c>
      <c r="BF99" s="960">
        <v>2.9213645886407638E-2</v>
      </c>
      <c r="BG99" s="960">
        <v>1.0269075688734814</v>
      </c>
      <c r="BH99" s="960">
        <v>0.86257834917994014</v>
      </c>
      <c r="BI99" s="960">
        <v>0.84492954955475641</v>
      </c>
      <c r="BJ99" s="960">
        <v>0.77411100872661998</v>
      </c>
      <c r="BK99" s="960">
        <v>0.71500420264005582</v>
      </c>
      <c r="BL99" s="960">
        <v>0.15531100046532298</v>
      </c>
      <c r="BM99" s="960">
        <v>0.10458771591197974</v>
      </c>
      <c r="BN99" s="960">
        <v>0.11583376426819182</v>
      </c>
      <c r="BO99" s="960">
        <v>0.2251736137736314</v>
      </c>
      <c r="BP99" s="960">
        <v>0.21865071699586408</v>
      </c>
      <c r="BQ99" s="960">
        <v>-4.3475908704636468E-2</v>
      </c>
      <c r="BR99" s="960">
        <v>-0.26158371066879188</v>
      </c>
      <c r="BS99" s="960">
        <v>-0.69813141530201839</v>
      </c>
      <c r="BT99" s="960">
        <v>0.12992534691470059</v>
      </c>
      <c r="BU99" s="960">
        <v>-104586.71971200001</v>
      </c>
      <c r="BV99" s="960">
        <v>600778.40266400005</v>
      </c>
      <c r="BW99" s="960">
        <v>411414.666531</v>
      </c>
      <c r="BX99" s="960">
        <v>455608.17194999999</v>
      </c>
      <c r="BY99" s="960">
        <v>805133.80674000003</v>
      </c>
      <c r="BZ99" s="960">
        <v>589636.10667000001</v>
      </c>
      <c r="CA99" s="960">
        <v>3526361.1741380002</v>
      </c>
      <c r="CB99" s="960">
        <v>2121877.928357</v>
      </c>
      <c r="CC99" s="960">
        <v>1171196.7651520001</v>
      </c>
      <c r="CD99" s="960">
        <v>1687584.48591</v>
      </c>
      <c r="CE99" s="960">
        <v>1.0693029107973425E-2</v>
      </c>
      <c r="CF99" s="960">
        <v>-0.17015158753459925</v>
      </c>
      <c r="CG99" s="960">
        <v>-4.6373250158264878E-2</v>
      </c>
      <c r="CH99" s="960">
        <v>1.4033145370279752E-2</v>
      </c>
      <c r="CI99" s="960">
        <v>-0.23051905760732458</v>
      </c>
      <c r="CJ99" s="960">
        <v>-7.6270453453122944E-2</v>
      </c>
      <c r="CK99" s="960">
        <v>2.2412908114076192E-2</v>
      </c>
      <c r="CL99" s="960">
        <v>-0.43739555428314353</v>
      </c>
      <c r="CM99" s="960">
        <v>-0.23917080255471571</v>
      </c>
      <c r="CN99" s="960" t="s">
        <v>612</v>
      </c>
      <c r="CO99" s="960">
        <v>2311.5</v>
      </c>
    </row>
    <row r="100" spans="1:93">
      <c r="A100" s="960">
        <v>0</v>
      </c>
      <c r="B100" s="960" t="s">
        <v>617</v>
      </c>
      <c r="C100" s="960">
        <v>0</v>
      </c>
      <c r="D100" s="960">
        <v>0</v>
      </c>
      <c r="E100" s="960">
        <v>0</v>
      </c>
      <c r="F100" s="960">
        <v>0</v>
      </c>
      <c r="G100" s="960">
        <v>0</v>
      </c>
      <c r="H100" s="960">
        <v>0</v>
      </c>
      <c r="I100" s="960">
        <v>0</v>
      </c>
      <c r="J100" s="960">
        <v>1</v>
      </c>
      <c r="K100" s="960">
        <v>0</v>
      </c>
      <c r="L100" s="960">
        <v>0</v>
      </c>
      <c r="M100" s="960">
        <v>0</v>
      </c>
      <c r="N100" s="960" t="s">
        <v>1036</v>
      </c>
      <c r="O100" s="960">
        <v>0</v>
      </c>
      <c r="P100" s="960">
        <v>0</v>
      </c>
      <c r="Q100" s="960">
        <v>0</v>
      </c>
      <c r="R100" s="960">
        <v>0</v>
      </c>
      <c r="S100" s="960">
        <v>0</v>
      </c>
      <c r="T100" s="960">
        <v>0</v>
      </c>
      <c r="U100" s="960">
        <v>0</v>
      </c>
      <c r="V100" s="960">
        <v>0</v>
      </c>
      <c r="W100" s="960">
        <v>0</v>
      </c>
      <c r="X100" s="960">
        <v>0</v>
      </c>
      <c r="Y100" s="960">
        <v>0</v>
      </c>
      <c r="Z100" s="960">
        <v>0</v>
      </c>
      <c r="AA100" s="960">
        <v>0</v>
      </c>
      <c r="AB100" s="960">
        <v>0</v>
      </c>
      <c r="AC100" s="960">
        <v>0</v>
      </c>
      <c r="AD100" s="960">
        <v>0</v>
      </c>
      <c r="AE100" s="960">
        <v>0</v>
      </c>
      <c r="AF100" s="960">
        <v>2016</v>
      </c>
      <c r="AG100" s="960">
        <v>0</v>
      </c>
      <c r="AH100" s="960">
        <v>0</v>
      </c>
      <c r="AI100" s="960">
        <v>0</v>
      </c>
      <c r="AJ100" s="960">
        <v>0</v>
      </c>
      <c r="AK100" s="960">
        <v>0</v>
      </c>
      <c r="AL100" s="960">
        <v>0</v>
      </c>
      <c r="AM100" s="960">
        <v>0</v>
      </c>
      <c r="AN100" s="960">
        <v>0</v>
      </c>
      <c r="AO100" s="960">
        <v>0</v>
      </c>
      <c r="AP100" s="960">
        <v>0</v>
      </c>
      <c r="AQ100" s="960">
        <v>0</v>
      </c>
      <c r="AR100" s="960">
        <v>0</v>
      </c>
      <c r="AS100" s="960">
        <v>0</v>
      </c>
      <c r="AT100" s="960">
        <v>1</v>
      </c>
      <c r="AU100" s="960">
        <v>0</v>
      </c>
      <c r="AV100" s="960">
        <v>0</v>
      </c>
      <c r="AW100" s="960">
        <v>9.4257742802203399</v>
      </c>
      <c r="AX100" s="960">
        <v>7.3975615355240523</v>
      </c>
      <c r="AY100" s="960">
        <v>8.5841038966988634</v>
      </c>
      <c r="AZ100" s="960">
        <v>2.0794415416798357</v>
      </c>
      <c r="BA100" s="960" t="e">
        <v>#NUM!</v>
      </c>
      <c r="BB100" s="960">
        <v>1.2861173814898419</v>
      </c>
      <c r="BC100" s="960">
        <v>0.35355392156862747</v>
      </c>
      <c r="BD100" s="960">
        <v>-2.0660306771417885</v>
      </c>
      <c r="BE100" s="960">
        <v>-102.375</v>
      </c>
      <c r="BF100" s="960" t="e">
        <v>#DIV/0!</v>
      </c>
      <c r="BG100" s="960">
        <v>0.46499616233208618</v>
      </c>
      <c r="BH100" s="960">
        <v>1.5600757751090767E-3</v>
      </c>
      <c r="BI100" s="960">
        <v>7.5509644391626288E-2</v>
      </c>
      <c r="BJ100" s="960">
        <v>0.60982015415358259</v>
      </c>
      <c r="BK100" s="960">
        <v>0.56578263130525219</v>
      </c>
      <c r="BL100" s="960">
        <v>3.142074772463023E-2</v>
      </c>
      <c r="BM100" s="960">
        <v>1.39892509064726E-2</v>
      </c>
      <c r="BN100" s="960">
        <v>9.7742023951001011E-2</v>
      </c>
      <c r="BO100" s="960">
        <v>4.5675135598058808E-4</v>
      </c>
      <c r="BP100" s="960">
        <v>0</v>
      </c>
      <c r="BQ100" s="960">
        <v>-0.11497898601178327</v>
      </c>
      <c r="BR100" s="960">
        <v>-1.816558714865335E-2</v>
      </c>
      <c r="BS100" s="960" t="e">
        <v>#DIV/0!</v>
      </c>
      <c r="BT100" s="960">
        <v>-0.49027298691362592</v>
      </c>
      <c r="BU100" s="960">
        <v>211204</v>
      </c>
      <c r="BV100" s="960">
        <v>116479</v>
      </c>
      <c r="BW100" s="960">
        <v>50565</v>
      </c>
      <c r="BX100" s="960">
        <v>6835</v>
      </c>
      <c r="BY100" s="960">
        <v>7515</v>
      </c>
      <c r="BZ100" s="960">
        <v>174494</v>
      </c>
      <c r="CA100" s="960">
        <v>0</v>
      </c>
      <c r="CB100" s="960">
        <v>1425</v>
      </c>
      <c r="CC100" s="960">
        <v>9455</v>
      </c>
      <c r="CD100" s="960">
        <v>8513</v>
      </c>
      <c r="CE100" s="960">
        <v>-0.1767884412075649</v>
      </c>
      <c r="CF100" s="960">
        <v>-8.6620835536753038E-2</v>
      </c>
      <c r="CG100" s="960">
        <v>-7.7508771929824558</v>
      </c>
      <c r="CH100" s="960">
        <v>-0.18698286336768216</v>
      </c>
      <c r="CI100" s="960">
        <v>-9.9577366086324448E-2</v>
      </c>
      <c r="CJ100" s="960">
        <v>-0.78720400049396733</v>
      </c>
      <c r="CK100" s="960">
        <v>-0.20026613439787092</v>
      </c>
      <c r="CL100" s="960">
        <v>-0.11982443306510607</v>
      </c>
      <c r="CM100" s="960">
        <v>-0.21843172154652427</v>
      </c>
      <c r="CN100" s="960" t="s">
        <v>617</v>
      </c>
      <c r="CO100" s="960">
        <v>2436</v>
      </c>
    </row>
    <row r="101" spans="1:93">
      <c r="A101" s="960">
        <v>0</v>
      </c>
      <c r="B101" s="960" t="s">
        <v>617</v>
      </c>
      <c r="C101" s="960">
        <v>0</v>
      </c>
      <c r="D101" s="960">
        <v>0</v>
      </c>
      <c r="E101" s="960">
        <v>0</v>
      </c>
      <c r="F101" s="960">
        <v>0</v>
      </c>
      <c r="G101" s="960">
        <v>0</v>
      </c>
      <c r="H101" s="960">
        <v>0</v>
      </c>
      <c r="I101" s="960">
        <v>0</v>
      </c>
      <c r="J101" s="960">
        <v>1</v>
      </c>
      <c r="K101" s="960">
        <v>0</v>
      </c>
      <c r="L101" s="960">
        <v>0</v>
      </c>
      <c r="M101" s="960">
        <v>0</v>
      </c>
      <c r="N101" s="960" t="s">
        <v>1036</v>
      </c>
      <c r="O101" s="960">
        <v>0</v>
      </c>
      <c r="P101" s="960">
        <v>0</v>
      </c>
      <c r="Q101" s="960">
        <v>0</v>
      </c>
      <c r="R101" s="960">
        <v>0</v>
      </c>
      <c r="S101" s="960">
        <v>0</v>
      </c>
      <c r="T101" s="960">
        <v>0</v>
      </c>
      <c r="U101" s="960">
        <v>0</v>
      </c>
      <c r="V101" s="960">
        <v>0</v>
      </c>
      <c r="W101" s="960">
        <v>0</v>
      </c>
      <c r="X101" s="960">
        <v>0</v>
      </c>
      <c r="Y101" s="960">
        <v>0</v>
      </c>
      <c r="Z101" s="960">
        <v>0</v>
      </c>
      <c r="AA101" s="960">
        <v>0</v>
      </c>
      <c r="AB101" s="960">
        <v>0</v>
      </c>
      <c r="AC101" s="960">
        <v>0</v>
      </c>
      <c r="AD101" s="960">
        <v>0</v>
      </c>
      <c r="AE101" s="960">
        <v>0</v>
      </c>
      <c r="AF101" s="960">
        <v>2016</v>
      </c>
      <c r="AG101" s="960">
        <v>0</v>
      </c>
      <c r="AH101" s="960">
        <v>0</v>
      </c>
      <c r="AI101" s="960">
        <v>0</v>
      </c>
      <c r="AJ101" s="960">
        <v>0</v>
      </c>
      <c r="AK101" s="960">
        <v>0</v>
      </c>
      <c r="AL101" s="960">
        <v>0</v>
      </c>
      <c r="AM101" s="960">
        <v>0</v>
      </c>
      <c r="AN101" s="960">
        <v>0</v>
      </c>
      <c r="AO101" s="960">
        <v>0</v>
      </c>
      <c r="AP101" s="960">
        <v>0</v>
      </c>
      <c r="AQ101" s="960">
        <v>0</v>
      </c>
      <c r="AR101" s="960">
        <v>0</v>
      </c>
      <c r="AS101" s="960">
        <v>0</v>
      </c>
      <c r="AT101" s="960">
        <v>1</v>
      </c>
      <c r="AU101" s="960">
        <v>0</v>
      </c>
      <c r="AV101" s="960">
        <v>0</v>
      </c>
      <c r="AW101" s="960">
        <v>11.081397387452409</v>
      </c>
      <c r="AX101" s="960">
        <v>11.1151294851957</v>
      </c>
      <c r="AY101" s="960">
        <v>11.08626475765784</v>
      </c>
      <c r="AZ101" s="960">
        <v>11.315014666600419</v>
      </c>
      <c r="BA101" s="960">
        <v>11.402476679708126</v>
      </c>
      <c r="BB101" s="960">
        <v>0.133220364499544</v>
      </c>
      <c r="BC101" s="960">
        <v>0.34147118140324806</v>
      </c>
      <c r="BD101" s="960">
        <v>0.24254936330838506</v>
      </c>
      <c r="BE101" s="960">
        <v>0.39407175019335666</v>
      </c>
      <c r="BF101" s="960">
        <v>0.31361567350019215</v>
      </c>
      <c r="BG101" s="960">
        <v>0.8642477180382141</v>
      </c>
      <c r="BH101" s="960">
        <v>0.81944027285530252</v>
      </c>
      <c r="BI101" s="960">
        <v>0.89776612591393423</v>
      </c>
      <c r="BJ101" s="960">
        <v>0.41503084013159958</v>
      </c>
      <c r="BK101" s="960">
        <v>0.59793624623751507</v>
      </c>
      <c r="BL101" s="960">
        <v>1.1283863996855328</v>
      </c>
      <c r="BM101" s="960">
        <v>1.2156967443805913</v>
      </c>
      <c r="BN101" s="960">
        <v>0.86498242326322428</v>
      </c>
      <c r="BO101" s="960">
        <v>0.55339667050244401</v>
      </c>
      <c r="BP101" s="960">
        <v>0.60050552469848051</v>
      </c>
      <c r="BQ101" s="960">
        <v>2.1472991466538832E-2</v>
      </c>
      <c r="BR101" s="960">
        <v>1.5837643249760833</v>
      </c>
      <c r="BS101" s="960">
        <v>-0.31621192205028603</v>
      </c>
      <c r="BT101" s="960">
        <v>0.29982987967641916</v>
      </c>
      <c r="BU101" s="960">
        <v>7814.1012249999994</v>
      </c>
      <c r="BV101" s="960">
        <v>9977.8055760000007</v>
      </c>
      <c r="BW101" s="960">
        <v>7714.2044540000006</v>
      </c>
      <c r="BX101" s="960">
        <v>86725.110274000006</v>
      </c>
      <c r="BY101" s="960">
        <v>59953.082538000002</v>
      </c>
      <c r="BZ101" s="960">
        <v>2036.839714</v>
      </c>
      <c r="CA101" s="960">
        <v>2575.8416459999999</v>
      </c>
      <c r="CB101" s="960">
        <v>11830.448454000001</v>
      </c>
      <c r="CC101" s="960">
        <v>8149.0587970000006</v>
      </c>
      <c r="CD101" s="960">
        <v>10123.300966000001</v>
      </c>
      <c r="CE101" s="960">
        <v>2.7740118540697742</v>
      </c>
      <c r="CF101" s="960">
        <v>3.9674940466624786</v>
      </c>
      <c r="CG101" s="960">
        <v>1.3381430428064143</v>
      </c>
      <c r="CH101" s="960">
        <v>1.8470086408680126</v>
      </c>
      <c r="CI101" s="960">
        <v>1.8647103818995228</v>
      </c>
      <c r="CJ101" s="960">
        <v>1.4111404314944371</v>
      </c>
      <c r="CK101" s="960">
        <v>0.46840221875498583</v>
      </c>
      <c r="CL101" s="960">
        <v>0.37280255004406571</v>
      </c>
      <c r="CM101" s="960">
        <v>2.0521665437310692</v>
      </c>
      <c r="CN101" s="960" t="s">
        <v>617</v>
      </c>
      <c r="CO101" s="960">
        <v>2436</v>
      </c>
    </row>
    <row r="102" spans="1:93">
      <c r="A102" s="960">
        <v>0</v>
      </c>
      <c r="B102" s="960" t="s">
        <v>617</v>
      </c>
      <c r="C102" s="960">
        <v>0</v>
      </c>
      <c r="D102" s="960">
        <v>0</v>
      </c>
      <c r="E102" s="960">
        <v>0</v>
      </c>
      <c r="F102" s="960">
        <v>0</v>
      </c>
      <c r="G102" s="960">
        <v>0</v>
      </c>
      <c r="H102" s="960">
        <v>0</v>
      </c>
      <c r="I102" s="960">
        <v>0</v>
      </c>
      <c r="J102" s="960">
        <v>1</v>
      </c>
      <c r="K102" s="960">
        <v>0</v>
      </c>
      <c r="L102" s="960">
        <v>0</v>
      </c>
      <c r="M102" s="960">
        <v>0</v>
      </c>
      <c r="N102" s="960" t="s">
        <v>1036</v>
      </c>
      <c r="O102" s="960">
        <v>0</v>
      </c>
      <c r="P102" s="960">
        <v>0</v>
      </c>
      <c r="Q102" s="960">
        <v>0</v>
      </c>
      <c r="R102" s="960">
        <v>0</v>
      </c>
      <c r="S102" s="960">
        <v>0</v>
      </c>
      <c r="T102" s="960">
        <v>0</v>
      </c>
      <c r="U102" s="960">
        <v>0</v>
      </c>
      <c r="V102" s="960">
        <v>0</v>
      </c>
      <c r="W102" s="960">
        <v>0</v>
      </c>
      <c r="X102" s="960">
        <v>0</v>
      </c>
      <c r="Y102" s="960">
        <v>0</v>
      </c>
      <c r="Z102" s="960">
        <v>0</v>
      </c>
      <c r="AA102" s="960">
        <v>0</v>
      </c>
      <c r="AB102" s="960">
        <v>0</v>
      </c>
      <c r="AC102" s="960">
        <v>0</v>
      </c>
      <c r="AD102" s="960">
        <v>0</v>
      </c>
      <c r="AE102" s="960">
        <v>0</v>
      </c>
      <c r="AF102" s="960">
        <v>2016</v>
      </c>
      <c r="AG102" s="960">
        <v>0</v>
      </c>
      <c r="AH102" s="960">
        <v>0</v>
      </c>
      <c r="AI102" s="960">
        <v>0</v>
      </c>
      <c r="AJ102" s="960">
        <v>0</v>
      </c>
      <c r="AK102" s="960">
        <v>0</v>
      </c>
      <c r="AL102" s="960">
        <v>0</v>
      </c>
      <c r="AM102" s="960">
        <v>0</v>
      </c>
      <c r="AN102" s="960">
        <v>0</v>
      </c>
      <c r="AO102" s="960">
        <v>0</v>
      </c>
      <c r="AP102" s="960">
        <v>0</v>
      </c>
      <c r="AQ102" s="960">
        <v>0</v>
      </c>
      <c r="AR102" s="960">
        <v>0</v>
      </c>
      <c r="AS102" s="960">
        <v>0</v>
      </c>
      <c r="AT102" s="960">
        <v>1</v>
      </c>
      <c r="AU102" s="960">
        <v>0</v>
      </c>
      <c r="AV102" s="960">
        <v>0</v>
      </c>
      <c r="AW102" s="960">
        <v>10.79347537598923</v>
      </c>
      <c r="AX102" s="960">
        <v>10.690853408335055</v>
      </c>
      <c r="AY102" s="960">
        <v>9.9251022625085366</v>
      </c>
      <c r="AZ102" s="960">
        <v>10.456481464162664</v>
      </c>
      <c r="BA102" s="960">
        <v>10.528195279873552</v>
      </c>
      <c r="BB102" s="960">
        <v>-0.16976715535296291</v>
      </c>
      <c r="BC102" s="960">
        <v>-0.26017018565708044</v>
      </c>
      <c r="BD102" s="960">
        <v>-1.5561481626461811</v>
      </c>
      <c r="BE102" s="960">
        <v>-0.65569904225028042</v>
      </c>
      <c r="BF102" s="960">
        <v>-0.97103389195266909</v>
      </c>
      <c r="BG102" s="960">
        <v>0.71559027658159247</v>
      </c>
      <c r="BH102" s="960">
        <v>7.0629128976522004</v>
      </c>
      <c r="BI102" s="960">
        <v>8.2593397133018345E-2</v>
      </c>
      <c r="BJ102" s="960">
        <v>0.67489366287028218</v>
      </c>
      <c r="BK102" s="960">
        <v>0.65077651115491164</v>
      </c>
      <c r="BL102" s="960">
        <v>0.12906080979019868</v>
      </c>
      <c r="BM102" s="960">
        <v>1.1167801605854253</v>
      </c>
      <c r="BN102" s="960">
        <v>5.1145691519179949E-2</v>
      </c>
      <c r="BO102" s="960">
        <v>8.5140717631761315E-2</v>
      </c>
      <c r="BP102" s="960">
        <v>8.3856021048189039E-2</v>
      </c>
      <c r="BQ102" s="960">
        <v>1.8367645972477004E-3</v>
      </c>
      <c r="BR102" s="960">
        <v>-1.7196140686524308E-2</v>
      </c>
      <c r="BS102" s="960">
        <v>-0.6030930173650163</v>
      </c>
      <c r="BT102" s="960">
        <v>-0.56818311402189325</v>
      </c>
      <c r="BU102" s="960">
        <v>107324</v>
      </c>
      <c r="BV102" s="960">
        <v>115592</v>
      </c>
      <c r="BW102" s="960">
        <v>127028</v>
      </c>
      <c r="BX102" s="960">
        <v>132764</v>
      </c>
      <c r="BY102" s="960">
        <v>155563</v>
      </c>
      <c r="BZ102" s="960">
        <v>397</v>
      </c>
      <c r="CA102" s="960">
        <v>322</v>
      </c>
      <c r="CB102" s="960">
        <v>26617</v>
      </c>
      <c r="CC102" s="960">
        <v>259285</v>
      </c>
      <c r="CD102" s="960">
        <v>273019</v>
      </c>
      <c r="CE102" s="960">
        <v>-0.13285522253030008</v>
      </c>
      <c r="CF102" s="960">
        <v>-8.7926413020421548E-2</v>
      </c>
      <c r="CG102" s="960">
        <v>-1.1948378855618589</v>
      </c>
      <c r="CH102" s="960">
        <v>-0.16788609668906601</v>
      </c>
      <c r="CI102" s="960">
        <v>-0.11516766595404503</v>
      </c>
      <c r="CJ102" s="960">
        <v>-0.44514022118963215</v>
      </c>
      <c r="CK102" s="960">
        <v>-0.2331659841993276</v>
      </c>
      <c r="CL102" s="960">
        <v>-0.17171823687144105</v>
      </c>
      <c r="CM102" s="960">
        <v>-0.25036212488585191</v>
      </c>
      <c r="CN102" s="960" t="s">
        <v>617</v>
      </c>
      <c r="CO102" s="960">
        <v>2436</v>
      </c>
    </row>
    <row r="103" spans="1:93">
      <c r="A103" s="960">
        <v>0</v>
      </c>
      <c r="B103" s="960" t="s">
        <v>612</v>
      </c>
      <c r="C103" s="960">
        <v>0</v>
      </c>
      <c r="D103" s="960">
        <v>0</v>
      </c>
      <c r="E103" s="960">
        <v>1</v>
      </c>
      <c r="F103" s="960">
        <v>0</v>
      </c>
      <c r="G103" s="960">
        <v>0</v>
      </c>
      <c r="H103" s="960">
        <v>0</v>
      </c>
      <c r="I103" s="960">
        <v>0</v>
      </c>
      <c r="J103" s="960">
        <v>0</v>
      </c>
      <c r="K103" s="960">
        <v>0</v>
      </c>
      <c r="L103" s="960">
        <v>0</v>
      </c>
      <c r="M103" s="960">
        <v>0</v>
      </c>
      <c r="N103" s="960" t="s">
        <v>1036</v>
      </c>
      <c r="O103" s="960">
        <v>0</v>
      </c>
      <c r="P103" s="960">
        <v>0</v>
      </c>
      <c r="Q103" s="960">
        <v>0</v>
      </c>
      <c r="R103" s="960">
        <v>0</v>
      </c>
      <c r="S103" s="960">
        <v>0</v>
      </c>
      <c r="T103" s="960">
        <v>0</v>
      </c>
      <c r="U103" s="960">
        <v>0</v>
      </c>
      <c r="V103" s="960">
        <v>0</v>
      </c>
      <c r="W103" s="960">
        <v>0</v>
      </c>
      <c r="X103" s="960">
        <v>0</v>
      </c>
      <c r="Y103" s="960">
        <v>0</v>
      </c>
      <c r="Z103" s="960">
        <v>0</v>
      </c>
      <c r="AA103" s="960">
        <v>0</v>
      </c>
      <c r="AB103" s="960">
        <v>0</v>
      </c>
      <c r="AC103" s="960">
        <v>0</v>
      </c>
      <c r="AD103" s="960">
        <v>0</v>
      </c>
      <c r="AE103" s="960">
        <v>0</v>
      </c>
      <c r="AF103" s="960">
        <v>2017</v>
      </c>
      <c r="AG103" s="960">
        <v>0</v>
      </c>
      <c r="AH103" s="960">
        <v>0</v>
      </c>
      <c r="AI103" s="960">
        <v>0</v>
      </c>
      <c r="AJ103" s="960">
        <v>0</v>
      </c>
      <c r="AK103" s="960">
        <v>0</v>
      </c>
      <c r="AL103" s="960">
        <v>0</v>
      </c>
      <c r="AM103" s="960">
        <v>0</v>
      </c>
      <c r="AN103" s="960">
        <v>0</v>
      </c>
      <c r="AO103" s="960">
        <v>0</v>
      </c>
      <c r="AP103" s="960">
        <v>0</v>
      </c>
      <c r="AQ103" s="960">
        <v>0</v>
      </c>
      <c r="AR103" s="960">
        <v>0</v>
      </c>
      <c r="AS103" s="960">
        <v>0</v>
      </c>
      <c r="AT103" s="960">
        <v>0</v>
      </c>
      <c r="AU103" s="960">
        <v>1</v>
      </c>
      <c r="AV103" s="960">
        <v>0</v>
      </c>
      <c r="AW103" s="960">
        <v>13.742659180579926</v>
      </c>
      <c r="AX103" s="960">
        <v>13.620948389625417</v>
      </c>
      <c r="AY103" s="960">
        <v>13.456656097747413</v>
      </c>
      <c r="AZ103" s="960">
        <v>13.40325947713669</v>
      </c>
      <c r="BA103" s="960">
        <v>13.396035770987009</v>
      </c>
      <c r="BB103" s="960">
        <v>0.15664933922315832</v>
      </c>
      <c r="BC103" s="960">
        <v>5.3213394153268666E-2</v>
      </c>
      <c r="BD103" s="960">
        <v>4.4581345672578584E-2</v>
      </c>
      <c r="BE103" s="960">
        <v>5.540671561772266E-2</v>
      </c>
      <c r="BF103" s="960">
        <v>-5.8645374449339205E-2</v>
      </c>
      <c r="BG103" s="960">
        <v>0.54610562959691966</v>
      </c>
      <c r="BH103" s="960">
        <v>0.60453410442838662</v>
      </c>
      <c r="BI103" s="960">
        <v>0.55029971291697877</v>
      </c>
      <c r="BJ103" s="960">
        <v>0.64126510362786382</v>
      </c>
      <c r="BK103" s="960">
        <v>0.68099993285008964</v>
      </c>
      <c r="BL103" s="960">
        <v>0.3521083768132518</v>
      </c>
      <c r="BM103" s="960">
        <v>0.30643099528141049</v>
      </c>
      <c r="BN103" s="960">
        <v>0.30684101047951873</v>
      </c>
      <c r="BO103" s="960">
        <v>0.30967604951389655</v>
      </c>
      <c r="BP103" s="960">
        <v>0.29041982830828172</v>
      </c>
      <c r="BQ103" s="960">
        <v>3.0711164733362717E-2</v>
      </c>
      <c r="BR103" s="960">
        <v>8.3810040848246975E-2</v>
      </c>
      <c r="BS103" s="960">
        <v>6.0620326760402327E-2</v>
      </c>
      <c r="BT103" s="960">
        <v>-0.13070021993311087</v>
      </c>
      <c r="BU103" s="960">
        <v>1198504</v>
      </c>
      <c r="BV103" s="960">
        <v>1062378</v>
      </c>
      <c r="BW103" s="960">
        <v>1023673</v>
      </c>
      <c r="BX103" s="960">
        <v>767057</v>
      </c>
      <c r="BY103" s="960">
        <v>722086</v>
      </c>
      <c r="BZ103" s="960">
        <v>759924</v>
      </c>
      <c r="CA103" s="960">
        <v>1231730</v>
      </c>
      <c r="CB103" s="960">
        <v>322122</v>
      </c>
      <c r="CC103" s="960">
        <v>1099519</v>
      </c>
      <c r="CD103" s="960">
        <v>1227358</v>
      </c>
      <c r="CE103" s="960">
        <v>-3.1411373046820894E-2</v>
      </c>
      <c r="CF103" s="960">
        <v>3.3367317890823166E-2</v>
      </c>
      <c r="CG103" s="960">
        <v>9.6668343050148695E-2</v>
      </c>
      <c r="CH103" s="960">
        <v>-3.8422922514266128E-2</v>
      </c>
      <c r="CI103" s="960">
        <v>3.855542937407886E-2</v>
      </c>
      <c r="CJ103" s="960">
        <v>6.6875946583367582E-2</v>
      </c>
      <c r="CK103" s="960">
        <v>-5.3391147314862775E-2</v>
      </c>
      <c r="CL103" s="960">
        <v>4.7829561558006772E-2</v>
      </c>
      <c r="CM103" s="960">
        <v>3.0418893533384197E-2</v>
      </c>
      <c r="CN103" s="960" t="s">
        <v>612</v>
      </c>
      <c r="CO103" s="960">
        <v>2512.5</v>
      </c>
    </row>
    <row r="104" spans="1:93">
      <c r="A104" s="960">
        <v>0</v>
      </c>
      <c r="B104" s="960" t="s">
        <v>612</v>
      </c>
      <c r="C104" s="960">
        <v>0</v>
      </c>
      <c r="D104" s="960">
        <v>0</v>
      </c>
      <c r="E104" s="960">
        <v>1</v>
      </c>
      <c r="F104" s="960">
        <v>0</v>
      </c>
      <c r="G104" s="960">
        <v>0</v>
      </c>
      <c r="H104" s="960">
        <v>0</v>
      </c>
      <c r="I104" s="960">
        <v>0</v>
      </c>
      <c r="J104" s="960">
        <v>0</v>
      </c>
      <c r="K104" s="960">
        <v>0</v>
      </c>
      <c r="L104" s="960">
        <v>0</v>
      </c>
      <c r="M104" s="960">
        <v>0</v>
      </c>
      <c r="N104" s="960" t="s">
        <v>1036</v>
      </c>
      <c r="O104" s="960">
        <v>0</v>
      </c>
      <c r="P104" s="960">
        <v>0</v>
      </c>
      <c r="Q104" s="960">
        <v>0</v>
      </c>
      <c r="R104" s="960">
        <v>0</v>
      </c>
      <c r="S104" s="960">
        <v>0</v>
      </c>
      <c r="T104" s="960">
        <v>0</v>
      </c>
      <c r="U104" s="960">
        <v>0</v>
      </c>
      <c r="V104" s="960">
        <v>0</v>
      </c>
      <c r="W104" s="960">
        <v>0</v>
      </c>
      <c r="X104" s="960">
        <v>0</v>
      </c>
      <c r="Y104" s="960">
        <v>0</v>
      </c>
      <c r="Z104" s="960">
        <v>0</v>
      </c>
      <c r="AA104" s="960">
        <v>0</v>
      </c>
      <c r="AB104" s="960">
        <v>0</v>
      </c>
      <c r="AC104" s="960">
        <v>0</v>
      </c>
      <c r="AD104" s="960">
        <v>0</v>
      </c>
      <c r="AE104" s="960">
        <v>0</v>
      </c>
      <c r="AF104" s="960">
        <v>2017</v>
      </c>
      <c r="AG104" s="960">
        <v>0</v>
      </c>
      <c r="AH104" s="960">
        <v>0</v>
      </c>
      <c r="AI104" s="960">
        <v>0</v>
      </c>
      <c r="AJ104" s="960">
        <v>0</v>
      </c>
      <c r="AK104" s="960">
        <v>0</v>
      </c>
      <c r="AL104" s="960">
        <v>0</v>
      </c>
      <c r="AM104" s="960">
        <v>0</v>
      </c>
      <c r="AN104" s="960">
        <v>0</v>
      </c>
      <c r="AO104" s="960">
        <v>0</v>
      </c>
      <c r="AP104" s="960">
        <v>0</v>
      </c>
      <c r="AQ104" s="960">
        <v>0</v>
      </c>
      <c r="AR104" s="960">
        <v>0</v>
      </c>
      <c r="AS104" s="960">
        <v>0</v>
      </c>
      <c r="AT104" s="960">
        <v>0</v>
      </c>
      <c r="AU104" s="960">
        <v>1</v>
      </c>
      <c r="AV104" s="960">
        <v>0</v>
      </c>
      <c r="AW104" s="960">
        <v>13.00229432572951</v>
      </c>
      <c r="AX104" s="960">
        <v>12.912386614301747</v>
      </c>
      <c r="AY104" s="960">
        <v>12.626633844134133</v>
      </c>
      <c r="AZ104" s="960">
        <v>12.365951957378551</v>
      </c>
      <c r="BA104" s="960">
        <v>12.199302410204753</v>
      </c>
      <c r="BB104" s="960">
        <v>4.4928237799896929E-2</v>
      </c>
      <c r="BC104" s="960">
        <v>1.6077984057794561E-2</v>
      </c>
      <c r="BD104" s="960">
        <v>-7.5201506855895606E-3</v>
      </c>
      <c r="BE104" s="960">
        <v>-4.4663732281742217E-2</v>
      </c>
      <c r="BF104" s="960">
        <v>-3.0833836253265485E-2</v>
      </c>
      <c r="BG104" s="960">
        <v>0.72993995423622093</v>
      </c>
      <c r="BH104" s="960">
        <v>0.88952210924763697</v>
      </c>
      <c r="BI104" s="960">
        <v>0.93347338935574231</v>
      </c>
      <c r="BJ104" s="960">
        <v>0.89414616325346152</v>
      </c>
      <c r="BK104" s="960">
        <v>0.85029617135660274</v>
      </c>
      <c r="BL104" s="960">
        <v>3.991264761890136</v>
      </c>
      <c r="BM104" s="960">
        <v>3.2702420783490931</v>
      </c>
      <c r="BN104" s="960">
        <v>2.6125626455401436</v>
      </c>
      <c r="BO104" s="960">
        <v>2.5111879197413152</v>
      </c>
      <c r="BP104" s="960">
        <v>1.4851638399473075</v>
      </c>
      <c r="BQ104" s="960">
        <v>2.6146433880201887E-2</v>
      </c>
      <c r="BR104" s="960">
        <v>1.0573918041549779E-2</v>
      </c>
      <c r="BS104" s="960">
        <v>0.42733143392937917</v>
      </c>
      <c r="BT104" s="960">
        <v>8.3177217999139574E-2</v>
      </c>
      <c r="BU104" s="960">
        <v>30003.676679999997</v>
      </c>
      <c r="BV104" s="960">
        <v>13692.215522999999</v>
      </c>
      <c r="BW104" s="960">
        <v>7755.5566259999996</v>
      </c>
      <c r="BX104" s="960">
        <v>9892.1817940000001</v>
      </c>
      <c r="BY104" s="960">
        <v>20023.881229000002</v>
      </c>
      <c r="BZ104" s="960">
        <v>1760.97039</v>
      </c>
      <c r="CA104" s="960">
        <v>7505.2893089999998</v>
      </c>
      <c r="CB104" s="960">
        <v>14178.624503999999</v>
      </c>
      <c r="CC104" s="960">
        <v>17843.554542000002</v>
      </c>
      <c r="CD104" s="960">
        <v>31527.139248000003</v>
      </c>
      <c r="CE104" s="960">
        <v>-0.1942820675487886</v>
      </c>
      <c r="CF104" s="960">
        <v>-0.58740594489337583</v>
      </c>
      <c r="CG104" s="960">
        <v>-0.16153619368041344</v>
      </c>
      <c r="CH104" s="960">
        <v>-0.21099059685018612</v>
      </c>
      <c r="CI104" s="960">
        <v>-0.6373857968551575</v>
      </c>
      <c r="CJ104" s="960">
        <v>-0.17043642323963382</v>
      </c>
      <c r="CK104" s="960">
        <v>-0.30589263524641336</v>
      </c>
      <c r="CL104" s="960">
        <v>-1.0595650417946616</v>
      </c>
      <c r="CM104" s="960">
        <v>-0.29531871720486358</v>
      </c>
      <c r="CN104" s="960" t="s">
        <v>612</v>
      </c>
      <c r="CO104" s="960">
        <v>2512.5</v>
      </c>
    </row>
    <row r="105" spans="1:93">
      <c r="A105" s="960">
        <v>0</v>
      </c>
      <c r="B105" s="960" t="s">
        <v>614</v>
      </c>
      <c r="C105" s="960">
        <v>0</v>
      </c>
      <c r="D105" s="960">
        <v>0</v>
      </c>
      <c r="E105" s="960">
        <v>0</v>
      </c>
      <c r="F105" s="960">
        <v>0</v>
      </c>
      <c r="G105" s="960">
        <v>1</v>
      </c>
      <c r="H105" s="960">
        <v>0</v>
      </c>
      <c r="I105" s="960">
        <v>0</v>
      </c>
      <c r="J105" s="960">
        <v>0</v>
      </c>
      <c r="K105" s="960">
        <v>0</v>
      </c>
      <c r="L105" s="960">
        <v>0</v>
      </c>
      <c r="M105" s="960">
        <v>0</v>
      </c>
      <c r="N105" s="960" t="s">
        <v>1036</v>
      </c>
      <c r="O105" s="960">
        <v>0</v>
      </c>
      <c r="P105" s="960">
        <v>0</v>
      </c>
      <c r="Q105" s="960">
        <v>0</v>
      </c>
      <c r="R105" s="960">
        <v>0</v>
      </c>
      <c r="S105" s="960">
        <v>0</v>
      </c>
      <c r="T105" s="960">
        <v>0</v>
      </c>
      <c r="U105" s="960">
        <v>0</v>
      </c>
      <c r="V105" s="960">
        <v>0</v>
      </c>
      <c r="W105" s="960">
        <v>0</v>
      </c>
      <c r="X105" s="960">
        <v>0</v>
      </c>
      <c r="Y105" s="960">
        <v>0</v>
      </c>
      <c r="Z105" s="960">
        <v>0</v>
      </c>
      <c r="AA105" s="960">
        <v>0</v>
      </c>
      <c r="AB105" s="960">
        <v>0</v>
      </c>
      <c r="AC105" s="960">
        <v>0</v>
      </c>
      <c r="AD105" s="960">
        <v>0</v>
      </c>
      <c r="AE105" s="960">
        <v>0</v>
      </c>
      <c r="AF105" s="960">
        <v>2018</v>
      </c>
      <c r="AG105" s="960">
        <v>0</v>
      </c>
      <c r="AH105" s="960">
        <v>0</v>
      </c>
      <c r="AI105" s="960">
        <v>0</v>
      </c>
      <c r="AJ105" s="960">
        <v>0</v>
      </c>
      <c r="AK105" s="960">
        <v>0</v>
      </c>
      <c r="AL105" s="960">
        <v>0</v>
      </c>
      <c r="AM105" s="960">
        <v>0</v>
      </c>
      <c r="AN105" s="960">
        <v>0</v>
      </c>
      <c r="AO105" s="960">
        <v>0</v>
      </c>
      <c r="AP105" s="960">
        <v>0</v>
      </c>
      <c r="AQ105" s="960">
        <v>0</v>
      </c>
      <c r="AR105" s="960">
        <v>0</v>
      </c>
      <c r="AS105" s="960">
        <v>0</v>
      </c>
      <c r="AT105" s="960">
        <v>0</v>
      </c>
      <c r="AU105" s="960">
        <v>0</v>
      </c>
      <c r="AV105" s="960">
        <v>1</v>
      </c>
      <c r="AW105" s="960">
        <v>13.967792298698084</v>
      </c>
      <c r="AX105" s="960">
        <v>13.921181969788879</v>
      </c>
      <c r="AY105" s="960">
        <v>13.837662767926044</v>
      </c>
      <c r="AZ105" s="960">
        <v>13.968157264533378</v>
      </c>
      <c r="BA105" s="960">
        <v>13.868448104128678</v>
      </c>
      <c r="BB105" s="960">
        <v>1.9388366979812111E-2</v>
      </c>
      <c r="BC105" s="960">
        <v>1.208865010073875E-2</v>
      </c>
      <c r="BD105" s="960">
        <v>-3.6365658362989321E-2</v>
      </c>
      <c r="BE105" s="960">
        <v>2.5013192612137202E-2</v>
      </c>
      <c r="BF105" s="960">
        <v>5.8789757721896888E-2</v>
      </c>
      <c r="BG105" s="960">
        <v>0.58369384359400989</v>
      </c>
      <c r="BH105" s="960">
        <v>0.55348192385624406</v>
      </c>
      <c r="BI105" s="960">
        <v>0.62644014840851392</v>
      </c>
      <c r="BJ105" s="960">
        <v>0.51599007962406995</v>
      </c>
      <c r="BK105" s="960">
        <v>0.50019493177387919</v>
      </c>
      <c r="BL105" s="960">
        <v>1.1099278979478646</v>
      </c>
      <c r="BM105" s="960">
        <v>1.1115495360989656</v>
      </c>
      <c r="BN105" s="960">
        <v>0.87795352470220656</v>
      </c>
      <c r="BO105" s="960">
        <v>1.2367837096984728</v>
      </c>
      <c r="BP105" s="960">
        <v>1.1317738791423002</v>
      </c>
      <c r="BQ105" s="960">
        <v>-9.8464070088649991E-2</v>
      </c>
      <c r="BR105" s="960">
        <v>-0.21859317655508101</v>
      </c>
      <c r="BS105" s="960">
        <v>-3.0785336202632789E-2</v>
      </c>
      <c r="BT105" s="960">
        <v>0.12624521663463473</v>
      </c>
      <c r="BU105" s="960">
        <v>436770.38699999999</v>
      </c>
      <c r="BV105" s="960">
        <v>446267.47499999998</v>
      </c>
      <c r="BW105" s="960">
        <v>435020.02600000001</v>
      </c>
      <c r="BX105" s="960">
        <v>456129.66</v>
      </c>
      <c r="BY105" s="960">
        <v>465619.83600000001</v>
      </c>
      <c r="BZ105" s="960">
        <v>280473.39</v>
      </c>
      <c r="CA105" s="960">
        <v>284288.90999999997</v>
      </c>
      <c r="CB105" s="960">
        <v>364298.00400000002</v>
      </c>
      <c r="CC105" s="960">
        <v>137945.41200000001</v>
      </c>
      <c r="CD105" s="960">
        <v>136925.64600000001</v>
      </c>
      <c r="CE105" s="960">
        <v>0.4526967285587975</v>
      </c>
      <c r="CF105" s="960">
        <v>0.21122994652406415</v>
      </c>
      <c r="CG105" s="960">
        <v>-0.10205992509363296</v>
      </c>
      <c r="CH105" s="960">
        <v>0.2929733214064732</v>
      </c>
      <c r="CI105" s="960">
        <v>0.13989194553172724</v>
      </c>
      <c r="CJ105" s="960">
        <v>-9.5861792560120007E-2</v>
      </c>
      <c r="CK105" s="960">
        <v>0.13312532501300051</v>
      </c>
      <c r="CL105" s="960">
        <v>6.3881401617250685E-2</v>
      </c>
      <c r="CM105" s="960">
        <v>-8.5467851542080503E-2</v>
      </c>
      <c r="CN105" s="960" t="s">
        <v>614</v>
      </c>
      <c r="CO105" s="960">
        <v>2623.4</v>
      </c>
    </row>
    <row r="106" spans="1:93">
      <c r="A106" s="960">
        <v>0</v>
      </c>
      <c r="B106" s="960" t="s">
        <v>619</v>
      </c>
      <c r="C106" s="960">
        <v>0</v>
      </c>
      <c r="D106" s="960">
        <v>0</v>
      </c>
      <c r="E106" s="960">
        <v>0</v>
      </c>
      <c r="F106" s="960">
        <v>0</v>
      </c>
      <c r="G106" s="960">
        <v>0</v>
      </c>
      <c r="H106" s="960">
        <v>0</v>
      </c>
      <c r="I106" s="960">
        <v>0</v>
      </c>
      <c r="J106" s="960">
        <v>0</v>
      </c>
      <c r="K106" s="960">
        <v>0</v>
      </c>
      <c r="L106" s="960">
        <v>0</v>
      </c>
      <c r="M106" s="960">
        <v>1</v>
      </c>
      <c r="N106" s="960" t="s">
        <v>1036</v>
      </c>
      <c r="O106" s="960">
        <v>0</v>
      </c>
      <c r="P106" s="960">
        <v>0</v>
      </c>
      <c r="Q106" s="960">
        <v>0</v>
      </c>
      <c r="R106" s="960">
        <v>0</v>
      </c>
      <c r="S106" s="960">
        <v>0</v>
      </c>
      <c r="T106" s="960">
        <v>0</v>
      </c>
      <c r="U106" s="960">
        <v>0</v>
      </c>
      <c r="V106" s="960">
        <v>0</v>
      </c>
      <c r="W106" s="960">
        <v>0</v>
      </c>
      <c r="X106" s="960">
        <v>0</v>
      </c>
      <c r="Y106" s="960">
        <v>0</v>
      </c>
      <c r="Z106" s="960">
        <v>0</v>
      </c>
      <c r="AA106" s="960">
        <v>0</v>
      </c>
      <c r="AB106" s="960">
        <v>0</v>
      </c>
      <c r="AC106" s="960">
        <v>0</v>
      </c>
      <c r="AD106" s="960">
        <v>0</v>
      </c>
      <c r="AE106" s="960">
        <v>0</v>
      </c>
      <c r="AF106" s="960">
        <v>2018</v>
      </c>
      <c r="AG106" s="960">
        <v>0</v>
      </c>
      <c r="AH106" s="960">
        <v>0</v>
      </c>
      <c r="AI106" s="960">
        <v>0</v>
      </c>
      <c r="AJ106" s="960">
        <v>0</v>
      </c>
      <c r="AK106" s="960">
        <v>0</v>
      </c>
      <c r="AL106" s="960">
        <v>0</v>
      </c>
      <c r="AM106" s="960">
        <v>0</v>
      </c>
      <c r="AN106" s="960">
        <v>0</v>
      </c>
      <c r="AO106" s="960">
        <v>0</v>
      </c>
      <c r="AP106" s="960">
        <v>0</v>
      </c>
      <c r="AQ106" s="960">
        <v>0</v>
      </c>
      <c r="AR106" s="960">
        <v>0</v>
      </c>
      <c r="AS106" s="960">
        <v>0</v>
      </c>
      <c r="AT106" s="960">
        <v>0</v>
      </c>
      <c r="AU106" s="960">
        <v>0</v>
      </c>
      <c r="AV106" s="960">
        <v>1</v>
      </c>
      <c r="AW106" s="960">
        <v>12.667393532747413</v>
      </c>
      <c r="AX106" s="960">
        <v>12.686789466214849</v>
      </c>
      <c r="AY106" s="960">
        <v>12.631459468476711</v>
      </c>
      <c r="AZ106" s="960">
        <v>12.530055574100203</v>
      </c>
      <c r="BA106" s="960">
        <v>12.509465015284114</v>
      </c>
      <c r="BB106" s="960">
        <v>1.0407433881343811</v>
      </c>
      <c r="BC106" s="960">
        <v>0.71728887277999265</v>
      </c>
      <c r="BD106" s="960">
        <v>0.95385187941942406</v>
      </c>
      <c r="BE106" s="960">
        <v>0.86974615064502581</v>
      </c>
      <c r="BF106" s="960">
        <v>0.82149280575539563</v>
      </c>
      <c r="BG106" s="960">
        <v>0.88312001810455354</v>
      </c>
      <c r="BH106" s="960">
        <v>0.88659585337817681</v>
      </c>
      <c r="BI106" s="960">
        <v>0.87747656934394125</v>
      </c>
      <c r="BJ106" s="960">
        <v>0.88372411389884475</v>
      </c>
      <c r="BK106" s="960">
        <v>0.88574523340336941</v>
      </c>
      <c r="BL106" s="960">
        <v>1.4071261535366782E-2</v>
      </c>
      <c r="BM106" s="960">
        <v>1.4682404529779921E-2</v>
      </c>
      <c r="BN106" s="960">
        <v>1.6122451428640064E-2</v>
      </c>
      <c r="BO106" s="960">
        <v>1.4952956989247349E-2</v>
      </c>
      <c r="BP106" s="960">
        <v>1.4511856134260736E-2</v>
      </c>
      <c r="BQ106" s="960">
        <v>3.4570451836042036E-3</v>
      </c>
      <c r="BR106" s="960">
        <v>2.0764417075854219E-2</v>
      </c>
      <c r="BS106" s="960">
        <v>0.12199445319259639</v>
      </c>
      <c r="BT106" s="960">
        <v>-8.2686640594281657E-3</v>
      </c>
      <c r="BU106" s="960">
        <v>2704764.3389999997</v>
      </c>
      <c r="BV106" s="960">
        <v>2272391.85</v>
      </c>
      <c r="BW106" s="960">
        <v>2321547.0180000002</v>
      </c>
      <c r="BX106" s="960">
        <v>2297368.9559999998</v>
      </c>
      <c r="BY106" s="960">
        <v>2119841.2046680003</v>
      </c>
      <c r="BZ106" s="960">
        <v>4830272</v>
      </c>
      <c r="CA106" s="960">
        <v>5415357</v>
      </c>
      <c r="CB106" s="960">
        <v>5194647</v>
      </c>
      <c r="CC106" s="960">
        <v>5355121</v>
      </c>
      <c r="CD106" s="960">
        <v>5407430</v>
      </c>
      <c r="CE106" s="960">
        <v>4.1153282930177185E-2</v>
      </c>
      <c r="CF106" s="960">
        <v>4.4911464893394565E-2</v>
      </c>
      <c r="CG106" s="960">
        <v>5.6195047764776122E-2</v>
      </c>
      <c r="CH106" s="960">
        <v>4.8406223143436289E-2</v>
      </c>
      <c r="CI106" s="960">
        <v>5.2278829116870297E-2</v>
      </c>
      <c r="CJ106" s="960">
        <v>6.4702561628138699E-2</v>
      </c>
      <c r="CK106" s="960">
        <v>0.10497649362843675</v>
      </c>
      <c r="CL106" s="960">
        <v>0.1046877246962242</v>
      </c>
      <c r="CM106" s="960">
        <v>0.12574091070429097</v>
      </c>
      <c r="CN106" s="960" t="s">
        <v>619</v>
      </c>
      <c r="CO106" s="960">
        <v>2654.6</v>
      </c>
    </row>
    <row r="107" spans="1:93">
      <c r="A107" s="960">
        <v>0</v>
      </c>
      <c r="B107" s="960" t="s">
        <v>619</v>
      </c>
      <c r="C107" s="960">
        <v>0</v>
      </c>
      <c r="D107" s="960">
        <v>0</v>
      </c>
      <c r="E107" s="960">
        <v>0</v>
      </c>
      <c r="F107" s="960">
        <v>0</v>
      </c>
      <c r="G107" s="960">
        <v>0</v>
      </c>
      <c r="H107" s="960">
        <v>0</v>
      </c>
      <c r="I107" s="960">
        <v>0</v>
      </c>
      <c r="J107" s="960">
        <v>0</v>
      </c>
      <c r="K107" s="960">
        <v>0</v>
      </c>
      <c r="L107" s="960">
        <v>0</v>
      </c>
      <c r="M107" s="960">
        <v>1</v>
      </c>
      <c r="N107" s="960" t="s">
        <v>1036</v>
      </c>
      <c r="O107" s="960">
        <v>0</v>
      </c>
      <c r="P107" s="960">
        <v>0</v>
      </c>
      <c r="Q107" s="960">
        <v>0</v>
      </c>
      <c r="R107" s="960">
        <v>0</v>
      </c>
      <c r="S107" s="960">
        <v>0</v>
      </c>
      <c r="T107" s="960">
        <v>0</v>
      </c>
      <c r="U107" s="960">
        <v>0</v>
      </c>
      <c r="V107" s="960">
        <v>0</v>
      </c>
      <c r="W107" s="960">
        <v>0</v>
      </c>
      <c r="X107" s="960">
        <v>0</v>
      </c>
      <c r="Y107" s="960">
        <v>0</v>
      </c>
      <c r="Z107" s="960">
        <v>0</v>
      </c>
      <c r="AA107" s="960">
        <v>0</v>
      </c>
      <c r="AB107" s="960">
        <v>0</v>
      </c>
      <c r="AC107" s="960">
        <v>0</v>
      </c>
      <c r="AD107" s="960">
        <v>0</v>
      </c>
      <c r="AE107" s="960">
        <v>0</v>
      </c>
      <c r="AF107" s="960">
        <v>2018</v>
      </c>
      <c r="AG107" s="960">
        <v>0</v>
      </c>
      <c r="AH107" s="960">
        <v>0</v>
      </c>
      <c r="AI107" s="960">
        <v>0</v>
      </c>
      <c r="AJ107" s="960">
        <v>0</v>
      </c>
      <c r="AK107" s="960">
        <v>0</v>
      </c>
      <c r="AL107" s="960">
        <v>0</v>
      </c>
      <c r="AM107" s="960">
        <v>0</v>
      </c>
      <c r="AN107" s="960">
        <v>0</v>
      </c>
      <c r="AO107" s="960">
        <v>0</v>
      </c>
      <c r="AP107" s="960">
        <v>0</v>
      </c>
      <c r="AQ107" s="960">
        <v>0</v>
      </c>
      <c r="AR107" s="960">
        <v>0</v>
      </c>
      <c r="AS107" s="960">
        <v>0</v>
      </c>
      <c r="AT107" s="960">
        <v>0</v>
      </c>
      <c r="AU107" s="960">
        <v>0</v>
      </c>
      <c r="AV107" s="960">
        <v>1</v>
      </c>
      <c r="AW107" s="960">
        <v>12.338611450800492</v>
      </c>
      <c r="AX107" s="960">
        <v>12.398503127625883</v>
      </c>
      <c r="AY107" s="960">
        <v>12.383541890763139</v>
      </c>
      <c r="AZ107" s="960">
        <v>12.293084021178702</v>
      </c>
      <c r="BA107" s="960">
        <v>12.281137185481517</v>
      </c>
      <c r="BB107" s="960">
        <v>1.139523336643496</v>
      </c>
      <c r="BC107" s="960">
        <v>0.84235976789168132</v>
      </c>
      <c r="BD107" s="960">
        <v>0.98330948974725862</v>
      </c>
      <c r="BE107" s="960">
        <v>0.81329113924050389</v>
      </c>
      <c r="BF107" s="960">
        <v>0.81355932203389703</v>
      </c>
      <c r="BG107" s="960">
        <v>0.8602701795603287</v>
      </c>
      <c r="BH107" s="960">
        <v>0.87193302528602423</v>
      </c>
      <c r="BI107" s="960">
        <v>0.87292421362217931</v>
      </c>
      <c r="BJ107" s="960">
        <v>0.87699235087983785</v>
      </c>
      <c r="BK107" s="960">
        <v>0.87344885065750233</v>
      </c>
      <c r="BL107" s="960">
        <v>1.6898808524920247E-2</v>
      </c>
      <c r="BM107" s="960">
        <v>1.7630309127180291E-2</v>
      </c>
      <c r="BN107" s="960">
        <v>1.8803127577920527E-2</v>
      </c>
      <c r="BO107" s="960">
        <v>1.7860507178115211E-2</v>
      </c>
      <c r="BP107" s="960">
        <v>1.8212499742761332E-2</v>
      </c>
      <c r="BQ107" s="960">
        <v>3.6723448410342086E-3</v>
      </c>
      <c r="BR107" s="960">
        <v>2.795156229295917E-2</v>
      </c>
      <c r="BS107" s="960">
        <v>0.10240470528162066</v>
      </c>
      <c r="BT107" s="960">
        <v>-5.2463703532301675E-4</v>
      </c>
      <c r="BU107" s="960">
        <v>1938059.487</v>
      </c>
      <c r="BV107" s="960">
        <v>1601870.97</v>
      </c>
      <c r="BW107" s="960">
        <v>1611370.5719999999</v>
      </c>
      <c r="BX107" s="960">
        <v>1605428.868</v>
      </c>
      <c r="BY107" s="960">
        <v>1488990.7340000002</v>
      </c>
      <c r="BZ107" s="960">
        <v>2549206</v>
      </c>
      <c r="CA107" s="960">
        <v>2890973</v>
      </c>
      <c r="CB107" s="960">
        <v>2942597</v>
      </c>
      <c r="CC107" s="960">
        <v>3030495</v>
      </c>
      <c r="CD107" s="960">
        <v>2339829</v>
      </c>
      <c r="CE107" s="960">
        <v>7.4960973421520971E-2</v>
      </c>
      <c r="CF107" s="960">
        <v>5.8553252598233296E-2</v>
      </c>
      <c r="CG107" s="960">
        <v>7.9811110228146437E-2</v>
      </c>
      <c r="CH107" s="960">
        <v>8.0353027199048424E-2</v>
      </c>
      <c r="CI107" s="960">
        <v>6.5326898478846457E-2</v>
      </c>
      <c r="CJ107" s="960">
        <v>8.8177451653726924E-2</v>
      </c>
      <c r="CK107" s="960">
        <v>0.117795131611547</v>
      </c>
      <c r="CL107" s="960">
        <v>0.11052830976793113</v>
      </c>
      <c r="CM107" s="960">
        <v>0.14574669390450617</v>
      </c>
      <c r="CN107" s="960" t="s">
        <v>619</v>
      </c>
      <c r="CO107" s="960">
        <v>2654.6</v>
      </c>
    </row>
    <row r="108" spans="1:93">
      <c r="A108" s="960">
        <v>0</v>
      </c>
      <c r="B108" s="960" t="s">
        <v>614</v>
      </c>
      <c r="C108" s="960">
        <v>0</v>
      </c>
      <c r="D108" s="960">
        <v>0</v>
      </c>
      <c r="E108" s="960">
        <v>0</v>
      </c>
      <c r="F108" s="960">
        <v>0</v>
      </c>
      <c r="G108" s="960">
        <v>1</v>
      </c>
      <c r="H108" s="960">
        <v>0</v>
      </c>
      <c r="I108" s="960">
        <v>0</v>
      </c>
      <c r="J108" s="960">
        <v>0</v>
      </c>
      <c r="K108" s="960">
        <v>0</v>
      </c>
      <c r="L108" s="960">
        <v>0</v>
      </c>
      <c r="M108" s="960">
        <v>0</v>
      </c>
      <c r="N108" s="960" t="s">
        <v>1036</v>
      </c>
      <c r="O108" s="960">
        <v>0</v>
      </c>
      <c r="P108" s="960">
        <v>0</v>
      </c>
      <c r="Q108" s="960">
        <v>0</v>
      </c>
      <c r="R108" s="960">
        <v>0</v>
      </c>
      <c r="S108" s="960">
        <v>0</v>
      </c>
      <c r="T108" s="960">
        <v>0</v>
      </c>
      <c r="U108" s="960">
        <v>0</v>
      </c>
      <c r="V108" s="960">
        <v>0</v>
      </c>
      <c r="W108" s="960">
        <v>0</v>
      </c>
      <c r="X108" s="960">
        <v>0</v>
      </c>
      <c r="Y108" s="960">
        <v>0</v>
      </c>
      <c r="Z108" s="960">
        <v>0</v>
      </c>
      <c r="AA108" s="960">
        <v>0</v>
      </c>
      <c r="AB108" s="960">
        <v>0</v>
      </c>
      <c r="AC108" s="960">
        <v>0</v>
      </c>
      <c r="AD108" s="960">
        <v>0</v>
      </c>
      <c r="AE108" s="960">
        <v>0</v>
      </c>
      <c r="AF108" s="960">
        <v>2012</v>
      </c>
      <c r="AG108" s="960">
        <v>0</v>
      </c>
      <c r="AH108" s="960">
        <v>0</v>
      </c>
      <c r="AI108" s="960">
        <v>0</v>
      </c>
      <c r="AJ108" s="960">
        <v>0</v>
      </c>
      <c r="AK108" s="960">
        <v>0</v>
      </c>
      <c r="AL108" s="960">
        <v>0</v>
      </c>
      <c r="AM108" s="960">
        <v>0</v>
      </c>
      <c r="AN108" s="960">
        <v>0</v>
      </c>
      <c r="AO108" s="960">
        <v>0</v>
      </c>
      <c r="AP108" s="960">
        <v>1</v>
      </c>
      <c r="AQ108" s="960">
        <v>0</v>
      </c>
      <c r="AR108" s="960">
        <v>0</v>
      </c>
      <c r="AS108" s="960">
        <v>0</v>
      </c>
      <c r="AT108" s="960">
        <v>0</v>
      </c>
      <c r="AU108" s="960">
        <v>0</v>
      </c>
      <c r="AV108" s="960">
        <v>0</v>
      </c>
      <c r="AW108" s="960">
        <v>11.438518347283097</v>
      </c>
      <c r="AX108" s="960">
        <v>11.668149674030152</v>
      </c>
      <c r="AY108" s="960">
        <v>11.705712522947131</v>
      </c>
      <c r="AZ108" s="960">
        <v>7.4826854657394817</v>
      </c>
      <c r="BA108" s="960">
        <v>7.5424836006160474</v>
      </c>
      <c r="BB108" s="960">
        <v>-2.336663713664016E-2</v>
      </c>
      <c r="BC108" s="960">
        <v>-3.2375507911907873E-2</v>
      </c>
      <c r="BD108" s="960">
        <v>1.858352405959084E-2</v>
      </c>
      <c r="BE108" s="960">
        <v>-1.940499226006192</v>
      </c>
      <c r="BF108" s="960">
        <v>-4.0098456877780935</v>
      </c>
      <c r="BG108" s="960">
        <v>0.70049682597132457</v>
      </c>
      <c r="BH108" s="960">
        <v>0.69086640212502659</v>
      </c>
      <c r="BI108" s="960">
        <v>0.67625669818094214</v>
      </c>
      <c r="BJ108" s="960">
        <v>0.51336373334843899</v>
      </c>
      <c r="BK108" s="960">
        <v>0.47626866751643404</v>
      </c>
      <c r="BL108" s="960">
        <v>0.46153551589237829</v>
      </c>
      <c r="BM108" s="960">
        <v>0.47834027287865727</v>
      </c>
      <c r="BN108" s="960">
        <v>0.48745714498871001</v>
      </c>
      <c r="BO108" s="960">
        <v>1.951643205785444E-2</v>
      </c>
      <c r="BP108" s="960">
        <v>1.9598457059841808E-2</v>
      </c>
      <c r="BQ108" s="960">
        <v>8.7645460110427967E-2</v>
      </c>
      <c r="BR108" s="960">
        <v>0.17803275410006628</v>
      </c>
      <c r="BS108" s="960">
        <v>4.1632289223310845</v>
      </c>
      <c r="BT108" s="960">
        <v>0.1999880306645081</v>
      </c>
      <c r="BU108" s="960">
        <v>60239.547694000001</v>
      </c>
      <c r="BV108" s="960">
        <v>75478.329375000001</v>
      </c>
      <c r="BW108" s="960">
        <v>80536.120733000003</v>
      </c>
      <c r="BX108" s="960">
        <v>44309.1129</v>
      </c>
      <c r="BY108" s="960">
        <v>50413.364496000002</v>
      </c>
      <c r="BZ108" s="960">
        <v>366322</v>
      </c>
      <c r="CA108" s="960">
        <v>827959</v>
      </c>
      <c r="CB108" s="960">
        <v>622526</v>
      </c>
      <c r="CC108" s="960">
        <v>221087</v>
      </c>
      <c r="CD108" s="960">
        <v>149905</v>
      </c>
      <c r="CE108" s="960">
        <v>-5.04627075547847E-2</v>
      </c>
      <c r="CF108" s="960">
        <v>-1.5596935450750155E-2</v>
      </c>
      <c r="CG108" s="960">
        <v>3.6199030160989258E-3</v>
      </c>
      <c r="CH108" s="960">
        <v>-0.10262059501489962</v>
      </c>
      <c r="CI108" s="960">
        <v>-4.5878522314460685E-2</v>
      </c>
      <c r="CJ108" s="960">
        <v>1.1506655243319446E-2</v>
      </c>
      <c r="CK108" s="960">
        <v>-0.15005172242769488</v>
      </c>
      <c r="CL108" s="960">
        <v>-7.782326122805315E-2</v>
      </c>
      <c r="CM108" s="960">
        <v>2.7981031672371398E-2</v>
      </c>
      <c r="CN108" s="960" t="s">
        <v>614</v>
      </c>
      <c r="CO108" s="960">
        <v>2018</v>
      </c>
    </row>
    <row r="109" spans="1:93">
      <c r="A109" s="960">
        <v>0</v>
      </c>
      <c r="B109" s="960" t="s">
        <v>614</v>
      </c>
      <c r="C109" s="960">
        <v>0</v>
      </c>
      <c r="D109" s="960">
        <v>0</v>
      </c>
      <c r="E109" s="960">
        <v>0</v>
      </c>
      <c r="F109" s="960">
        <v>0</v>
      </c>
      <c r="G109" s="960">
        <v>1</v>
      </c>
      <c r="H109" s="960">
        <v>0</v>
      </c>
      <c r="I109" s="960">
        <v>0</v>
      </c>
      <c r="J109" s="960">
        <v>0</v>
      </c>
      <c r="K109" s="960">
        <v>0</v>
      </c>
      <c r="L109" s="960">
        <v>0</v>
      </c>
      <c r="M109" s="960">
        <v>0</v>
      </c>
      <c r="N109" s="960" t="s">
        <v>1036</v>
      </c>
      <c r="O109" s="960">
        <v>0</v>
      </c>
      <c r="P109" s="960">
        <v>0</v>
      </c>
      <c r="Q109" s="960">
        <v>0</v>
      </c>
      <c r="R109" s="960">
        <v>0</v>
      </c>
      <c r="S109" s="960">
        <v>0</v>
      </c>
      <c r="T109" s="960">
        <v>0</v>
      </c>
      <c r="U109" s="960">
        <v>0</v>
      </c>
      <c r="V109" s="960">
        <v>0</v>
      </c>
      <c r="W109" s="960">
        <v>0</v>
      </c>
      <c r="X109" s="960">
        <v>0</v>
      </c>
      <c r="Y109" s="960">
        <v>0</v>
      </c>
      <c r="Z109" s="960">
        <v>0</v>
      </c>
      <c r="AA109" s="960">
        <v>0</v>
      </c>
      <c r="AB109" s="960">
        <v>0</v>
      </c>
      <c r="AC109" s="960">
        <v>0</v>
      </c>
      <c r="AD109" s="960">
        <v>0</v>
      </c>
      <c r="AE109" s="960">
        <v>0</v>
      </c>
      <c r="AF109" s="960">
        <v>2012</v>
      </c>
      <c r="AG109" s="960">
        <v>0</v>
      </c>
      <c r="AH109" s="960">
        <v>0</v>
      </c>
      <c r="AI109" s="960">
        <v>0</v>
      </c>
      <c r="AJ109" s="960">
        <v>0</v>
      </c>
      <c r="AK109" s="960">
        <v>0</v>
      </c>
      <c r="AL109" s="960">
        <v>0</v>
      </c>
      <c r="AM109" s="960">
        <v>0</v>
      </c>
      <c r="AN109" s="960">
        <v>0</v>
      </c>
      <c r="AO109" s="960">
        <v>0</v>
      </c>
      <c r="AP109" s="960">
        <v>1</v>
      </c>
      <c r="AQ109" s="960">
        <v>0</v>
      </c>
      <c r="AR109" s="960">
        <v>0</v>
      </c>
      <c r="AS109" s="960">
        <v>0</v>
      </c>
      <c r="AT109" s="960">
        <v>0</v>
      </c>
      <c r="AU109" s="960">
        <v>0</v>
      </c>
      <c r="AV109" s="960">
        <v>0</v>
      </c>
      <c r="AW109" s="960">
        <v>12.084266744924822</v>
      </c>
      <c r="AX109" s="960">
        <v>12.197870915633125</v>
      </c>
      <c r="AY109" s="960">
        <v>11.96029476510763</v>
      </c>
      <c r="AZ109" s="960">
        <v>11.870319896055998</v>
      </c>
      <c r="BA109" s="960">
        <v>11.980330802778431</v>
      </c>
      <c r="BB109" s="960">
        <v>3.9869841399022547E-2</v>
      </c>
      <c r="BC109" s="960">
        <v>4.3737896841160813E-2</v>
      </c>
      <c r="BD109" s="960">
        <v>2.5863476547617753E-3</v>
      </c>
      <c r="BE109" s="960">
        <v>1.2355537382896587E-2</v>
      </c>
      <c r="BF109" s="960">
        <v>1.285431625691622E-2</v>
      </c>
      <c r="BG109" s="960">
        <v>0.6044489704346766</v>
      </c>
      <c r="BH109" s="960">
        <v>0.56932559729681287</v>
      </c>
      <c r="BI109" s="960">
        <v>0.53065735892961019</v>
      </c>
      <c r="BJ109" s="960">
        <v>0.51637435769340567</v>
      </c>
      <c r="BK109" s="960">
        <v>0.55135783787978299</v>
      </c>
      <c r="BL109" s="960">
        <v>1.3159472527229032</v>
      </c>
      <c r="BM109" s="960">
        <v>1.3786553104482964</v>
      </c>
      <c r="BN109" s="960">
        <v>1.272431369290008</v>
      </c>
      <c r="BO109" s="960">
        <v>1.2363361166619089</v>
      </c>
      <c r="BP109" s="960">
        <v>1.2381862977404934</v>
      </c>
      <c r="BQ109" s="960">
        <v>-1.2625088368328003E-2</v>
      </c>
      <c r="BR109" s="960">
        <v>-2.8463972689588453E-2</v>
      </c>
      <c r="BS109" s="960">
        <v>-2.0036037670800436E-2</v>
      </c>
      <c r="BT109" s="960">
        <v>-2.0700478950172796E-2</v>
      </c>
      <c r="BU109" s="960">
        <v>53222.393631999999</v>
      </c>
      <c r="BV109" s="960">
        <v>61967.131334999998</v>
      </c>
      <c r="BW109" s="960">
        <v>57695.994552000004</v>
      </c>
      <c r="BX109" s="960">
        <v>55922.407176000001</v>
      </c>
      <c r="BY109" s="960">
        <v>57824.026920000004</v>
      </c>
      <c r="BZ109" s="960">
        <v>221977</v>
      </c>
      <c r="CA109" s="960">
        <v>131344</v>
      </c>
      <c r="CB109" s="960">
        <v>55933</v>
      </c>
      <c r="CC109" s="960">
        <v>69764</v>
      </c>
      <c r="CD109" s="960">
        <v>112209</v>
      </c>
      <c r="CE109" s="960">
        <v>1.8281542977836004E-2</v>
      </c>
      <c r="CF109" s="960">
        <v>2.5318891921334786E-2</v>
      </c>
      <c r="CG109" s="960">
        <v>7.2328391468363933E-3</v>
      </c>
      <c r="CH109" s="960">
        <v>2.5995638221697467E-2</v>
      </c>
      <c r="CI109" s="960">
        <v>2.8349665811502792E-2</v>
      </c>
      <c r="CJ109" s="960">
        <v>7.1291092070314213E-3</v>
      </c>
      <c r="CK109" s="960">
        <v>3.5475800722735276E-2</v>
      </c>
      <c r="CL109" s="960">
        <v>3.158567853563457E-2</v>
      </c>
      <c r="CM109" s="960">
        <v>7.0118280331468233E-3</v>
      </c>
      <c r="CN109" s="960" t="s">
        <v>614</v>
      </c>
      <c r="CO109" s="960">
        <v>2018</v>
      </c>
    </row>
    <row r="110" spans="1:93">
      <c r="A110" s="960">
        <v>0</v>
      </c>
      <c r="B110" s="960" t="s">
        <v>612</v>
      </c>
      <c r="C110" s="960">
        <v>0</v>
      </c>
      <c r="D110" s="960">
        <v>0</v>
      </c>
      <c r="E110" s="960">
        <v>1</v>
      </c>
      <c r="F110" s="960">
        <v>0</v>
      </c>
      <c r="G110" s="960">
        <v>0</v>
      </c>
      <c r="H110" s="960">
        <v>0</v>
      </c>
      <c r="I110" s="960">
        <v>0</v>
      </c>
      <c r="J110" s="960">
        <v>0</v>
      </c>
      <c r="K110" s="960">
        <v>0</v>
      </c>
      <c r="L110" s="960">
        <v>0</v>
      </c>
      <c r="M110" s="960">
        <v>0</v>
      </c>
      <c r="N110" s="960" t="s">
        <v>1036</v>
      </c>
      <c r="O110" s="960">
        <v>0</v>
      </c>
      <c r="P110" s="960">
        <v>0</v>
      </c>
      <c r="Q110" s="960">
        <v>0</v>
      </c>
      <c r="R110" s="960">
        <v>0</v>
      </c>
      <c r="S110" s="960">
        <v>0</v>
      </c>
      <c r="T110" s="960">
        <v>0</v>
      </c>
      <c r="U110" s="960">
        <v>0</v>
      </c>
      <c r="V110" s="960">
        <v>0</v>
      </c>
      <c r="W110" s="960">
        <v>0</v>
      </c>
      <c r="X110" s="960">
        <v>0</v>
      </c>
      <c r="Y110" s="960">
        <v>0</v>
      </c>
      <c r="Z110" s="960">
        <v>0</v>
      </c>
      <c r="AA110" s="960">
        <v>0</v>
      </c>
      <c r="AB110" s="960">
        <v>0</v>
      </c>
      <c r="AC110" s="960">
        <v>0</v>
      </c>
      <c r="AD110" s="960">
        <v>0</v>
      </c>
      <c r="AE110" s="960">
        <v>0</v>
      </c>
      <c r="AF110" s="960">
        <v>2013</v>
      </c>
      <c r="AG110" s="960">
        <v>0</v>
      </c>
      <c r="AH110" s="960">
        <v>0</v>
      </c>
      <c r="AI110" s="960">
        <v>0</v>
      </c>
      <c r="AJ110" s="960">
        <v>0</v>
      </c>
      <c r="AK110" s="960">
        <v>0</v>
      </c>
      <c r="AL110" s="960">
        <v>0</v>
      </c>
      <c r="AM110" s="960">
        <v>0</v>
      </c>
      <c r="AN110" s="960">
        <v>0</v>
      </c>
      <c r="AO110" s="960">
        <v>0</v>
      </c>
      <c r="AP110" s="960">
        <v>0</v>
      </c>
      <c r="AQ110" s="960">
        <v>1</v>
      </c>
      <c r="AR110" s="960">
        <v>0</v>
      </c>
      <c r="AS110" s="960">
        <v>0</v>
      </c>
      <c r="AT110" s="960">
        <v>0</v>
      </c>
      <c r="AU110" s="960">
        <v>0</v>
      </c>
      <c r="AV110" s="960">
        <v>0</v>
      </c>
      <c r="AW110" s="960">
        <v>12.199302410204753</v>
      </c>
      <c r="AX110" s="960">
        <v>12.62138848335986</v>
      </c>
      <c r="AY110" s="960">
        <v>13.06012445825017</v>
      </c>
      <c r="AZ110" s="960">
        <v>13.033084952424039</v>
      </c>
      <c r="BA110" s="960">
        <v>13.1962266702688</v>
      </c>
      <c r="BB110" s="960">
        <v>-3.0833836253265485E-2</v>
      </c>
      <c r="BC110" s="960">
        <v>-3.4011792394807415E-2</v>
      </c>
      <c r="BD110" s="960">
        <v>-7.1745116781492509E-3</v>
      </c>
      <c r="BE110" s="960">
        <v>2.2206418679291299E-2</v>
      </c>
      <c r="BF110" s="960">
        <v>4.3185888641061217E-2</v>
      </c>
      <c r="BG110" s="960">
        <v>0.85029617135660274</v>
      </c>
      <c r="BH110" s="960">
        <v>0.83593130947544392</v>
      </c>
      <c r="BI110" s="960">
        <v>0.82486962976360023</v>
      </c>
      <c r="BJ110" s="960">
        <v>0.80011843420443418</v>
      </c>
      <c r="BK110" s="960">
        <v>0.79956837058263441</v>
      </c>
      <c r="BL110" s="960">
        <v>1.4851638399473075</v>
      </c>
      <c r="BM110" s="960">
        <v>2.5870432503359955</v>
      </c>
      <c r="BN110" s="960">
        <v>2.7800520350567828</v>
      </c>
      <c r="BO110" s="960">
        <v>2.6685004759226838</v>
      </c>
      <c r="BP110" s="960">
        <v>2.043425286801237</v>
      </c>
      <c r="BQ110" s="960">
        <v>-0.10819265267350427</v>
      </c>
      <c r="BR110" s="960">
        <v>-0.55417501492689103</v>
      </c>
      <c r="BS110" s="960">
        <v>-0.13610221201863018</v>
      </c>
      <c r="BT110" s="960">
        <v>2.5301259180965818E-2</v>
      </c>
      <c r="BU110" s="960">
        <v>20023.881229000002</v>
      </c>
      <c r="BV110" s="960">
        <v>19214.283872</v>
      </c>
      <c r="BW110" s="960">
        <v>29597.056815</v>
      </c>
      <c r="BX110" s="960">
        <v>34253.293458</v>
      </c>
      <c r="BY110" s="960">
        <v>52802.674271999997</v>
      </c>
      <c r="BZ110" s="960">
        <v>31527.139248000003</v>
      </c>
      <c r="CA110" s="960">
        <v>40297.547914000002</v>
      </c>
      <c r="CB110" s="960">
        <v>17499.191985000001</v>
      </c>
      <c r="CC110" s="960">
        <v>17625.358772</v>
      </c>
      <c r="CD110" s="960">
        <v>17929.09434</v>
      </c>
      <c r="CE110" s="960">
        <v>1.296677374502565</v>
      </c>
      <c r="CF110" s="960">
        <v>0.57615247884385024</v>
      </c>
      <c r="CG110" s="960">
        <v>-0.1926257471138888</v>
      </c>
      <c r="CH110" s="960">
        <v>1.125029352384511</v>
      </c>
      <c r="CI110" s="960">
        <v>0.52024805804977203</v>
      </c>
      <c r="CJ110" s="960">
        <v>-0.17883664449614786</v>
      </c>
      <c r="CK110" s="960">
        <v>0.44028548357688002</v>
      </c>
      <c r="CL110" s="960">
        <v>0.29646475190631</v>
      </c>
      <c r="CM110" s="960">
        <v>-0.11388953135001102</v>
      </c>
      <c r="CN110" s="960" t="s">
        <v>612</v>
      </c>
      <c r="CO110" s="960">
        <v>2110.5</v>
      </c>
    </row>
    <row r="111" spans="1:93">
      <c r="A111" s="960">
        <v>0</v>
      </c>
      <c r="B111" s="960" t="s">
        <v>619</v>
      </c>
      <c r="C111" s="960">
        <v>0</v>
      </c>
      <c r="D111" s="960">
        <v>0</v>
      </c>
      <c r="E111" s="960">
        <v>0</v>
      </c>
      <c r="F111" s="960">
        <v>0</v>
      </c>
      <c r="G111" s="960">
        <v>0</v>
      </c>
      <c r="H111" s="960">
        <v>0</v>
      </c>
      <c r="I111" s="960">
        <v>0</v>
      </c>
      <c r="J111" s="960">
        <v>0</v>
      </c>
      <c r="K111" s="960">
        <v>0</v>
      </c>
      <c r="L111" s="960">
        <v>0</v>
      </c>
      <c r="M111" s="960">
        <v>1</v>
      </c>
      <c r="N111" s="960" t="s">
        <v>1036</v>
      </c>
      <c r="O111" s="960">
        <v>0</v>
      </c>
      <c r="P111" s="960">
        <v>0</v>
      </c>
      <c r="Q111" s="960">
        <v>0</v>
      </c>
      <c r="R111" s="960">
        <v>0</v>
      </c>
      <c r="S111" s="960">
        <v>0</v>
      </c>
      <c r="T111" s="960">
        <v>0</v>
      </c>
      <c r="U111" s="960">
        <v>0</v>
      </c>
      <c r="V111" s="960">
        <v>0</v>
      </c>
      <c r="W111" s="960">
        <v>0</v>
      </c>
      <c r="X111" s="960">
        <v>0</v>
      </c>
      <c r="Y111" s="960">
        <v>0</v>
      </c>
      <c r="Z111" s="960">
        <v>0</v>
      </c>
      <c r="AA111" s="960">
        <v>0</v>
      </c>
      <c r="AB111" s="960">
        <v>0</v>
      </c>
      <c r="AC111" s="960">
        <v>0</v>
      </c>
      <c r="AD111" s="960">
        <v>0</v>
      </c>
      <c r="AE111" s="960">
        <v>0</v>
      </c>
      <c r="AF111" s="960">
        <v>2010</v>
      </c>
      <c r="AG111" s="960">
        <v>0</v>
      </c>
      <c r="AH111" s="960">
        <v>0</v>
      </c>
      <c r="AI111" s="960">
        <v>0</v>
      </c>
      <c r="AJ111" s="960">
        <v>0</v>
      </c>
      <c r="AK111" s="960">
        <v>0</v>
      </c>
      <c r="AL111" s="960">
        <v>0</v>
      </c>
      <c r="AM111" s="960">
        <v>0</v>
      </c>
      <c r="AN111" s="960">
        <v>1</v>
      </c>
      <c r="AO111" s="960">
        <v>0</v>
      </c>
      <c r="AP111" s="960">
        <v>0</v>
      </c>
      <c r="AQ111" s="960">
        <v>0</v>
      </c>
      <c r="AR111" s="960">
        <v>0</v>
      </c>
      <c r="AS111" s="960">
        <v>0</v>
      </c>
      <c r="AT111" s="960">
        <v>0</v>
      </c>
      <c r="AU111" s="960">
        <v>0</v>
      </c>
      <c r="AV111" s="960">
        <v>0</v>
      </c>
      <c r="AW111" s="960">
        <v>2.4781077562689711</v>
      </c>
      <c r="AX111" s="960">
        <v>7.20820279040682</v>
      </c>
      <c r="AY111" s="960">
        <v>7.4685285453522932</v>
      </c>
      <c r="AZ111" s="960">
        <v>7.5995059929363125</v>
      </c>
      <c r="BA111" s="960">
        <v>7.2685124213992207</v>
      </c>
      <c r="BB111" s="960">
        <v>-340.2</v>
      </c>
      <c r="BC111" s="960">
        <v>-2.7126670910248247</v>
      </c>
      <c r="BD111" s="960">
        <v>-2.9801223241590216</v>
      </c>
      <c r="BE111" s="960">
        <v>-1.7339913735899137</v>
      </c>
      <c r="BF111" s="960">
        <v>-1.4179104477611941</v>
      </c>
      <c r="BG111" s="960">
        <v>0.38892062365837088</v>
      </c>
      <c r="BH111" s="960">
        <v>0.24463164653286407</v>
      </c>
      <c r="BI111" s="960">
        <v>0.22448817563991277</v>
      </c>
      <c r="BJ111" s="960">
        <v>0.12628356461488263</v>
      </c>
      <c r="BK111" s="960">
        <v>8.8584582801201656E-2</v>
      </c>
      <c r="BL111" s="960">
        <v>4.2090325839251033E-4</v>
      </c>
      <c r="BM111" s="960">
        <v>4.6698135641586605E-2</v>
      </c>
      <c r="BN111" s="960">
        <v>5.1923443355281262E-2</v>
      </c>
      <c r="BO111" s="960">
        <v>5.7849177558971995E-2</v>
      </c>
      <c r="BP111" s="960">
        <v>4.0804083135251579E-2</v>
      </c>
      <c r="BQ111" s="960">
        <v>-9.6881676901490549E-2</v>
      </c>
      <c r="BR111" s="960">
        <v>-0.13605056238781768</v>
      </c>
      <c r="BS111" s="960">
        <v>0.20001612395307292</v>
      </c>
      <c r="BT111" s="960">
        <v>0.13590359283871112</v>
      </c>
      <c r="BU111" s="960">
        <v>17303.894676</v>
      </c>
      <c r="BV111" s="960">
        <v>21844.491515999998</v>
      </c>
      <c r="BW111" s="960">
        <v>26167.707323999999</v>
      </c>
      <c r="BX111" s="960">
        <v>30164.714507000001</v>
      </c>
      <c r="BY111" s="960">
        <v>32039.636719999999</v>
      </c>
      <c r="BZ111" s="960">
        <v>9180.7966400000005</v>
      </c>
      <c r="CA111" s="960">
        <v>4126.1759999999995</v>
      </c>
      <c r="CB111" s="960">
        <v>4828.164264</v>
      </c>
      <c r="CC111" s="960">
        <v>2984.3829150000001</v>
      </c>
      <c r="CD111" s="960">
        <v>2213.6133500000001</v>
      </c>
      <c r="CE111" s="960">
        <v>-0.91880187657885237</v>
      </c>
      <c r="CF111" s="960">
        <v>-1.160421870663336</v>
      </c>
      <c r="CG111" s="960">
        <v>-1.0814159946733743</v>
      </c>
      <c r="CH111" s="960">
        <v>-0.13924821670248838</v>
      </c>
      <c r="CI111" s="960">
        <v>-0.24685100065793852</v>
      </c>
      <c r="CJ111" s="960">
        <v>-0.39750331644232756</v>
      </c>
      <c r="CK111" s="960">
        <v>-6.347987393784657E-2</v>
      </c>
      <c r="CL111" s="960">
        <v>-0.11480775673167222</v>
      </c>
      <c r="CM111" s="960">
        <v>-0.19953043632566425</v>
      </c>
      <c r="CN111" s="960" t="s">
        <v>619</v>
      </c>
      <c r="CO111" s="960">
        <v>1837.8</v>
      </c>
    </row>
    <row r="112" spans="1:93">
      <c r="A112" s="960">
        <v>0</v>
      </c>
      <c r="B112" s="960" t="s">
        <v>614</v>
      </c>
      <c r="C112" s="960">
        <v>0</v>
      </c>
      <c r="D112" s="960">
        <v>0</v>
      </c>
      <c r="E112" s="960">
        <v>0</v>
      </c>
      <c r="F112" s="960">
        <v>0</v>
      </c>
      <c r="G112" s="960">
        <v>1</v>
      </c>
      <c r="H112" s="960">
        <v>0</v>
      </c>
      <c r="I112" s="960">
        <v>0</v>
      </c>
      <c r="J112" s="960">
        <v>0</v>
      </c>
      <c r="K112" s="960">
        <v>0</v>
      </c>
      <c r="L112" s="960">
        <v>0</v>
      </c>
      <c r="M112" s="960">
        <v>0</v>
      </c>
      <c r="N112" s="960" t="s">
        <v>1036</v>
      </c>
      <c r="O112" s="960">
        <v>0</v>
      </c>
      <c r="P112" s="960">
        <v>0</v>
      </c>
      <c r="Q112" s="960">
        <v>0</v>
      </c>
      <c r="R112" s="960">
        <v>0</v>
      </c>
      <c r="S112" s="960">
        <v>0</v>
      </c>
      <c r="T112" s="960">
        <v>0</v>
      </c>
      <c r="U112" s="960">
        <v>0</v>
      </c>
      <c r="V112" s="960">
        <v>0</v>
      </c>
      <c r="W112" s="960">
        <v>0</v>
      </c>
      <c r="X112" s="960">
        <v>0</v>
      </c>
      <c r="Y112" s="960">
        <v>0</v>
      </c>
      <c r="Z112" s="960">
        <v>0</v>
      </c>
      <c r="AA112" s="960">
        <v>0</v>
      </c>
      <c r="AB112" s="960">
        <v>0</v>
      </c>
      <c r="AC112" s="960">
        <v>0</v>
      </c>
      <c r="AD112" s="960">
        <v>0</v>
      </c>
      <c r="AE112" s="960">
        <v>0</v>
      </c>
      <c r="AF112" s="960">
        <v>2010</v>
      </c>
      <c r="AG112" s="960">
        <v>0</v>
      </c>
      <c r="AH112" s="960">
        <v>0</v>
      </c>
      <c r="AI112" s="960">
        <v>0</v>
      </c>
      <c r="AJ112" s="960">
        <v>0</v>
      </c>
      <c r="AK112" s="960">
        <v>0</v>
      </c>
      <c r="AL112" s="960">
        <v>0</v>
      </c>
      <c r="AM112" s="960">
        <v>0</v>
      </c>
      <c r="AN112" s="960">
        <v>1</v>
      </c>
      <c r="AO112" s="960">
        <v>0</v>
      </c>
      <c r="AP112" s="960">
        <v>0</v>
      </c>
      <c r="AQ112" s="960">
        <v>0</v>
      </c>
      <c r="AR112" s="960">
        <v>0</v>
      </c>
      <c r="AS112" s="960">
        <v>0</v>
      </c>
      <c r="AT112" s="960">
        <v>0</v>
      </c>
      <c r="AU112" s="960">
        <v>0</v>
      </c>
      <c r="AV112" s="960">
        <v>0</v>
      </c>
      <c r="AW112" s="960">
        <v>12.294360790038077</v>
      </c>
      <c r="AX112" s="960">
        <v>12.087259498831544</v>
      </c>
      <c r="AY112" s="960">
        <v>12.08463867137872</v>
      </c>
      <c r="AZ112" s="960">
        <v>11.850432157885558</v>
      </c>
      <c r="BA112" s="960">
        <v>11.839399206674118</v>
      </c>
      <c r="BB112" s="960">
        <v>6.9867276880737808E-2</v>
      </c>
      <c r="BC112" s="960">
        <v>5.2721048922345359E-3</v>
      </c>
      <c r="BD112" s="960">
        <v>1.9221791687966516E-2</v>
      </c>
      <c r="BE112" s="960">
        <v>2.1628324274741303E-2</v>
      </c>
      <c r="BF112" s="960">
        <v>7.0819626023869736E-2</v>
      </c>
      <c r="BG112" s="960">
        <v>0.69608956082760065</v>
      </c>
      <c r="BH112" s="960">
        <v>0.7077756956300425</v>
      </c>
      <c r="BI112" s="960">
        <v>0.6674658897047101</v>
      </c>
      <c r="BJ112" s="960">
        <v>0.72076000691556075</v>
      </c>
      <c r="BK112" s="960">
        <v>0.66005488725967054</v>
      </c>
      <c r="BL112" s="960">
        <v>1.1186794311771426</v>
      </c>
      <c r="BM112" s="960">
        <v>1.1633069511200804</v>
      </c>
      <c r="BN112" s="960">
        <v>1.2450191876295338</v>
      </c>
      <c r="BO112" s="960">
        <v>0.93158990724559165</v>
      </c>
      <c r="BP112" s="960">
        <v>1.1435399382584235</v>
      </c>
      <c r="BQ112" s="960">
        <v>-5.705357129868445E-2</v>
      </c>
      <c r="BR112" s="960">
        <v>-0.16626159580137156</v>
      </c>
      <c r="BS112" s="960">
        <v>0.24523946470460162</v>
      </c>
      <c r="BT112" s="960">
        <v>7.4110024450395606E-3</v>
      </c>
      <c r="BU112" s="960">
        <v>59348.606054000003</v>
      </c>
      <c r="BV112" s="960">
        <v>44612.042988000001</v>
      </c>
      <c r="BW112" s="960">
        <v>47309.723208000003</v>
      </c>
      <c r="BX112" s="960">
        <v>42007.985057999998</v>
      </c>
      <c r="BY112" s="960">
        <v>41204.523229999999</v>
      </c>
      <c r="BZ112" s="960">
        <v>79842.282707999999</v>
      </c>
      <c r="CA112" s="960">
        <v>60159.989927999995</v>
      </c>
      <c r="CB112" s="960">
        <v>57390.574428</v>
      </c>
      <c r="CC112" s="960">
        <v>53908.077332000001</v>
      </c>
      <c r="CD112" s="960">
        <v>53354.712189999998</v>
      </c>
      <c r="CE112" s="960">
        <v>0.18397829595714291</v>
      </c>
      <c r="CF112" s="960">
        <v>5.6227182771379051E-2</v>
      </c>
      <c r="CG112" s="960">
        <v>5.9326016126070899E-2</v>
      </c>
      <c r="CH112" s="960">
        <v>0.20242057734881624</v>
      </c>
      <c r="CI112" s="960">
        <v>6.0674966432613019E-2</v>
      </c>
      <c r="CJ112" s="960">
        <v>6.3529671358690365E-2</v>
      </c>
      <c r="CK112" s="960">
        <v>0.23822891907297042</v>
      </c>
      <c r="CL112" s="960">
        <v>7.2155313158081547E-2</v>
      </c>
      <c r="CM112" s="960">
        <v>7.1967323271598868E-2</v>
      </c>
      <c r="CN112" s="960" t="s">
        <v>614</v>
      </c>
      <c r="CO112" s="960">
        <v>1816.2</v>
      </c>
    </row>
    <row r="113" spans="1:93">
      <c r="A113" s="960">
        <v>0</v>
      </c>
      <c r="B113" s="960" t="s">
        <v>614</v>
      </c>
      <c r="C113" s="960">
        <v>0</v>
      </c>
      <c r="D113" s="960">
        <v>0</v>
      </c>
      <c r="E113" s="960">
        <v>0</v>
      </c>
      <c r="F113" s="960">
        <v>0</v>
      </c>
      <c r="G113" s="960">
        <v>1</v>
      </c>
      <c r="H113" s="960">
        <v>0</v>
      </c>
      <c r="I113" s="960">
        <v>0</v>
      </c>
      <c r="J113" s="960">
        <v>0</v>
      </c>
      <c r="K113" s="960">
        <v>0</v>
      </c>
      <c r="L113" s="960">
        <v>0</v>
      </c>
      <c r="M113" s="960">
        <v>0</v>
      </c>
      <c r="N113" s="960" t="s">
        <v>1036</v>
      </c>
      <c r="O113" s="960">
        <v>0</v>
      </c>
      <c r="P113" s="960">
        <v>0</v>
      </c>
      <c r="Q113" s="960">
        <v>0</v>
      </c>
      <c r="R113" s="960">
        <v>0</v>
      </c>
      <c r="S113" s="960">
        <v>0</v>
      </c>
      <c r="T113" s="960">
        <v>0</v>
      </c>
      <c r="U113" s="960">
        <v>0</v>
      </c>
      <c r="V113" s="960">
        <v>0</v>
      </c>
      <c r="W113" s="960">
        <v>0</v>
      </c>
      <c r="X113" s="960">
        <v>0</v>
      </c>
      <c r="Y113" s="960">
        <v>0</v>
      </c>
      <c r="Z113" s="960">
        <v>0</v>
      </c>
      <c r="AA113" s="960">
        <v>0</v>
      </c>
      <c r="AB113" s="960">
        <v>0</v>
      </c>
      <c r="AC113" s="960">
        <v>0</v>
      </c>
      <c r="AD113" s="960">
        <v>0</v>
      </c>
      <c r="AE113" s="960">
        <v>0</v>
      </c>
      <c r="AF113" s="960">
        <v>2016</v>
      </c>
      <c r="AG113" s="960">
        <v>0</v>
      </c>
      <c r="AH113" s="960">
        <v>0</v>
      </c>
      <c r="AI113" s="960">
        <v>0</v>
      </c>
      <c r="AJ113" s="960">
        <v>0</v>
      </c>
      <c r="AK113" s="960">
        <v>0</v>
      </c>
      <c r="AL113" s="960">
        <v>0</v>
      </c>
      <c r="AM113" s="960">
        <v>0</v>
      </c>
      <c r="AN113" s="960">
        <v>0</v>
      </c>
      <c r="AO113" s="960">
        <v>0</v>
      </c>
      <c r="AP113" s="960">
        <v>0</v>
      </c>
      <c r="AQ113" s="960">
        <v>0</v>
      </c>
      <c r="AR113" s="960">
        <v>0</v>
      </c>
      <c r="AS113" s="960">
        <v>0</v>
      </c>
      <c r="AT113" s="960">
        <v>1</v>
      </c>
      <c r="AU113" s="960">
        <v>0</v>
      </c>
      <c r="AV113" s="960">
        <v>0</v>
      </c>
      <c r="AW113" s="960">
        <v>10.935293616511684</v>
      </c>
      <c r="AX113" s="960">
        <v>10.222556116351752</v>
      </c>
      <c r="AY113" s="960">
        <v>10.402512847437007</v>
      </c>
      <c r="AZ113" s="960">
        <v>10.285371741616919</v>
      </c>
      <c r="BA113" s="960">
        <v>10.159621336112597</v>
      </c>
      <c r="BB113" s="960">
        <v>-1.9483466302537691E-2</v>
      </c>
      <c r="BC113" s="960">
        <v>-0.29959832538771203</v>
      </c>
      <c r="BD113" s="960">
        <v>-4.2947130120322523E-2</v>
      </c>
      <c r="BE113" s="960">
        <v>-3.0473435290675942E-2</v>
      </c>
      <c r="BF113" s="960">
        <v>-0.48983634300659623</v>
      </c>
      <c r="BG113" s="960">
        <v>0.66556691630999765</v>
      </c>
      <c r="BH113" s="960">
        <v>0.47928094011830014</v>
      </c>
      <c r="BI113" s="960">
        <v>0.27410945066698356</v>
      </c>
      <c r="BJ113" s="960">
        <v>0.41569879726687886</v>
      </c>
      <c r="BK113" s="960">
        <v>0.84653993897921276</v>
      </c>
      <c r="BL113" s="960">
        <v>1.4804579360485168</v>
      </c>
      <c r="BM113" s="960">
        <v>0.9251261744245165</v>
      </c>
      <c r="BN113" s="960">
        <v>1.0105098190677084</v>
      </c>
      <c r="BO113" s="960">
        <v>0.81952343531480176</v>
      </c>
      <c r="BP113" s="960">
        <v>0.39514569377899539</v>
      </c>
      <c r="BQ113" s="960">
        <v>0.15015822490814296</v>
      </c>
      <c r="BR113" s="960">
        <v>1.201497761867482</v>
      </c>
      <c r="BS113" s="960">
        <v>0.24289151132441211</v>
      </c>
      <c r="BT113" s="960">
        <v>-0.5724304883122292</v>
      </c>
      <c r="BU113" s="960">
        <v>12678.230004999999</v>
      </c>
      <c r="BV113" s="960">
        <v>15488.491188</v>
      </c>
      <c r="BW113" s="960">
        <v>23663.923558000002</v>
      </c>
      <c r="BX113" s="960">
        <v>20890.944228</v>
      </c>
      <c r="BY113" s="960">
        <v>10034.727828000001</v>
      </c>
      <c r="BZ113" s="960">
        <v>4253.0996059999998</v>
      </c>
      <c r="CA113" s="960">
        <v>4236.5962140000001</v>
      </c>
      <c r="CB113" s="960">
        <v>2398.9227900000001</v>
      </c>
      <c r="CC113" s="960">
        <v>440.257994</v>
      </c>
      <c r="CD113" s="960">
        <v>470.69231400000001</v>
      </c>
      <c r="CE113" s="960">
        <v>-26.889416732647135</v>
      </c>
      <c r="CF113" s="960">
        <v>-2.028123309897242</v>
      </c>
      <c r="CG113" s="960">
        <v>-0.58975523593237444</v>
      </c>
      <c r="CH113" s="960">
        <v>-22.956521921637233</v>
      </c>
      <c r="CI113" s="960">
        <v>-0.86805922452236017</v>
      </c>
      <c r="CJ113" s="960">
        <v>-0.20505521891971554</v>
      </c>
      <c r="CK113" s="960">
        <v>-1.2612840129738294</v>
      </c>
      <c r="CL113" s="960">
        <v>-4.2740887642754563E-2</v>
      </c>
      <c r="CM113" s="960">
        <v>-5.9786251106347492E-2</v>
      </c>
      <c r="CN113" s="960" t="s">
        <v>614</v>
      </c>
      <c r="CO113" s="960">
        <v>2421.6</v>
      </c>
    </row>
    <row r="114" spans="1:93">
      <c r="A114" s="960">
        <v>0</v>
      </c>
      <c r="B114" s="960" t="s">
        <v>614</v>
      </c>
      <c r="C114" s="960">
        <v>0</v>
      </c>
      <c r="D114" s="960">
        <v>0</v>
      </c>
      <c r="E114" s="960">
        <v>0</v>
      </c>
      <c r="F114" s="960">
        <v>0</v>
      </c>
      <c r="G114" s="960">
        <v>1</v>
      </c>
      <c r="H114" s="960">
        <v>0</v>
      </c>
      <c r="I114" s="960">
        <v>0</v>
      </c>
      <c r="J114" s="960">
        <v>0</v>
      </c>
      <c r="K114" s="960">
        <v>0</v>
      </c>
      <c r="L114" s="960">
        <v>0</v>
      </c>
      <c r="M114" s="960">
        <v>0</v>
      </c>
      <c r="N114" s="960" t="s">
        <v>1036</v>
      </c>
      <c r="O114" s="960">
        <v>0</v>
      </c>
      <c r="P114" s="960">
        <v>0</v>
      </c>
      <c r="Q114" s="960">
        <v>0</v>
      </c>
      <c r="R114" s="960">
        <v>0</v>
      </c>
      <c r="S114" s="960">
        <v>0</v>
      </c>
      <c r="T114" s="960">
        <v>0</v>
      </c>
      <c r="U114" s="960">
        <v>0</v>
      </c>
      <c r="V114" s="960">
        <v>0</v>
      </c>
      <c r="W114" s="960">
        <v>0</v>
      </c>
      <c r="X114" s="960">
        <v>0</v>
      </c>
      <c r="Y114" s="960">
        <v>0</v>
      </c>
      <c r="Z114" s="960">
        <v>0</v>
      </c>
      <c r="AA114" s="960">
        <v>0</v>
      </c>
      <c r="AB114" s="960">
        <v>0</v>
      </c>
      <c r="AC114" s="960">
        <v>0</v>
      </c>
      <c r="AD114" s="960">
        <v>0</v>
      </c>
      <c r="AE114" s="960">
        <v>0</v>
      </c>
      <c r="AF114" s="960">
        <v>2016</v>
      </c>
      <c r="AG114" s="960">
        <v>0</v>
      </c>
      <c r="AH114" s="960">
        <v>0</v>
      </c>
      <c r="AI114" s="960">
        <v>0</v>
      </c>
      <c r="AJ114" s="960">
        <v>0</v>
      </c>
      <c r="AK114" s="960">
        <v>0</v>
      </c>
      <c r="AL114" s="960">
        <v>0</v>
      </c>
      <c r="AM114" s="960">
        <v>0</v>
      </c>
      <c r="AN114" s="960">
        <v>0</v>
      </c>
      <c r="AO114" s="960">
        <v>0</v>
      </c>
      <c r="AP114" s="960">
        <v>0</v>
      </c>
      <c r="AQ114" s="960">
        <v>0</v>
      </c>
      <c r="AR114" s="960">
        <v>0</v>
      </c>
      <c r="AS114" s="960">
        <v>0</v>
      </c>
      <c r="AT114" s="960">
        <v>1</v>
      </c>
      <c r="AU114" s="960">
        <v>0</v>
      </c>
      <c r="AV114" s="960">
        <v>0</v>
      </c>
      <c r="AW114" s="960">
        <v>10.319374115286696</v>
      </c>
      <c r="AX114" s="960">
        <v>10.206780880007225</v>
      </c>
      <c r="AY114" s="960">
        <v>10.148374063483615</v>
      </c>
      <c r="AZ114" s="960">
        <v>12.814428553982866</v>
      </c>
      <c r="BA114" s="960">
        <v>12.845406814928216</v>
      </c>
      <c r="BB114" s="960">
        <v>0.183696280015303</v>
      </c>
      <c r="BC114" s="960">
        <v>5.3628977350097591E-2</v>
      </c>
      <c r="BD114" s="960">
        <v>3.8846084591400598E-2</v>
      </c>
      <c r="BE114" s="960">
        <v>-4.1167509960456226E-2</v>
      </c>
      <c r="BF114" s="960">
        <v>-1.3162832327677607E-2</v>
      </c>
      <c r="BG114" s="960">
        <v>0.43865147906095797</v>
      </c>
      <c r="BH114" s="960">
        <v>0.78715954032122881</v>
      </c>
      <c r="BI114" s="960">
        <v>0.73911727077242995</v>
      </c>
      <c r="BJ114" s="960">
        <v>0.71661552253215188</v>
      </c>
      <c r="BK114" s="960">
        <v>0.71754580973808324</v>
      </c>
      <c r="BL114" s="960">
        <v>0.64083587915614093</v>
      </c>
      <c r="BM114" s="960">
        <v>9.118659290945702E-2</v>
      </c>
      <c r="BN114" s="960">
        <v>9.0633257790587257E-2</v>
      </c>
      <c r="BO114" s="960">
        <v>1.4190283763748579</v>
      </c>
      <c r="BP114" s="960">
        <v>1.0085076762442478</v>
      </c>
      <c r="BQ114" s="960">
        <v>1.6795564642506176E-2</v>
      </c>
      <c r="BR114" s="960">
        <v>6.0493641948823756E-2</v>
      </c>
      <c r="BS114" s="960">
        <v>-2.6970327514446009</v>
      </c>
      <c r="BT114" s="960">
        <v>2.1571461034346706E-2</v>
      </c>
      <c r="BU114" s="960">
        <v>26554.300045</v>
      </c>
      <c r="BV114" s="960">
        <v>63222.644525999996</v>
      </c>
      <c r="BW114" s="960">
        <v>73542.873426000006</v>
      </c>
      <c r="BX114" s="960">
        <v>73387.48363100001</v>
      </c>
      <c r="BY114" s="960">
        <v>106159.31591600001</v>
      </c>
      <c r="BZ114" s="960">
        <v>76.748175000000003</v>
      </c>
      <c r="CA114" s="960">
        <v>0</v>
      </c>
      <c r="CB114" s="960">
        <v>0</v>
      </c>
      <c r="CC114" s="960">
        <v>37870.759300000005</v>
      </c>
      <c r="CD114" s="960">
        <v>6407.7013059999999</v>
      </c>
      <c r="CE114" s="960">
        <v>-0.77863942149241006</v>
      </c>
      <c r="CF114" s="960">
        <v>-0.39947186419364977</v>
      </c>
      <c r="CG114" s="960" t="e">
        <v>#DIV/0!</v>
      </c>
      <c r="CH114" s="960">
        <v>-0.57198427163234289</v>
      </c>
      <c r="CI114" s="960">
        <v>-0.34468528659540415</v>
      </c>
      <c r="CJ114" s="960" t="e">
        <v>#DIV/0!</v>
      </c>
      <c r="CK114" s="960">
        <v>-4.6998125364219968E-2</v>
      </c>
      <c r="CL114" s="960">
        <v>-0.20614281983105864</v>
      </c>
      <c r="CM114" s="960">
        <v>1.3495516584603785E-2</v>
      </c>
      <c r="CN114" s="960" t="s">
        <v>614</v>
      </c>
      <c r="CO114" s="960">
        <v>2421.6</v>
      </c>
    </row>
    <row r="115" spans="1:93">
      <c r="A115" s="960">
        <v>0</v>
      </c>
      <c r="B115" s="960" t="s">
        <v>614</v>
      </c>
      <c r="C115" s="960">
        <v>0</v>
      </c>
      <c r="D115" s="960">
        <v>0</v>
      </c>
      <c r="E115" s="960">
        <v>0</v>
      </c>
      <c r="F115" s="960">
        <v>0</v>
      </c>
      <c r="G115" s="960">
        <v>1</v>
      </c>
      <c r="H115" s="960">
        <v>0</v>
      </c>
      <c r="I115" s="960">
        <v>0</v>
      </c>
      <c r="J115" s="960">
        <v>0</v>
      </c>
      <c r="K115" s="960">
        <v>0</v>
      </c>
      <c r="L115" s="960">
        <v>0</v>
      </c>
      <c r="M115" s="960">
        <v>0</v>
      </c>
      <c r="N115" s="960" t="s">
        <v>1036</v>
      </c>
      <c r="O115" s="960">
        <v>0</v>
      </c>
      <c r="P115" s="960">
        <v>0</v>
      </c>
      <c r="Q115" s="960">
        <v>0</v>
      </c>
      <c r="R115" s="960">
        <v>0</v>
      </c>
      <c r="S115" s="960">
        <v>0</v>
      </c>
      <c r="T115" s="960">
        <v>0</v>
      </c>
      <c r="U115" s="960">
        <v>0</v>
      </c>
      <c r="V115" s="960">
        <v>0</v>
      </c>
      <c r="W115" s="960">
        <v>0</v>
      </c>
      <c r="X115" s="960">
        <v>0</v>
      </c>
      <c r="Y115" s="960">
        <v>0</v>
      </c>
      <c r="Z115" s="960">
        <v>0</v>
      </c>
      <c r="AA115" s="960">
        <v>0</v>
      </c>
      <c r="AB115" s="960">
        <v>0</v>
      </c>
      <c r="AC115" s="960">
        <v>0</v>
      </c>
      <c r="AD115" s="960">
        <v>0</v>
      </c>
      <c r="AE115" s="960">
        <v>0</v>
      </c>
      <c r="AF115" s="960">
        <v>2016</v>
      </c>
      <c r="AG115" s="960">
        <v>0</v>
      </c>
      <c r="AH115" s="960">
        <v>0</v>
      </c>
      <c r="AI115" s="960">
        <v>0</v>
      </c>
      <c r="AJ115" s="960">
        <v>0</v>
      </c>
      <c r="AK115" s="960">
        <v>0</v>
      </c>
      <c r="AL115" s="960">
        <v>0</v>
      </c>
      <c r="AM115" s="960">
        <v>0</v>
      </c>
      <c r="AN115" s="960">
        <v>0</v>
      </c>
      <c r="AO115" s="960">
        <v>0</v>
      </c>
      <c r="AP115" s="960">
        <v>0</v>
      </c>
      <c r="AQ115" s="960">
        <v>0</v>
      </c>
      <c r="AR115" s="960">
        <v>0</v>
      </c>
      <c r="AS115" s="960">
        <v>0</v>
      </c>
      <c r="AT115" s="960">
        <v>1</v>
      </c>
      <c r="AU115" s="960">
        <v>0</v>
      </c>
      <c r="AV115" s="960">
        <v>0</v>
      </c>
      <c r="AW115" s="960">
        <v>8.9988543178582816</v>
      </c>
      <c r="AX115" s="960">
        <v>8.5989077179292419</v>
      </c>
      <c r="AY115" s="960">
        <v>8.7330904930832673</v>
      </c>
      <c r="AZ115" s="960">
        <v>9.3023459907280373</v>
      </c>
      <c r="BA115" s="960">
        <v>9.5023894222351419</v>
      </c>
      <c r="BB115" s="960">
        <v>-0.12412727400435486</v>
      </c>
      <c r="BC115" s="960">
        <v>-0.91325825383517256</v>
      </c>
      <c r="BD115" s="960">
        <v>-0.73306407554827124</v>
      </c>
      <c r="BE115" s="960">
        <v>-0.63979107621808862</v>
      </c>
      <c r="BF115" s="960">
        <v>-0.34287251509726258</v>
      </c>
      <c r="BG115" s="960">
        <v>0.20843020656353395</v>
      </c>
      <c r="BH115" s="960">
        <v>0.27476741884402212</v>
      </c>
      <c r="BI115" s="960">
        <v>0.24867582284832829</v>
      </c>
      <c r="BJ115" s="960">
        <v>0.24991586713992719</v>
      </c>
      <c r="BK115" s="960">
        <v>0.18858039378277403</v>
      </c>
      <c r="BL115" s="960">
        <v>0.79568317982652237</v>
      </c>
      <c r="BM115" s="960">
        <v>0.54595952098178935</v>
      </c>
      <c r="BN115" s="960">
        <v>0.47625773598230708</v>
      </c>
      <c r="BO115" s="960">
        <v>0.58474560128008946</v>
      </c>
      <c r="BP115" s="960">
        <v>0.50789874157239845</v>
      </c>
      <c r="BQ115" s="960">
        <v>-0.17498291801291974</v>
      </c>
      <c r="BR115" s="960">
        <v>-0.25006447799472387</v>
      </c>
      <c r="BS115" s="960">
        <v>-0.76929892915187381</v>
      </c>
      <c r="BT115" s="960">
        <v>6.0095429065554262E-2</v>
      </c>
      <c r="BU115" s="960">
        <v>8051.8500159999994</v>
      </c>
      <c r="BV115" s="960">
        <v>7207.2174660000001</v>
      </c>
      <c r="BW115" s="960">
        <v>9788.5492979999999</v>
      </c>
      <c r="BX115" s="960">
        <v>14063.730890000001</v>
      </c>
      <c r="BY115" s="960">
        <v>21394.450172000001</v>
      </c>
      <c r="BZ115" s="960">
        <v>393.40546000000001</v>
      </c>
      <c r="CA115" s="960">
        <v>416.41810199999998</v>
      </c>
      <c r="CB115" s="960">
        <v>468.52542000000005</v>
      </c>
      <c r="CC115" s="960">
        <v>519.42823900000008</v>
      </c>
      <c r="CD115" s="960">
        <v>975.422552</v>
      </c>
      <c r="CE115" s="960">
        <v>-4.7073357106469693</v>
      </c>
      <c r="CF115" s="960">
        <v>-13.50424020169608</v>
      </c>
      <c r="CG115" s="960">
        <v>-9.7082687338501277</v>
      </c>
      <c r="CH115" s="960">
        <v>-1.0618607438202272</v>
      </c>
      <c r="CI115" s="960">
        <v>-3.7490389176295227</v>
      </c>
      <c r="CJ115" s="960">
        <v>-2.7633391527734616</v>
      </c>
      <c r="CK115" s="960">
        <v>-0.21461834144302119</v>
      </c>
      <c r="CL115" s="960">
        <v>-0.49876407347837126</v>
      </c>
      <c r="CM115" s="960">
        <v>-0.46468281943774503</v>
      </c>
      <c r="CN115" s="960" t="s">
        <v>614</v>
      </c>
      <c r="CO115" s="960">
        <v>2421.6</v>
      </c>
    </row>
    <row r="116" spans="1:93">
      <c r="A116" s="960">
        <v>0</v>
      </c>
      <c r="B116" s="960" t="s">
        <v>614</v>
      </c>
      <c r="C116" s="960">
        <v>0</v>
      </c>
      <c r="D116" s="960">
        <v>0</v>
      </c>
      <c r="E116" s="960">
        <v>0</v>
      </c>
      <c r="F116" s="960">
        <v>0</v>
      </c>
      <c r="G116" s="960">
        <v>1</v>
      </c>
      <c r="H116" s="960">
        <v>0</v>
      </c>
      <c r="I116" s="960">
        <v>0</v>
      </c>
      <c r="J116" s="960">
        <v>0</v>
      </c>
      <c r="K116" s="960">
        <v>0</v>
      </c>
      <c r="L116" s="960">
        <v>0</v>
      </c>
      <c r="M116" s="960">
        <v>0</v>
      </c>
      <c r="N116" s="960" t="s">
        <v>1036</v>
      </c>
      <c r="O116" s="960">
        <v>0</v>
      </c>
      <c r="P116" s="960">
        <v>0</v>
      </c>
      <c r="Q116" s="960">
        <v>0</v>
      </c>
      <c r="R116" s="960">
        <v>0</v>
      </c>
      <c r="S116" s="960">
        <v>0</v>
      </c>
      <c r="T116" s="960">
        <v>0</v>
      </c>
      <c r="U116" s="960">
        <v>0</v>
      </c>
      <c r="V116" s="960">
        <v>0</v>
      </c>
      <c r="W116" s="960">
        <v>0</v>
      </c>
      <c r="X116" s="960">
        <v>0</v>
      </c>
      <c r="Y116" s="960">
        <v>0</v>
      </c>
      <c r="Z116" s="960">
        <v>0</v>
      </c>
      <c r="AA116" s="960">
        <v>0</v>
      </c>
      <c r="AB116" s="960">
        <v>0</v>
      </c>
      <c r="AC116" s="960">
        <v>0</v>
      </c>
      <c r="AD116" s="960">
        <v>0</v>
      </c>
      <c r="AE116" s="960">
        <v>0</v>
      </c>
      <c r="AF116" s="960">
        <v>2016</v>
      </c>
      <c r="AG116" s="960">
        <v>0</v>
      </c>
      <c r="AH116" s="960">
        <v>0</v>
      </c>
      <c r="AI116" s="960">
        <v>0</v>
      </c>
      <c r="AJ116" s="960">
        <v>0</v>
      </c>
      <c r="AK116" s="960">
        <v>0</v>
      </c>
      <c r="AL116" s="960">
        <v>0</v>
      </c>
      <c r="AM116" s="960">
        <v>0</v>
      </c>
      <c r="AN116" s="960">
        <v>0</v>
      </c>
      <c r="AO116" s="960">
        <v>0</v>
      </c>
      <c r="AP116" s="960">
        <v>0</v>
      </c>
      <c r="AQ116" s="960">
        <v>0</v>
      </c>
      <c r="AR116" s="960">
        <v>0</v>
      </c>
      <c r="AS116" s="960">
        <v>0</v>
      </c>
      <c r="AT116" s="960">
        <v>1</v>
      </c>
      <c r="AU116" s="960">
        <v>0</v>
      </c>
      <c r="AV116" s="960">
        <v>0</v>
      </c>
      <c r="AW116" s="960">
        <v>10.631072157378046</v>
      </c>
      <c r="AX116" s="960">
        <v>10.526658860800671</v>
      </c>
      <c r="AY116" s="960">
        <v>11.272789618339504</v>
      </c>
      <c r="AZ116" s="960">
        <v>11.356450512472746</v>
      </c>
      <c r="BA116" s="960">
        <v>11.888554952277726</v>
      </c>
      <c r="BB116" s="960">
        <v>2.5452727901880121E-2</v>
      </c>
      <c r="BC116" s="960">
        <v>-0.47592942991449044</v>
      </c>
      <c r="BD116" s="960">
        <v>-5.208700510880257E-2</v>
      </c>
      <c r="BE116" s="960">
        <v>3.9629901878891156E-2</v>
      </c>
      <c r="BF116" s="960">
        <v>-6.17107927333417E-2</v>
      </c>
      <c r="BG116" s="960">
        <v>0.90014441648651522</v>
      </c>
      <c r="BH116" s="960">
        <v>0.95548009809469914</v>
      </c>
      <c r="BI116" s="960">
        <v>0.70084918715308697</v>
      </c>
      <c r="BJ116" s="960">
        <v>0.69052072097150208</v>
      </c>
      <c r="BK116" s="960">
        <v>0.7980105555574023</v>
      </c>
      <c r="BL116" s="960">
        <v>1.6130612751178368</v>
      </c>
      <c r="BM116" s="960">
        <v>1.0597511301152125</v>
      </c>
      <c r="BN116" s="960">
        <v>1.1058037150448594</v>
      </c>
      <c r="BO116" s="960">
        <v>1.041407147082362</v>
      </c>
      <c r="BP116" s="960">
        <v>1.2986493629101692</v>
      </c>
      <c r="BQ116" s="960">
        <v>2.2542677912961245E-2</v>
      </c>
      <c r="BR116" s="960">
        <v>0.20421843098677495</v>
      </c>
      <c r="BS116" s="960">
        <v>-0.6157653339382233</v>
      </c>
      <c r="BT116" s="960">
        <v>-9.7161368404315329E-2</v>
      </c>
      <c r="BU116" s="960">
        <v>2562.9342409999999</v>
      </c>
      <c r="BV116" s="960">
        <v>1566.8238240000001</v>
      </c>
      <c r="BW116" s="960">
        <v>21277.591632</v>
      </c>
      <c r="BX116" s="960">
        <v>25412.934327000003</v>
      </c>
      <c r="BY116" s="960">
        <v>22644.909088</v>
      </c>
      <c r="BZ116" s="960">
        <v>1284.9350010000001</v>
      </c>
      <c r="CA116" s="960">
        <v>463.26052800000002</v>
      </c>
      <c r="CB116" s="960">
        <v>14638.937522</v>
      </c>
      <c r="CC116" s="960">
        <v>22606.140799000001</v>
      </c>
      <c r="CD116" s="960">
        <v>35546.151866</v>
      </c>
      <c r="CE116" s="960">
        <v>-0.25275650815507039</v>
      </c>
      <c r="CF116" s="960">
        <v>0.14991336770537647</v>
      </c>
      <c r="CG116" s="960">
        <v>-0.27985312238973847</v>
      </c>
      <c r="CH116" s="960">
        <v>-0.28184304316141251</v>
      </c>
      <c r="CI116" s="960">
        <v>0.14478914980603241</v>
      </c>
      <c r="CJ116" s="960">
        <v>-0.25373283710397598</v>
      </c>
      <c r="CK116" s="960">
        <v>-0.39675678047924162</v>
      </c>
      <c r="CL116" s="960">
        <v>0.13335582008722988</v>
      </c>
      <c r="CM116" s="960">
        <v>-0.19253834949246668</v>
      </c>
      <c r="CN116" s="960" t="s">
        <v>614</v>
      </c>
      <c r="CO116" s="960">
        <v>2421.6</v>
      </c>
    </row>
    <row r="117" spans="1:93">
      <c r="A117" s="960">
        <v>0</v>
      </c>
      <c r="B117" s="960" t="s">
        <v>614</v>
      </c>
      <c r="C117" s="960">
        <v>0</v>
      </c>
      <c r="D117" s="960">
        <v>0</v>
      </c>
      <c r="E117" s="960">
        <v>0</v>
      </c>
      <c r="F117" s="960">
        <v>0</v>
      </c>
      <c r="G117" s="960">
        <v>1</v>
      </c>
      <c r="H117" s="960">
        <v>0</v>
      </c>
      <c r="I117" s="960">
        <v>0</v>
      </c>
      <c r="J117" s="960">
        <v>0</v>
      </c>
      <c r="K117" s="960">
        <v>0</v>
      </c>
      <c r="L117" s="960">
        <v>0</v>
      </c>
      <c r="M117" s="960">
        <v>0</v>
      </c>
      <c r="N117" s="960" t="s">
        <v>1036</v>
      </c>
      <c r="O117" s="960">
        <v>0</v>
      </c>
      <c r="P117" s="960">
        <v>0</v>
      </c>
      <c r="Q117" s="960">
        <v>0</v>
      </c>
      <c r="R117" s="960">
        <v>0</v>
      </c>
      <c r="S117" s="960">
        <v>0</v>
      </c>
      <c r="T117" s="960">
        <v>0</v>
      </c>
      <c r="U117" s="960">
        <v>0</v>
      </c>
      <c r="V117" s="960">
        <v>0</v>
      </c>
      <c r="W117" s="960">
        <v>0</v>
      </c>
      <c r="X117" s="960">
        <v>0</v>
      </c>
      <c r="Y117" s="960">
        <v>0</v>
      </c>
      <c r="Z117" s="960">
        <v>0</v>
      </c>
      <c r="AA117" s="960">
        <v>0</v>
      </c>
      <c r="AB117" s="960">
        <v>0</v>
      </c>
      <c r="AC117" s="960">
        <v>0</v>
      </c>
      <c r="AD117" s="960">
        <v>0</v>
      </c>
      <c r="AE117" s="960">
        <v>0</v>
      </c>
      <c r="AF117" s="960">
        <v>2016</v>
      </c>
      <c r="AG117" s="960">
        <v>0</v>
      </c>
      <c r="AH117" s="960">
        <v>0</v>
      </c>
      <c r="AI117" s="960">
        <v>0</v>
      </c>
      <c r="AJ117" s="960">
        <v>0</v>
      </c>
      <c r="AK117" s="960">
        <v>0</v>
      </c>
      <c r="AL117" s="960">
        <v>0</v>
      </c>
      <c r="AM117" s="960">
        <v>0</v>
      </c>
      <c r="AN117" s="960">
        <v>0</v>
      </c>
      <c r="AO117" s="960">
        <v>0</v>
      </c>
      <c r="AP117" s="960">
        <v>0</v>
      </c>
      <c r="AQ117" s="960">
        <v>0</v>
      </c>
      <c r="AR117" s="960">
        <v>0</v>
      </c>
      <c r="AS117" s="960">
        <v>0</v>
      </c>
      <c r="AT117" s="960">
        <v>1</v>
      </c>
      <c r="AU117" s="960">
        <v>0</v>
      </c>
      <c r="AV117" s="960">
        <v>0</v>
      </c>
      <c r="AW117" s="960">
        <v>15.425380735758241</v>
      </c>
      <c r="AX117" s="960">
        <v>15.429089046768516</v>
      </c>
      <c r="AY117" s="960">
        <v>15.381934914911746</v>
      </c>
      <c r="AZ117" s="960">
        <v>15.318521424866368</v>
      </c>
      <c r="BA117" s="960">
        <v>15.232347399491587</v>
      </c>
      <c r="BB117" s="960">
        <v>8.8602991316997767E-2</v>
      </c>
      <c r="BC117" s="960">
        <v>8.2131400445674269E-2</v>
      </c>
      <c r="BD117" s="960">
        <v>0.21882662217840801</v>
      </c>
      <c r="BE117" s="960">
        <v>0.11586948461253242</v>
      </c>
      <c r="BF117" s="960">
        <v>0.10093981565154526</v>
      </c>
      <c r="BG117" s="960">
        <v>0.39191472314632575</v>
      </c>
      <c r="BH117" s="960">
        <v>0.35096840541621432</v>
      </c>
      <c r="BI117" s="960">
        <v>0.34770071899340921</v>
      </c>
      <c r="BJ117" s="960">
        <v>0.39076325444212651</v>
      </c>
      <c r="BK117" s="960">
        <v>0.37781629116117854</v>
      </c>
      <c r="BL117" s="960">
        <v>0.76627244700677555</v>
      </c>
      <c r="BM117" s="960">
        <v>0.77771429659677382</v>
      </c>
      <c r="BN117" s="960">
        <v>0.74073172558418221</v>
      </c>
      <c r="BO117" s="960">
        <v>0.67905186677217477</v>
      </c>
      <c r="BP117" s="960">
        <v>0.61208009144879982</v>
      </c>
      <c r="BQ117" s="960">
        <v>0.10030856985514724</v>
      </c>
      <c r="BR117" s="960">
        <v>0.14919236700216792</v>
      </c>
      <c r="BS117" s="960">
        <v>0.14958751542015919</v>
      </c>
      <c r="BT117" s="960">
        <v>-3.0115572167769333E-2</v>
      </c>
      <c r="BU117" s="960">
        <v>3969529.3119999999</v>
      </c>
      <c r="BV117" s="960">
        <v>4189999.68</v>
      </c>
      <c r="BW117" s="960">
        <v>4217697.3080000002</v>
      </c>
      <c r="BX117" s="960">
        <v>4033039.4280000003</v>
      </c>
      <c r="BY117" s="960">
        <v>4192130.5959999999</v>
      </c>
      <c r="BZ117" s="960">
        <v>1430699.683</v>
      </c>
      <c r="CA117" s="960">
        <v>1155815.3459999999</v>
      </c>
      <c r="CB117" s="960">
        <v>1156664.564</v>
      </c>
      <c r="CC117" s="960">
        <v>1347441.8540000001</v>
      </c>
      <c r="CD117" s="960">
        <v>1604130.338</v>
      </c>
      <c r="CE117" s="960">
        <v>0.25950592426237123</v>
      </c>
      <c r="CF117" s="960">
        <v>0.38655239441597455</v>
      </c>
      <c r="CG117" s="960">
        <v>0.90611262298513717</v>
      </c>
      <c r="CH117" s="960">
        <v>0.15982881743398561</v>
      </c>
      <c r="CI117" s="960">
        <v>0.22973186148245262</v>
      </c>
      <c r="CJ117" s="960">
        <v>0.47714783195090615</v>
      </c>
      <c r="CK117" s="960">
        <v>9.9300657855745864E-2</v>
      </c>
      <c r="CL117" s="960">
        <v>0.1291474790412091</v>
      </c>
      <c r="CM117" s="960">
        <v>0.24849302485791377</v>
      </c>
      <c r="CN117" s="960" t="s">
        <v>614</v>
      </c>
      <c r="CO117" s="960">
        <v>2421.6</v>
      </c>
    </row>
    <row r="118" spans="1:93">
      <c r="A118" s="960">
        <v>0</v>
      </c>
      <c r="B118" s="960" t="s">
        <v>616</v>
      </c>
      <c r="C118" s="960">
        <v>0</v>
      </c>
      <c r="D118" s="960">
        <v>0</v>
      </c>
      <c r="E118" s="960">
        <v>0</v>
      </c>
      <c r="F118" s="960">
        <v>0</v>
      </c>
      <c r="G118" s="960">
        <v>0</v>
      </c>
      <c r="H118" s="960">
        <v>0</v>
      </c>
      <c r="I118" s="960">
        <v>1</v>
      </c>
      <c r="J118" s="960">
        <v>0</v>
      </c>
      <c r="K118" s="960">
        <v>0</v>
      </c>
      <c r="L118" s="960">
        <v>0</v>
      </c>
      <c r="M118" s="960">
        <v>0</v>
      </c>
      <c r="N118" s="960" t="s">
        <v>1036</v>
      </c>
      <c r="O118" s="960">
        <v>0</v>
      </c>
      <c r="P118" s="960">
        <v>0</v>
      </c>
      <c r="Q118" s="960">
        <v>0</v>
      </c>
      <c r="R118" s="960">
        <v>0</v>
      </c>
      <c r="S118" s="960">
        <v>0</v>
      </c>
      <c r="T118" s="960">
        <v>0</v>
      </c>
      <c r="U118" s="960">
        <v>0</v>
      </c>
      <c r="V118" s="960">
        <v>0</v>
      </c>
      <c r="W118" s="960">
        <v>0</v>
      </c>
      <c r="X118" s="960">
        <v>0</v>
      </c>
      <c r="Y118" s="960">
        <v>0</v>
      </c>
      <c r="Z118" s="960">
        <v>0</v>
      </c>
      <c r="AA118" s="960">
        <v>0</v>
      </c>
      <c r="AB118" s="960">
        <v>0</v>
      </c>
      <c r="AC118" s="960">
        <v>0</v>
      </c>
      <c r="AD118" s="960">
        <v>0</v>
      </c>
      <c r="AE118" s="960">
        <v>0</v>
      </c>
      <c r="AF118" s="960">
        <v>2008</v>
      </c>
      <c r="AG118" s="960">
        <v>0</v>
      </c>
      <c r="AH118" s="960">
        <v>0</v>
      </c>
      <c r="AI118" s="960">
        <v>0</v>
      </c>
      <c r="AJ118" s="960">
        <v>0</v>
      </c>
      <c r="AK118" s="960">
        <v>0</v>
      </c>
      <c r="AL118" s="960">
        <v>1</v>
      </c>
      <c r="AM118" s="960">
        <v>0</v>
      </c>
      <c r="AN118" s="960">
        <v>0</v>
      </c>
      <c r="AO118" s="960">
        <v>0</v>
      </c>
      <c r="AP118" s="960">
        <v>0</v>
      </c>
      <c r="AQ118" s="960">
        <v>0</v>
      </c>
      <c r="AR118" s="960">
        <v>0</v>
      </c>
      <c r="AS118" s="960">
        <v>0</v>
      </c>
      <c r="AT118" s="960">
        <v>0</v>
      </c>
      <c r="AU118" s="960">
        <v>0</v>
      </c>
      <c r="AV118" s="960">
        <v>0</v>
      </c>
      <c r="AW118" s="960">
        <v>5.4293456289544411</v>
      </c>
      <c r="AX118" s="960">
        <v>10.562043288326453</v>
      </c>
      <c r="AY118" s="960">
        <v>10.596910728255905</v>
      </c>
      <c r="AZ118" s="960">
        <v>10.647237931534679</v>
      </c>
      <c r="BA118" s="960">
        <v>10.491233732174285</v>
      </c>
      <c r="BB118" s="960">
        <v>-53.175438596491226</v>
      </c>
      <c r="BC118" s="960">
        <v>-8.0486542443064177E-2</v>
      </c>
      <c r="BD118" s="960">
        <v>-8.1576015557303663E-2</v>
      </c>
      <c r="BE118" s="960">
        <v>-0.24600166641741622</v>
      </c>
      <c r="BF118" s="960">
        <v>-0.65843236049054099</v>
      </c>
      <c r="BG118" s="960">
        <v>4.4931496663134611E-2</v>
      </c>
      <c r="BH118" s="960">
        <v>0.45702563488260661</v>
      </c>
      <c r="BI118" s="960">
        <v>0.37482431075758743</v>
      </c>
      <c r="BJ118" s="960">
        <v>0.40881734908297124</v>
      </c>
      <c r="BK118" s="960">
        <v>0.45724863424985329</v>
      </c>
      <c r="BL118" s="960">
        <v>4.2384696893647874E-3</v>
      </c>
      <c r="BM118" s="960">
        <v>1.1571633924293243</v>
      </c>
      <c r="BN118" s="960">
        <v>1.2893093417767136</v>
      </c>
      <c r="BO118" s="960">
        <v>0.9549136014035946</v>
      </c>
      <c r="BP118" s="960">
        <v>0.94983972188360644</v>
      </c>
      <c r="BQ118" s="960">
        <v>0.52022849124454784</v>
      </c>
      <c r="BR118" s="960">
        <v>0.98405129646617062</v>
      </c>
      <c r="BS118" s="960">
        <v>0.1056769960816199</v>
      </c>
      <c r="BT118" s="960">
        <v>-8.2424323492265861E-2</v>
      </c>
      <c r="BU118" s="960">
        <v>51376</v>
      </c>
      <c r="BV118" s="960">
        <v>18131</v>
      </c>
      <c r="BW118" s="960">
        <v>19401.030869999999</v>
      </c>
      <c r="BX118" s="960">
        <v>26049.19354</v>
      </c>
      <c r="BY118" s="960">
        <v>20570.057967999997</v>
      </c>
      <c r="BZ118" s="960">
        <v>0</v>
      </c>
      <c r="CA118" s="960">
        <v>6428</v>
      </c>
      <c r="CB118" s="960">
        <v>4541.6220199999998</v>
      </c>
      <c r="CC118" s="960">
        <v>1792.6462060000001</v>
      </c>
      <c r="CD118" s="960">
        <v>6214.2745039999991</v>
      </c>
      <c r="CE118" s="960">
        <v>-3.814219236170389</v>
      </c>
      <c r="CF118" s="960">
        <v>-5.7740447297161763</v>
      </c>
      <c r="CG118" s="960">
        <v>-0.71867304580313807</v>
      </c>
      <c r="CH118" s="960">
        <v>-2.3694517466359311</v>
      </c>
      <c r="CI118" s="960">
        <v>-2.595439997119009</v>
      </c>
      <c r="CJ118" s="960">
        <v>-0.3745528479761715</v>
      </c>
      <c r="CK118" s="960">
        <v>-1.152286755286406</v>
      </c>
      <c r="CL118" s="960">
        <v>-0.39735661536337913</v>
      </c>
      <c r="CM118" s="960">
        <v>-0.16823545882023538</v>
      </c>
      <c r="CN118" s="960" t="s">
        <v>616</v>
      </c>
      <c r="CO118" s="960">
        <v>1620.8000000000002</v>
      </c>
    </row>
    <row r="119" spans="1:93">
      <c r="A119" s="960">
        <v>0</v>
      </c>
      <c r="B119" s="960" t="s">
        <v>617</v>
      </c>
      <c r="C119" s="960">
        <v>0</v>
      </c>
      <c r="D119" s="960">
        <v>0</v>
      </c>
      <c r="E119" s="960">
        <v>0</v>
      </c>
      <c r="F119" s="960">
        <v>0</v>
      </c>
      <c r="G119" s="960">
        <v>0</v>
      </c>
      <c r="H119" s="960">
        <v>0</v>
      </c>
      <c r="I119" s="960">
        <v>0</v>
      </c>
      <c r="J119" s="960">
        <v>1</v>
      </c>
      <c r="K119" s="960">
        <v>0</v>
      </c>
      <c r="L119" s="960">
        <v>0</v>
      </c>
      <c r="M119" s="960">
        <v>0</v>
      </c>
      <c r="N119" s="960" t="s">
        <v>1036</v>
      </c>
      <c r="O119" s="960">
        <v>0</v>
      </c>
      <c r="P119" s="960">
        <v>0</v>
      </c>
      <c r="Q119" s="960">
        <v>0</v>
      </c>
      <c r="R119" s="960">
        <v>0</v>
      </c>
      <c r="S119" s="960">
        <v>0</v>
      </c>
      <c r="T119" s="960">
        <v>0</v>
      </c>
      <c r="U119" s="960">
        <v>0</v>
      </c>
      <c r="V119" s="960">
        <v>0</v>
      </c>
      <c r="W119" s="960">
        <v>0</v>
      </c>
      <c r="X119" s="960">
        <v>0</v>
      </c>
      <c r="Y119" s="960">
        <v>0</v>
      </c>
      <c r="Z119" s="960">
        <v>0</v>
      </c>
      <c r="AA119" s="960">
        <v>0</v>
      </c>
      <c r="AB119" s="960">
        <v>0</v>
      </c>
      <c r="AC119" s="960">
        <v>0</v>
      </c>
      <c r="AD119" s="960">
        <v>0</v>
      </c>
      <c r="AE119" s="960">
        <v>0</v>
      </c>
      <c r="AF119" s="960">
        <v>2008</v>
      </c>
      <c r="AG119" s="960">
        <v>0</v>
      </c>
      <c r="AH119" s="960">
        <v>0</v>
      </c>
      <c r="AI119" s="960">
        <v>0</v>
      </c>
      <c r="AJ119" s="960">
        <v>0</v>
      </c>
      <c r="AK119" s="960">
        <v>0</v>
      </c>
      <c r="AL119" s="960">
        <v>1</v>
      </c>
      <c r="AM119" s="960">
        <v>0</v>
      </c>
      <c r="AN119" s="960">
        <v>0</v>
      </c>
      <c r="AO119" s="960">
        <v>0</v>
      </c>
      <c r="AP119" s="960">
        <v>0</v>
      </c>
      <c r="AQ119" s="960">
        <v>0</v>
      </c>
      <c r="AR119" s="960">
        <v>0</v>
      </c>
      <c r="AS119" s="960">
        <v>0</v>
      </c>
      <c r="AT119" s="960">
        <v>0</v>
      </c>
      <c r="AU119" s="960">
        <v>0</v>
      </c>
      <c r="AV119" s="960">
        <v>0</v>
      </c>
      <c r="AW119" s="960">
        <v>11.336975565983122</v>
      </c>
      <c r="AX119" s="960">
        <v>11.131928554029276</v>
      </c>
      <c r="AY119" s="960">
        <v>10.903439054380268</v>
      </c>
      <c r="AZ119" s="960">
        <v>10.414543149856174</v>
      </c>
      <c r="BA119" s="960">
        <v>9.4491997797303959</v>
      </c>
      <c r="BB119" s="960">
        <v>-8.8999117640044839E-2</v>
      </c>
      <c r="BC119" s="960">
        <v>-0.3005650048303522</v>
      </c>
      <c r="BD119" s="960">
        <v>-2.402369258503026E-2</v>
      </c>
      <c r="BE119" s="960">
        <v>-2.2410845505533725</v>
      </c>
      <c r="BF119" s="960">
        <v>-2.8291856985352024</v>
      </c>
      <c r="BG119" s="960">
        <v>0.95107356937725263</v>
      </c>
      <c r="BH119" s="960">
        <v>0.94223552763534968</v>
      </c>
      <c r="BI119" s="960">
        <v>0.90907401336294669</v>
      </c>
      <c r="BJ119" s="960">
        <v>0.85853827269760929</v>
      </c>
      <c r="BK119" s="960">
        <v>0.72819915842163041</v>
      </c>
      <c r="BL119" s="960">
        <v>8.0822234643332116E-2</v>
      </c>
      <c r="BM119" s="960">
        <v>6.7768331066717855E-2</v>
      </c>
      <c r="BN119" s="960">
        <v>6.2754826406364719E-2</v>
      </c>
      <c r="BO119" s="960">
        <v>4.6691304670530884E-2</v>
      </c>
      <c r="BP119" s="960">
        <v>2.2161680085030482E-2</v>
      </c>
      <c r="BQ119" s="960">
        <v>6.1191905694267197E-2</v>
      </c>
      <c r="BR119" s="960">
        <v>0.21410125589687751</v>
      </c>
      <c r="BS119" s="960">
        <v>1.4542392746498722</v>
      </c>
      <c r="BT119" s="960">
        <v>0.18087485494131628</v>
      </c>
      <c r="BU119" s="960">
        <v>50769</v>
      </c>
      <c r="BV119" s="960">
        <v>58233</v>
      </c>
      <c r="BW119" s="960">
        <v>78767</v>
      </c>
      <c r="BX119" s="960">
        <v>101014</v>
      </c>
      <c r="BY119" s="960">
        <v>155734</v>
      </c>
      <c r="BZ119" s="960">
        <v>919849</v>
      </c>
      <c r="CA119" s="960">
        <v>800980</v>
      </c>
      <c r="CB119" s="960">
        <v>673936</v>
      </c>
      <c r="CC119" s="960">
        <v>0</v>
      </c>
      <c r="CD119" s="960">
        <v>363852</v>
      </c>
      <c r="CE119" s="960">
        <v>-9.8735200026384348E-2</v>
      </c>
      <c r="CF119" s="960" t="e">
        <v>#DIV/0!</v>
      </c>
      <c r="CG119" s="960">
        <v>-1.9378694712851071E-3</v>
      </c>
      <c r="CH119" s="960">
        <v>-0.13459839791788508</v>
      </c>
      <c r="CI119" s="960" t="e">
        <v>#DIV/0!</v>
      </c>
      <c r="CJ119" s="960">
        <v>-3.2692694354481289E-3</v>
      </c>
      <c r="CK119" s="960">
        <v>-0.23068180358816956</v>
      </c>
      <c r="CL119" s="960">
        <v>-0.73969944760132256</v>
      </c>
      <c r="CM119" s="960">
        <v>-1.6580547691292039E-2</v>
      </c>
      <c r="CN119" s="960" t="s">
        <v>617</v>
      </c>
      <c r="CO119" s="960">
        <v>1624</v>
      </c>
    </row>
    <row r="120" spans="1:93">
      <c r="A120" s="960">
        <v>0</v>
      </c>
      <c r="B120" s="960" t="s">
        <v>617</v>
      </c>
      <c r="C120" s="960">
        <v>0</v>
      </c>
      <c r="D120" s="960">
        <v>0</v>
      </c>
      <c r="E120" s="960">
        <v>0</v>
      </c>
      <c r="F120" s="960">
        <v>0</v>
      </c>
      <c r="G120" s="960">
        <v>0</v>
      </c>
      <c r="H120" s="960">
        <v>0</v>
      </c>
      <c r="I120" s="960">
        <v>0</v>
      </c>
      <c r="J120" s="960">
        <v>1</v>
      </c>
      <c r="K120" s="960">
        <v>0</v>
      </c>
      <c r="L120" s="960">
        <v>0</v>
      </c>
      <c r="M120" s="960">
        <v>0</v>
      </c>
      <c r="N120" s="960" t="s">
        <v>1036</v>
      </c>
      <c r="O120" s="960">
        <v>0</v>
      </c>
      <c r="P120" s="960">
        <v>0</v>
      </c>
      <c r="Q120" s="960">
        <v>0</v>
      </c>
      <c r="R120" s="960">
        <v>0</v>
      </c>
      <c r="S120" s="960">
        <v>0</v>
      </c>
      <c r="T120" s="960">
        <v>0</v>
      </c>
      <c r="U120" s="960">
        <v>0</v>
      </c>
      <c r="V120" s="960">
        <v>0</v>
      </c>
      <c r="W120" s="960">
        <v>0</v>
      </c>
      <c r="X120" s="960">
        <v>0</v>
      </c>
      <c r="Y120" s="960">
        <v>0</v>
      </c>
      <c r="Z120" s="960">
        <v>0</v>
      </c>
      <c r="AA120" s="960">
        <v>0</v>
      </c>
      <c r="AB120" s="960">
        <v>0</v>
      </c>
      <c r="AC120" s="960">
        <v>0</v>
      </c>
      <c r="AD120" s="960">
        <v>0</v>
      </c>
      <c r="AE120" s="960">
        <v>0</v>
      </c>
      <c r="AF120" s="960">
        <v>2008</v>
      </c>
      <c r="AG120" s="960">
        <v>0</v>
      </c>
      <c r="AH120" s="960">
        <v>0</v>
      </c>
      <c r="AI120" s="960">
        <v>0</v>
      </c>
      <c r="AJ120" s="960">
        <v>0</v>
      </c>
      <c r="AK120" s="960">
        <v>0</v>
      </c>
      <c r="AL120" s="960">
        <v>1</v>
      </c>
      <c r="AM120" s="960">
        <v>0</v>
      </c>
      <c r="AN120" s="960">
        <v>0</v>
      </c>
      <c r="AO120" s="960">
        <v>0</v>
      </c>
      <c r="AP120" s="960">
        <v>0</v>
      </c>
      <c r="AQ120" s="960">
        <v>0</v>
      </c>
      <c r="AR120" s="960">
        <v>0</v>
      </c>
      <c r="AS120" s="960">
        <v>0</v>
      </c>
      <c r="AT120" s="960">
        <v>0</v>
      </c>
      <c r="AU120" s="960">
        <v>0</v>
      </c>
      <c r="AV120" s="960">
        <v>0</v>
      </c>
      <c r="AW120" s="960">
        <v>9.3557835168462855</v>
      </c>
      <c r="AX120" s="960">
        <v>7.1949943120564646</v>
      </c>
      <c r="AY120" s="960" t="e">
        <v>#NUM!</v>
      </c>
      <c r="AZ120" s="960">
        <v>4.551212524271504</v>
      </c>
      <c r="BA120" s="960">
        <v>9.1544762040973104</v>
      </c>
      <c r="BB120" s="960">
        <v>-0.34803421971030607</v>
      </c>
      <c r="BC120" s="960">
        <v>1.7204474829086389</v>
      </c>
      <c r="BD120" s="960">
        <v>-8.2315908390674739</v>
      </c>
      <c r="BE120" s="960">
        <v>-287.66793168880457</v>
      </c>
      <c r="BF120" s="960">
        <v>0.85622263235985951</v>
      </c>
      <c r="BG120" s="960">
        <v>0.11974046054837946</v>
      </c>
      <c r="BH120" s="960">
        <v>0.20667837303626152</v>
      </c>
      <c r="BI120" s="960">
        <v>0.12699188111739143</v>
      </c>
      <c r="BJ120" s="960">
        <v>0.31274538744258679</v>
      </c>
      <c r="BK120" s="960">
        <v>8.845298023448403E-2</v>
      </c>
      <c r="BL120" s="960">
        <v>0.1143039704029004</v>
      </c>
      <c r="BM120" s="960">
        <v>1.2157195790542624E-2</v>
      </c>
      <c r="BN120" s="960">
        <v>-3.1190988344622458E-2</v>
      </c>
      <c r="BO120" s="960">
        <v>8.0604087101357718E-4</v>
      </c>
      <c r="BP120" s="960">
        <v>8.1873857431105146E-2</v>
      </c>
      <c r="BQ120" s="960">
        <v>0.1866492041879379</v>
      </c>
      <c r="BR120" s="960">
        <v>0.21719503253434325</v>
      </c>
      <c r="BS120" s="960" t="e">
        <v>#NUM!</v>
      </c>
      <c r="BT120" s="960">
        <v>3.8538900882907401E-2</v>
      </c>
      <c r="BU120" s="960">
        <v>89066.360988</v>
      </c>
      <c r="BV120" s="960">
        <v>86968.546119000006</v>
      </c>
      <c r="BW120" s="960">
        <v>87084.236199999999</v>
      </c>
      <c r="BX120" s="960">
        <v>80784.322096000004</v>
      </c>
      <c r="BY120" s="960">
        <v>105286.41138399999</v>
      </c>
      <c r="BZ120" s="960">
        <v>9187.6926239999993</v>
      </c>
      <c r="CA120" s="960">
        <v>8969.7148450000004</v>
      </c>
      <c r="CB120" s="960">
        <v>8321.4606800000001</v>
      </c>
      <c r="CC120" s="960">
        <v>23633.768629999999</v>
      </c>
      <c r="CD120" s="960">
        <v>7491.1122479999995</v>
      </c>
      <c r="CE120" s="960">
        <v>1.0808835286324492</v>
      </c>
      <c r="CF120" s="960">
        <v>-1.1532539652352518</v>
      </c>
      <c r="CG120" s="960">
        <v>3.0777590046847396</v>
      </c>
      <c r="CH120" s="960">
        <v>0.16570961912502208</v>
      </c>
      <c r="CI120" s="960">
        <v>-0.59254696839831666</v>
      </c>
      <c r="CJ120" s="960">
        <v>0.64760185954996008</v>
      </c>
      <c r="CK120" s="960">
        <v>7.6904699605237714E-2</v>
      </c>
      <c r="CL120" s="960">
        <v>-0.3373889472466039</v>
      </c>
      <c r="CM120" s="960">
        <v>0.29409973213958096</v>
      </c>
      <c r="CN120" s="960" t="s">
        <v>617</v>
      </c>
      <c r="CO120" s="960">
        <v>1624</v>
      </c>
    </row>
    <row r="121" spans="1:93">
      <c r="A121" s="960">
        <v>0</v>
      </c>
      <c r="B121" s="960" t="s">
        <v>616</v>
      </c>
      <c r="C121" s="960">
        <v>0</v>
      </c>
      <c r="D121" s="960">
        <v>0</v>
      </c>
      <c r="E121" s="960">
        <v>0</v>
      </c>
      <c r="F121" s="960">
        <v>0</v>
      </c>
      <c r="G121" s="960">
        <v>0</v>
      </c>
      <c r="H121" s="960">
        <v>0</v>
      </c>
      <c r="I121" s="960">
        <v>1</v>
      </c>
      <c r="J121" s="960">
        <v>0</v>
      </c>
      <c r="K121" s="960">
        <v>0</v>
      </c>
      <c r="L121" s="960">
        <v>0</v>
      </c>
      <c r="M121" s="960">
        <v>0</v>
      </c>
      <c r="N121" s="960" t="s">
        <v>1036</v>
      </c>
      <c r="O121" s="960">
        <v>0</v>
      </c>
      <c r="P121" s="960">
        <v>0</v>
      </c>
      <c r="Q121" s="960">
        <v>0</v>
      </c>
      <c r="R121" s="960">
        <v>0</v>
      </c>
      <c r="S121" s="960">
        <v>0</v>
      </c>
      <c r="T121" s="960">
        <v>0</v>
      </c>
      <c r="U121" s="960">
        <v>0</v>
      </c>
      <c r="V121" s="960">
        <v>0</v>
      </c>
      <c r="W121" s="960">
        <v>0</v>
      </c>
      <c r="X121" s="960">
        <v>0</v>
      </c>
      <c r="Y121" s="960">
        <v>0</v>
      </c>
      <c r="Z121" s="960">
        <v>0</v>
      </c>
      <c r="AA121" s="960">
        <v>0</v>
      </c>
      <c r="AB121" s="960">
        <v>0</v>
      </c>
      <c r="AC121" s="960">
        <v>0</v>
      </c>
      <c r="AD121" s="960">
        <v>0</v>
      </c>
      <c r="AE121" s="960">
        <v>0</v>
      </c>
      <c r="AF121" s="960">
        <v>2008</v>
      </c>
      <c r="AG121" s="960">
        <v>0</v>
      </c>
      <c r="AH121" s="960">
        <v>0</v>
      </c>
      <c r="AI121" s="960">
        <v>0</v>
      </c>
      <c r="AJ121" s="960">
        <v>0</v>
      </c>
      <c r="AK121" s="960">
        <v>0</v>
      </c>
      <c r="AL121" s="960">
        <v>1</v>
      </c>
      <c r="AM121" s="960">
        <v>0</v>
      </c>
      <c r="AN121" s="960">
        <v>0</v>
      </c>
      <c r="AO121" s="960">
        <v>0</v>
      </c>
      <c r="AP121" s="960">
        <v>0</v>
      </c>
      <c r="AQ121" s="960">
        <v>0</v>
      </c>
      <c r="AR121" s="960">
        <v>0</v>
      </c>
      <c r="AS121" s="960">
        <v>0</v>
      </c>
      <c r="AT121" s="960">
        <v>0</v>
      </c>
      <c r="AU121" s="960">
        <v>0</v>
      </c>
      <c r="AV121" s="960">
        <v>0</v>
      </c>
      <c r="AW121" s="960">
        <v>11.984604564107061</v>
      </c>
      <c r="AX121" s="960">
        <v>11.649874803323865</v>
      </c>
      <c r="AY121" s="960">
        <v>11.491672719412607</v>
      </c>
      <c r="AZ121" s="960">
        <v>11.400570537746098</v>
      </c>
      <c r="BA121" s="960">
        <v>10.896369223585648</v>
      </c>
      <c r="BB121" s="960">
        <v>0.15806253545046184</v>
      </c>
      <c r="BC121" s="960">
        <v>3.7290588943991884E-2</v>
      </c>
      <c r="BD121" s="960">
        <v>4.6442361988321273E-2</v>
      </c>
      <c r="BE121" s="960">
        <v>0.17642917204781275</v>
      </c>
      <c r="BF121" s="960">
        <v>3.9522484197980129E-2</v>
      </c>
      <c r="BG121" s="960">
        <v>0.29464589146567627</v>
      </c>
      <c r="BH121" s="960">
        <v>0.34860632509159811</v>
      </c>
      <c r="BI121" s="960">
        <v>0.26625744174386284</v>
      </c>
      <c r="BJ121" s="960">
        <v>0.2553000520357428</v>
      </c>
      <c r="BK121" s="960">
        <v>0.132895572971828</v>
      </c>
      <c r="BL121" s="960">
        <v>0.90495254787315038</v>
      </c>
      <c r="BM121" s="960">
        <v>0.72548964123718251</v>
      </c>
      <c r="BN121" s="960">
        <v>0.74568098953896478</v>
      </c>
      <c r="BO121" s="960">
        <v>0.61883444915560171</v>
      </c>
      <c r="BP121" s="960">
        <v>0.51401430596516384</v>
      </c>
      <c r="BQ121" s="960">
        <v>1.4316064158934296E-2</v>
      </c>
      <c r="BR121" s="960">
        <v>2.3769393649002407E-2</v>
      </c>
      <c r="BS121" s="960">
        <v>0.59530349582695929</v>
      </c>
      <c r="BT121" s="960">
        <v>0.13336186877203485</v>
      </c>
      <c r="BU121" s="960">
        <v>124918.9722</v>
      </c>
      <c r="BV121" s="960">
        <v>102964.772279</v>
      </c>
      <c r="BW121" s="960">
        <v>96329.646789999999</v>
      </c>
      <c r="BX121" s="960">
        <v>107550.322418</v>
      </c>
      <c r="BY121" s="960">
        <v>91060.330815999987</v>
      </c>
      <c r="BZ121" s="960">
        <v>1976.1647400000002</v>
      </c>
      <c r="CA121" s="960">
        <v>6534.0011620000005</v>
      </c>
      <c r="CB121" s="960">
        <v>0</v>
      </c>
      <c r="CC121" s="960">
        <v>0</v>
      </c>
      <c r="CD121" s="960">
        <v>0</v>
      </c>
      <c r="CE121" s="960" t="e">
        <v>#DIV/0!</v>
      </c>
      <c r="CF121" s="960" t="e">
        <v>#DIV/0!</v>
      </c>
      <c r="CG121" s="960" t="e">
        <v>#DIV/0!</v>
      </c>
      <c r="CH121" s="960" t="e">
        <v>#DIV/0!</v>
      </c>
      <c r="CI121" s="960" t="e">
        <v>#DIV/0!</v>
      </c>
      <c r="CJ121" s="960" t="e">
        <v>#DIV/0!</v>
      </c>
      <c r="CK121" s="960">
        <v>2.3428691691345593E-2</v>
      </c>
      <c r="CL121" s="960">
        <v>0.14660998674385212</v>
      </c>
      <c r="CM121" s="960">
        <v>4.7198085340348001E-2</v>
      </c>
      <c r="CN121" s="960" t="s">
        <v>616</v>
      </c>
      <c r="CO121" s="960">
        <v>1620.8000000000002</v>
      </c>
    </row>
    <row r="122" spans="1:93">
      <c r="A122" s="960">
        <v>0</v>
      </c>
      <c r="B122" s="960" t="s">
        <v>616</v>
      </c>
      <c r="C122" s="960">
        <v>0</v>
      </c>
      <c r="D122" s="960">
        <v>0</v>
      </c>
      <c r="E122" s="960">
        <v>0</v>
      </c>
      <c r="F122" s="960">
        <v>0</v>
      </c>
      <c r="G122" s="960">
        <v>0</v>
      </c>
      <c r="H122" s="960">
        <v>0</v>
      </c>
      <c r="I122" s="960">
        <v>1</v>
      </c>
      <c r="J122" s="960">
        <v>0</v>
      </c>
      <c r="K122" s="960">
        <v>0</v>
      </c>
      <c r="L122" s="960">
        <v>0</v>
      </c>
      <c r="M122" s="960">
        <v>0</v>
      </c>
      <c r="N122" s="960" t="s">
        <v>1036</v>
      </c>
      <c r="O122" s="960">
        <v>0</v>
      </c>
      <c r="P122" s="960">
        <v>0</v>
      </c>
      <c r="Q122" s="960">
        <v>0</v>
      </c>
      <c r="R122" s="960">
        <v>0</v>
      </c>
      <c r="S122" s="960">
        <v>0</v>
      </c>
      <c r="T122" s="960">
        <v>0</v>
      </c>
      <c r="U122" s="960">
        <v>0</v>
      </c>
      <c r="V122" s="960">
        <v>0</v>
      </c>
      <c r="W122" s="960">
        <v>0</v>
      </c>
      <c r="X122" s="960">
        <v>0</v>
      </c>
      <c r="Y122" s="960">
        <v>0</v>
      </c>
      <c r="Z122" s="960">
        <v>0</v>
      </c>
      <c r="AA122" s="960">
        <v>0</v>
      </c>
      <c r="AB122" s="960">
        <v>0</v>
      </c>
      <c r="AC122" s="960">
        <v>0</v>
      </c>
      <c r="AD122" s="960">
        <v>0</v>
      </c>
      <c r="AE122" s="960">
        <v>0</v>
      </c>
      <c r="AF122" s="960">
        <v>2008</v>
      </c>
      <c r="AG122" s="960">
        <v>0</v>
      </c>
      <c r="AH122" s="960">
        <v>0</v>
      </c>
      <c r="AI122" s="960">
        <v>0</v>
      </c>
      <c r="AJ122" s="960">
        <v>0</v>
      </c>
      <c r="AK122" s="960">
        <v>0</v>
      </c>
      <c r="AL122" s="960">
        <v>1</v>
      </c>
      <c r="AM122" s="960">
        <v>0</v>
      </c>
      <c r="AN122" s="960">
        <v>0</v>
      </c>
      <c r="AO122" s="960">
        <v>0</v>
      </c>
      <c r="AP122" s="960">
        <v>0</v>
      </c>
      <c r="AQ122" s="960">
        <v>0</v>
      </c>
      <c r="AR122" s="960">
        <v>0</v>
      </c>
      <c r="AS122" s="960">
        <v>0</v>
      </c>
      <c r="AT122" s="960">
        <v>0</v>
      </c>
      <c r="AU122" s="960">
        <v>0</v>
      </c>
      <c r="AV122" s="960">
        <v>0</v>
      </c>
      <c r="AW122" s="960">
        <v>12.629114653486877</v>
      </c>
      <c r="AX122" s="960">
        <v>12.535499253657429</v>
      </c>
      <c r="AY122" s="960">
        <v>12.536004785660165</v>
      </c>
      <c r="AZ122" s="960">
        <v>12.675074660928193</v>
      </c>
      <c r="BA122" s="960">
        <v>12.668406166028968</v>
      </c>
      <c r="BB122" s="960">
        <v>1.0993504157514676E-2</v>
      </c>
      <c r="BC122" s="960">
        <v>1.857916073816146E-2</v>
      </c>
      <c r="BD122" s="960">
        <v>2.1664527208452154E-2</v>
      </c>
      <c r="BE122" s="960">
        <v>5.2887557139257822E-3</v>
      </c>
      <c r="BF122" s="960">
        <v>4.8695166747403183E-3</v>
      </c>
      <c r="BG122" s="960">
        <v>0.62221891189565848</v>
      </c>
      <c r="BH122" s="960">
        <v>0.58261915153948296</v>
      </c>
      <c r="BI122" s="960">
        <v>0.61009301267550453</v>
      </c>
      <c r="BJ122" s="960">
        <v>0.64218646631902554</v>
      </c>
      <c r="BK122" s="960">
        <v>0.65270544058213908</v>
      </c>
      <c r="BL122" s="960">
        <v>1.1318370657265338</v>
      </c>
      <c r="BM122" s="960">
        <v>1.1082217352058885</v>
      </c>
      <c r="BN122" s="960">
        <v>1.1001623930543796</v>
      </c>
      <c r="BO122" s="960">
        <v>1.0811767910651047</v>
      </c>
      <c r="BP122" s="960">
        <v>1.0936505916033461</v>
      </c>
      <c r="BQ122" s="960">
        <v>1.8508948305890335E-2</v>
      </c>
      <c r="BR122" s="960">
        <v>4.5794287741336454E-2</v>
      </c>
      <c r="BS122" s="960">
        <v>-0.13240138036880422</v>
      </c>
      <c r="BT122" s="960">
        <v>-4.2612427906634553E-2</v>
      </c>
      <c r="BU122" s="960">
        <v>101908.484964</v>
      </c>
      <c r="BV122" s="960">
        <v>104713.821117</v>
      </c>
      <c r="BW122" s="960">
        <v>98587.516430000003</v>
      </c>
      <c r="BX122" s="960">
        <v>105797.22913200001</v>
      </c>
      <c r="BY122" s="960">
        <v>100841.26384799999</v>
      </c>
      <c r="BZ122" s="960">
        <v>72798.051348000008</v>
      </c>
      <c r="CA122" s="960">
        <v>62845.985265000003</v>
      </c>
      <c r="CB122" s="960">
        <v>79325.804999999993</v>
      </c>
      <c r="CC122" s="960">
        <v>70946.611961999995</v>
      </c>
      <c r="CD122" s="960">
        <v>71334.197231999991</v>
      </c>
      <c r="CE122" s="960">
        <v>2.16773890224186E-2</v>
      </c>
      <c r="CF122" s="960">
        <v>2.383070166769298E-2</v>
      </c>
      <c r="CG122" s="960">
        <v>7.597180261832831E-2</v>
      </c>
      <c r="CH122" s="960">
        <v>1.9474499544700263E-2</v>
      </c>
      <c r="CI122" s="960">
        <v>2.1021846807672353E-2</v>
      </c>
      <c r="CJ122" s="960">
        <v>7.018436403584713E-2</v>
      </c>
      <c r="CK122" s="960">
        <v>1.5334388770958158E-2</v>
      </c>
      <c r="CL122" s="960">
        <v>1.5980641060935115E-2</v>
      </c>
      <c r="CM122" s="960">
        <v>6.1128676512294609E-2</v>
      </c>
      <c r="CN122" s="960" t="s">
        <v>616</v>
      </c>
      <c r="CO122" s="960">
        <v>1620.8000000000002</v>
      </c>
    </row>
    <row r="123" spans="1:93">
      <c r="A123" s="960">
        <v>0</v>
      </c>
      <c r="B123" s="960" t="s">
        <v>616</v>
      </c>
      <c r="C123" s="960">
        <v>0</v>
      </c>
      <c r="D123" s="960">
        <v>0</v>
      </c>
      <c r="E123" s="960">
        <v>0</v>
      </c>
      <c r="F123" s="960">
        <v>0</v>
      </c>
      <c r="G123" s="960">
        <v>0</v>
      </c>
      <c r="H123" s="960">
        <v>0</v>
      </c>
      <c r="I123" s="960">
        <v>1</v>
      </c>
      <c r="J123" s="960">
        <v>0</v>
      </c>
      <c r="K123" s="960">
        <v>0</v>
      </c>
      <c r="L123" s="960">
        <v>0</v>
      </c>
      <c r="M123" s="960">
        <v>0</v>
      </c>
      <c r="N123" s="960" t="s">
        <v>1036</v>
      </c>
      <c r="O123" s="960">
        <v>0</v>
      </c>
      <c r="P123" s="960">
        <v>0</v>
      </c>
      <c r="Q123" s="960">
        <v>0</v>
      </c>
      <c r="R123" s="960">
        <v>0</v>
      </c>
      <c r="S123" s="960">
        <v>0</v>
      </c>
      <c r="T123" s="960">
        <v>0</v>
      </c>
      <c r="U123" s="960">
        <v>0</v>
      </c>
      <c r="V123" s="960">
        <v>0</v>
      </c>
      <c r="W123" s="960">
        <v>0</v>
      </c>
      <c r="X123" s="960">
        <v>0</v>
      </c>
      <c r="Y123" s="960">
        <v>0</v>
      </c>
      <c r="Z123" s="960">
        <v>0</v>
      </c>
      <c r="AA123" s="960">
        <v>0</v>
      </c>
      <c r="AB123" s="960">
        <v>0</v>
      </c>
      <c r="AC123" s="960">
        <v>0</v>
      </c>
      <c r="AD123" s="960">
        <v>0</v>
      </c>
      <c r="AE123" s="960">
        <v>0</v>
      </c>
      <c r="AF123" s="960">
        <v>2008</v>
      </c>
      <c r="AG123" s="960">
        <v>0</v>
      </c>
      <c r="AH123" s="960">
        <v>0</v>
      </c>
      <c r="AI123" s="960">
        <v>0</v>
      </c>
      <c r="AJ123" s="960">
        <v>0</v>
      </c>
      <c r="AK123" s="960">
        <v>0</v>
      </c>
      <c r="AL123" s="960">
        <v>1</v>
      </c>
      <c r="AM123" s="960">
        <v>0</v>
      </c>
      <c r="AN123" s="960">
        <v>0</v>
      </c>
      <c r="AO123" s="960">
        <v>0</v>
      </c>
      <c r="AP123" s="960">
        <v>0</v>
      </c>
      <c r="AQ123" s="960">
        <v>0</v>
      </c>
      <c r="AR123" s="960">
        <v>0</v>
      </c>
      <c r="AS123" s="960">
        <v>0</v>
      </c>
      <c r="AT123" s="960">
        <v>0</v>
      </c>
      <c r="AU123" s="960">
        <v>0</v>
      </c>
      <c r="AV123" s="960">
        <v>0</v>
      </c>
      <c r="AW123" s="960">
        <v>11.471515351291799</v>
      </c>
      <c r="AX123" s="960">
        <v>11.199614061636451</v>
      </c>
      <c r="AY123" s="960">
        <v>11.411624163654226</v>
      </c>
      <c r="AZ123" s="960">
        <v>11.507644108949034</v>
      </c>
      <c r="BA123" s="960">
        <v>11.279768870844498</v>
      </c>
      <c r="BB123" s="960">
        <v>-0.10731929785372575</v>
      </c>
      <c r="BC123" s="960">
        <v>-0.46507627879150465</v>
      </c>
      <c r="BD123" s="960">
        <v>-1.5323523119655022E-2</v>
      </c>
      <c r="BE123" s="960">
        <v>2.4094186199928789E-2</v>
      </c>
      <c r="BF123" s="960">
        <v>7.7224373044815844E-2</v>
      </c>
      <c r="BG123" s="960">
        <v>0.52648744277334869</v>
      </c>
      <c r="BH123" s="960">
        <v>0.62930575413615009</v>
      </c>
      <c r="BI123" s="960">
        <v>0.5032114685169673</v>
      </c>
      <c r="BJ123" s="960">
        <v>0.5150584208024328</v>
      </c>
      <c r="BK123" s="960">
        <v>0.66118695780549197</v>
      </c>
      <c r="BL123" s="960">
        <v>1.209153563245297</v>
      </c>
      <c r="BM123" s="960">
        <v>0.80475474891307519</v>
      </c>
      <c r="BN123" s="960">
        <v>0.77162693486203238</v>
      </c>
      <c r="BO123" s="960">
        <v>0.63685293105412977</v>
      </c>
      <c r="BP123" s="960">
        <v>1.3016098870970012</v>
      </c>
      <c r="BQ123" s="960">
        <v>-0.11234005065610635</v>
      </c>
      <c r="BR123" s="960">
        <v>-0.32047196855989746</v>
      </c>
      <c r="BS123" s="960">
        <v>0.13185529280972955</v>
      </c>
      <c r="BT123" s="960">
        <v>-0.15797548928852467</v>
      </c>
      <c r="BU123" s="960">
        <v>37572.133500000004</v>
      </c>
      <c r="BV123" s="960">
        <v>33672.420521</v>
      </c>
      <c r="BW123" s="960">
        <v>58179.446649999998</v>
      </c>
      <c r="BX123" s="960">
        <v>75745.819445999994</v>
      </c>
      <c r="BY123" s="960">
        <v>20616.771543999999</v>
      </c>
      <c r="BZ123" s="960">
        <v>10104.604488000001</v>
      </c>
      <c r="CA123" s="960">
        <v>264.22929499999998</v>
      </c>
      <c r="CB123" s="960">
        <v>15668.484129999999</v>
      </c>
      <c r="CC123" s="960">
        <v>22688.813414</v>
      </c>
      <c r="CD123" s="960">
        <v>17163.389159999999</v>
      </c>
      <c r="CE123" s="960">
        <v>0.35636309256766863</v>
      </c>
      <c r="CF123" s="960">
        <v>0.10563475146395772</v>
      </c>
      <c r="CG123" s="960">
        <v>-8.8376551203744311E-2</v>
      </c>
      <c r="CH123" s="960">
        <v>0.33613863652897319</v>
      </c>
      <c r="CI123" s="960">
        <v>6.9752360798797181E-2</v>
      </c>
      <c r="CJ123" s="960">
        <v>-5.6296137289808021E-2</v>
      </c>
      <c r="CK123" s="960">
        <v>0.29667101015047265</v>
      </c>
      <c r="CL123" s="960">
        <v>3.1641708856402995E-2</v>
      </c>
      <c r="CM123" s="960">
        <v>-2.3800958409424817E-2</v>
      </c>
      <c r="CN123" s="960" t="s">
        <v>616</v>
      </c>
      <c r="CO123" s="960">
        <v>1620.8000000000002</v>
      </c>
    </row>
    <row r="124" spans="1:93">
      <c r="A124" s="960">
        <v>0</v>
      </c>
      <c r="B124" s="960" t="s">
        <v>616</v>
      </c>
      <c r="C124" s="960">
        <v>0</v>
      </c>
      <c r="D124" s="960">
        <v>0</v>
      </c>
      <c r="E124" s="960">
        <v>0</v>
      </c>
      <c r="F124" s="960">
        <v>0</v>
      </c>
      <c r="G124" s="960">
        <v>0</v>
      </c>
      <c r="H124" s="960">
        <v>0</v>
      </c>
      <c r="I124" s="960">
        <v>1</v>
      </c>
      <c r="J124" s="960">
        <v>0</v>
      </c>
      <c r="K124" s="960">
        <v>0</v>
      </c>
      <c r="L124" s="960">
        <v>0</v>
      </c>
      <c r="M124" s="960">
        <v>0</v>
      </c>
      <c r="N124" s="960" t="s">
        <v>1036</v>
      </c>
      <c r="O124" s="960">
        <v>0</v>
      </c>
      <c r="P124" s="960">
        <v>0</v>
      </c>
      <c r="Q124" s="960">
        <v>0</v>
      </c>
      <c r="R124" s="960">
        <v>0</v>
      </c>
      <c r="S124" s="960">
        <v>0</v>
      </c>
      <c r="T124" s="960">
        <v>0</v>
      </c>
      <c r="U124" s="960">
        <v>0</v>
      </c>
      <c r="V124" s="960">
        <v>0</v>
      </c>
      <c r="W124" s="960">
        <v>0</v>
      </c>
      <c r="X124" s="960">
        <v>0</v>
      </c>
      <c r="Y124" s="960">
        <v>0</v>
      </c>
      <c r="Z124" s="960">
        <v>0</v>
      </c>
      <c r="AA124" s="960">
        <v>0</v>
      </c>
      <c r="AB124" s="960">
        <v>0</v>
      </c>
      <c r="AC124" s="960">
        <v>0</v>
      </c>
      <c r="AD124" s="960">
        <v>0</v>
      </c>
      <c r="AE124" s="960">
        <v>0</v>
      </c>
      <c r="AF124" s="960">
        <v>2008</v>
      </c>
      <c r="AG124" s="960">
        <v>0</v>
      </c>
      <c r="AH124" s="960">
        <v>0</v>
      </c>
      <c r="AI124" s="960">
        <v>0</v>
      </c>
      <c r="AJ124" s="960">
        <v>0</v>
      </c>
      <c r="AK124" s="960">
        <v>0</v>
      </c>
      <c r="AL124" s="960">
        <v>1</v>
      </c>
      <c r="AM124" s="960">
        <v>0</v>
      </c>
      <c r="AN124" s="960">
        <v>0</v>
      </c>
      <c r="AO124" s="960">
        <v>0</v>
      </c>
      <c r="AP124" s="960">
        <v>0</v>
      </c>
      <c r="AQ124" s="960">
        <v>0</v>
      </c>
      <c r="AR124" s="960">
        <v>0</v>
      </c>
      <c r="AS124" s="960">
        <v>0</v>
      </c>
      <c r="AT124" s="960">
        <v>0</v>
      </c>
      <c r="AU124" s="960">
        <v>0</v>
      </c>
      <c r="AV124" s="960">
        <v>0</v>
      </c>
      <c r="AW124" s="960">
        <v>11.984604564107061</v>
      </c>
      <c r="AX124" s="960">
        <v>11.649874803323865</v>
      </c>
      <c r="AY124" s="960">
        <v>11.491672719412607</v>
      </c>
      <c r="AZ124" s="960">
        <v>11.400570537746098</v>
      </c>
      <c r="BA124" s="960">
        <v>10.896369223585648</v>
      </c>
      <c r="BB124" s="960">
        <v>0.15806253545046184</v>
      </c>
      <c r="BC124" s="960">
        <v>3.7290588943991884E-2</v>
      </c>
      <c r="BD124" s="960">
        <v>4.6442361988321273E-2</v>
      </c>
      <c r="BE124" s="960">
        <v>0.17642917204781275</v>
      </c>
      <c r="BF124" s="960">
        <v>3.9522484197980129E-2</v>
      </c>
      <c r="BG124" s="960">
        <v>0.29464589146567627</v>
      </c>
      <c r="BH124" s="960">
        <v>0.34860632509159811</v>
      </c>
      <c r="BI124" s="960">
        <v>0.26625744174386284</v>
      </c>
      <c r="BJ124" s="960">
        <v>0.2553000520357428</v>
      </c>
      <c r="BK124" s="960">
        <v>0.132895572971828</v>
      </c>
      <c r="BL124" s="960">
        <v>0.90495254787315038</v>
      </c>
      <c r="BM124" s="960">
        <v>0.72548964123718251</v>
      </c>
      <c r="BN124" s="960">
        <v>0.74568098953896478</v>
      </c>
      <c r="BO124" s="960">
        <v>0.61883444915560171</v>
      </c>
      <c r="BP124" s="960">
        <v>0.51401430596516384</v>
      </c>
      <c r="BQ124" s="960">
        <v>1.4316064158934296E-2</v>
      </c>
      <c r="BR124" s="960">
        <v>2.3769393649002407E-2</v>
      </c>
      <c r="BS124" s="960">
        <v>0.59530349582695929</v>
      </c>
      <c r="BT124" s="960">
        <v>0.13336186877203485</v>
      </c>
      <c r="BU124" s="960">
        <v>124918.9722</v>
      </c>
      <c r="BV124" s="960">
        <v>102964.772279</v>
      </c>
      <c r="BW124" s="960">
        <v>96329.646789999999</v>
      </c>
      <c r="BX124" s="960">
        <v>107550.322418</v>
      </c>
      <c r="BY124" s="960">
        <v>91060.330815999987</v>
      </c>
      <c r="BZ124" s="960">
        <v>1976.1647400000002</v>
      </c>
      <c r="CA124" s="960">
        <v>6534.0011620000005</v>
      </c>
      <c r="CB124" s="960">
        <v>0</v>
      </c>
      <c r="CC124" s="960">
        <v>0</v>
      </c>
      <c r="CD124" s="960">
        <v>0</v>
      </c>
      <c r="CE124" s="960" t="e">
        <v>#DIV/0!</v>
      </c>
      <c r="CF124" s="960" t="e">
        <v>#DIV/0!</v>
      </c>
      <c r="CG124" s="960" t="e">
        <v>#DIV/0!</v>
      </c>
      <c r="CH124" s="960" t="e">
        <v>#DIV/0!</v>
      </c>
      <c r="CI124" s="960" t="e">
        <v>#DIV/0!</v>
      </c>
      <c r="CJ124" s="960" t="e">
        <v>#DIV/0!</v>
      </c>
      <c r="CK124" s="960">
        <v>2.3428691691345593E-2</v>
      </c>
      <c r="CL124" s="960">
        <v>0.14660998674385212</v>
      </c>
      <c r="CM124" s="960">
        <v>4.7198085340348001E-2</v>
      </c>
      <c r="CN124" s="960" t="s">
        <v>616</v>
      </c>
      <c r="CO124" s="960">
        <v>1620.8000000000002</v>
      </c>
    </row>
    <row r="125" spans="1:93">
      <c r="A125" s="960">
        <v>0</v>
      </c>
      <c r="B125" s="960" t="s">
        <v>616</v>
      </c>
      <c r="C125" s="960">
        <v>0</v>
      </c>
      <c r="D125" s="960">
        <v>0</v>
      </c>
      <c r="E125" s="960">
        <v>0</v>
      </c>
      <c r="F125" s="960">
        <v>0</v>
      </c>
      <c r="G125" s="960">
        <v>0</v>
      </c>
      <c r="H125" s="960">
        <v>0</v>
      </c>
      <c r="I125" s="960">
        <v>1</v>
      </c>
      <c r="J125" s="960">
        <v>0</v>
      </c>
      <c r="K125" s="960">
        <v>0</v>
      </c>
      <c r="L125" s="960">
        <v>0</v>
      </c>
      <c r="M125" s="960">
        <v>0</v>
      </c>
      <c r="N125" s="960" t="s">
        <v>1036</v>
      </c>
      <c r="O125" s="960">
        <v>0</v>
      </c>
      <c r="P125" s="960">
        <v>0</v>
      </c>
      <c r="Q125" s="960">
        <v>0</v>
      </c>
      <c r="R125" s="960">
        <v>0</v>
      </c>
      <c r="S125" s="960">
        <v>0</v>
      </c>
      <c r="T125" s="960">
        <v>0</v>
      </c>
      <c r="U125" s="960">
        <v>0</v>
      </c>
      <c r="V125" s="960">
        <v>0</v>
      </c>
      <c r="W125" s="960">
        <v>0</v>
      </c>
      <c r="X125" s="960">
        <v>0</v>
      </c>
      <c r="Y125" s="960">
        <v>0</v>
      </c>
      <c r="Z125" s="960">
        <v>0</v>
      </c>
      <c r="AA125" s="960">
        <v>0</v>
      </c>
      <c r="AB125" s="960">
        <v>0</v>
      </c>
      <c r="AC125" s="960">
        <v>0</v>
      </c>
      <c r="AD125" s="960">
        <v>0</v>
      </c>
      <c r="AE125" s="960">
        <v>0</v>
      </c>
      <c r="AF125" s="960">
        <v>2006</v>
      </c>
      <c r="AG125" s="960">
        <v>0</v>
      </c>
      <c r="AH125" s="960">
        <v>0</v>
      </c>
      <c r="AI125" s="960">
        <v>0</v>
      </c>
      <c r="AJ125" s="960">
        <v>1</v>
      </c>
      <c r="AK125" s="960">
        <v>0</v>
      </c>
      <c r="AL125" s="960">
        <v>0</v>
      </c>
      <c r="AM125" s="960">
        <v>0</v>
      </c>
      <c r="AN125" s="960">
        <v>0</v>
      </c>
      <c r="AO125" s="960">
        <v>0</v>
      </c>
      <c r="AP125" s="960">
        <v>0</v>
      </c>
      <c r="AQ125" s="960">
        <v>0</v>
      </c>
      <c r="AR125" s="960">
        <v>0</v>
      </c>
      <c r="AS125" s="960">
        <v>0</v>
      </c>
      <c r="AT125" s="960">
        <v>0</v>
      </c>
      <c r="AU125" s="960">
        <v>0</v>
      </c>
      <c r="AV125" s="960">
        <v>0</v>
      </c>
      <c r="AW125" s="960">
        <v>16.562880217344304</v>
      </c>
      <c r="AX125" s="960">
        <v>16.676231514860472</v>
      </c>
      <c r="AY125" s="960">
        <v>16.576990301863052</v>
      </c>
      <c r="AZ125" s="960">
        <v>16.470008656966211</v>
      </c>
      <c r="BA125" s="960">
        <v>16.187378242085817</v>
      </c>
      <c r="BB125" s="960">
        <v>8.8612391193036363E-2</v>
      </c>
      <c r="BC125" s="960">
        <v>0.13442187789369711</v>
      </c>
      <c r="BD125" s="960">
        <v>0.19482443524055673</v>
      </c>
      <c r="BE125" s="960">
        <v>0.17479714966456952</v>
      </c>
      <c r="BF125" s="960">
        <v>0.11092895382070886</v>
      </c>
      <c r="BG125" s="960">
        <v>0.48765591967765054</v>
      </c>
      <c r="BH125" s="960">
        <v>0.52680956553330616</v>
      </c>
      <c r="BI125" s="960">
        <v>0.53581998607242343</v>
      </c>
      <c r="BJ125" s="960">
        <v>0.57723621070793119</v>
      </c>
      <c r="BK125" s="960">
        <v>0.56965312110615385</v>
      </c>
      <c r="BL125" s="960">
        <v>0.58814317808120165</v>
      </c>
      <c r="BM125" s="960">
        <v>0.51927638749385596</v>
      </c>
      <c r="BN125" s="960">
        <v>0.57496642459212099</v>
      </c>
      <c r="BO125" s="960">
        <v>0.61382568609478627</v>
      </c>
      <c r="BP125" s="960">
        <v>0.55409783351420883</v>
      </c>
      <c r="BQ125" s="960">
        <v>5.0552015967389612E-2</v>
      </c>
      <c r="BR125" s="960">
        <v>9.8495632603329553E-2</v>
      </c>
      <c r="BS125" s="960">
        <v>0.38961205977723584</v>
      </c>
      <c r="BT125" s="960">
        <v>-3.3833135033730422E-2</v>
      </c>
      <c r="BU125" s="960">
        <v>13590835.049999999</v>
      </c>
      <c r="BV125" s="960">
        <v>15923286.448000001</v>
      </c>
      <c r="BW125" s="960">
        <v>12774366.359999999</v>
      </c>
      <c r="BX125" s="960">
        <v>9792342.6239999998</v>
      </c>
      <c r="BY125" s="960">
        <v>8323792.6369999992</v>
      </c>
      <c r="BZ125" s="960">
        <v>6624543.5099999998</v>
      </c>
      <c r="CA125" s="960">
        <v>9062472.9020000007</v>
      </c>
      <c r="CB125" s="960">
        <v>8191644.7759999996</v>
      </c>
      <c r="CC125" s="960">
        <v>7470548.3399999999</v>
      </c>
      <c r="CD125" s="960">
        <v>5248686.6839999994</v>
      </c>
      <c r="CE125" s="960">
        <v>0.22650788008057826</v>
      </c>
      <c r="CF125" s="960">
        <v>0.33267161216173857</v>
      </c>
      <c r="CG125" s="960">
        <v>0.37632903724437577</v>
      </c>
      <c r="CH125" s="960">
        <v>0.19049641382909233</v>
      </c>
      <c r="CI125" s="960">
        <v>0.29932508113460793</v>
      </c>
      <c r="CJ125" s="960">
        <v>0.31366212844837199</v>
      </c>
      <c r="CK125" s="960">
        <v>0.14282778846692695</v>
      </c>
      <c r="CL125" s="960">
        <v>0.25379415890830248</v>
      </c>
      <c r="CM125" s="960">
        <v>0.24132342107025651</v>
      </c>
      <c r="CN125" s="960" t="s">
        <v>616</v>
      </c>
      <c r="CO125" s="960">
        <v>1418.1999999999998</v>
      </c>
    </row>
    <row r="126" spans="1:93">
      <c r="A126" s="960">
        <v>0</v>
      </c>
      <c r="B126" s="960" t="s">
        <v>616</v>
      </c>
      <c r="C126" s="960">
        <v>0</v>
      </c>
      <c r="D126" s="960">
        <v>0</v>
      </c>
      <c r="E126" s="960">
        <v>0</v>
      </c>
      <c r="F126" s="960">
        <v>0</v>
      </c>
      <c r="G126" s="960">
        <v>0</v>
      </c>
      <c r="H126" s="960">
        <v>0</v>
      </c>
      <c r="I126" s="960">
        <v>1</v>
      </c>
      <c r="J126" s="960">
        <v>0</v>
      </c>
      <c r="K126" s="960">
        <v>0</v>
      </c>
      <c r="L126" s="960">
        <v>0</v>
      </c>
      <c r="M126" s="960">
        <v>0</v>
      </c>
      <c r="N126" s="960" t="s">
        <v>1036</v>
      </c>
      <c r="O126" s="960">
        <v>0</v>
      </c>
      <c r="P126" s="960">
        <v>0</v>
      </c>
      <c r="Q126" s="960">
        <v>0</v>
      </c>
      <c r="R126" s="960">
        <v>0</v>
      </c>
      <c r="S126" s="960">
        <v>0</v>
      </c>
      <c r="T126" s="960">
        <v>0</v>
      </c>
      <c r="U126" s="960">
        <v>0</v>
      </c>
      <c r="V126" s="960">
        <v>0</v>
      </c>
      <c r="W126" s="960">
        <v>0</v>
      </c>
      <c r="X126" s="960">
        <v>0</v>
      </c>
      <c r="Y126" s="960">
        <v>0</v>
      </c>
      <c r="Z126" s="960">
        <v>0</v>
      </c>
      <c r="AA126" s="960">
        <v>0</v>
      </c>
      <c r="AB126" s="960">
        <v>0</v>
      </c>
      <c r="AC126" s="960">
        <v>0</v>
      </c>
      <c r="AD126" s="960">
        <v>0</v>
      </c>
      <c r="AE126" s="960">
        <v>0</v>
      </c>
      <c r="AF126" s="960">
        <v>2006</v>
      </c>
      <c r="AG126" s="960">
        <v>0</v>
      </c>
      <c r="AH126" s="960">
        <v>0</v>
      </c>
      <c r="AI126" s="960">
        <v>0</v>
      </c>
      <c r="AJ126" s="960">
        <v>1</v>
      </c>
      <c r="AK126" s="960">
        <v>0</v>
      </c>
      <c r="AL126" s="960">
        <v>0</v>
      </c>
      <c r="AM126" s="960">
        <v>0</v>
      </c>
      <c r="AN126" s="960">
        <v>0</v>
      </c>
      <c r="AO126" s="960">
        <v>0</v>
      </c>
      <c r="AP126" s="960">
        <v>0</v>
      </c>
      <c r="AQ126" s="960">
        <v>0</v>
      </c>
      <c r="AR126" s="960">
        <v>0</v>
      </c>
      <c r="AS126" s="960">
        <v>0</v>
      </c>
      <c r="AT126" s="960">
        <v>0</v>
      </c>
      <c r="AU126" s="960">
        <v>0</v>
      </c>
      <c r="AV126" s="960">
        <v>0</v>
      </c>
      <c r="AW126" s="960">
        <v>9.2193273032654179</v>
      </c>
      <c r="AX126" s="960">
        <v>8.9208044828008362</v>
      </c>
      <c r="AY126" s="960">
        <v>8.358390210398623</v>
      </c>
      <c r="AZ126" s="960">
        <v>7.4065791441070941</v>
      </c>
      <c r="BA126" s="960">
        <v>6.084729309198285</v>
      </c>
      <c r="BB126" s="960">
        <v>0.11973715461958674</v>
      </c>
      <c r="BC126" s="960">
        <v>4.2436177621940969E-2</v>
      </c>
      <c r="BD126" s="960">
        <v>3.9350180505415167E-2</v>
      </c>
      <c r="BE126" s="960">
        <v>2.9007488861503457E-2</v>
      </c>
      <c r="BF126" s="960">
        <v>-0.17280453257790368</v>
      </c>
      <c r="BG126" s="960">
        <v>0.74741985569458402</v>
      </c>
      <c r="BH126" s="960">
        <v>0.75223942781751263</v>
      </c>
      <c r="BI126" s="960">
        <v>0.64738731551655371</v>
      </c>
      <c r="BJ126" s="960">
        <v>0.7938606318619762</v>
      </c>
      <c r="BK126" s="960">
        <v>0.75701303832477285</v>
      </c>
      <c r="BL126" s="960">
        <v>2.8840533382044025</v>
      </c>
      <c r="BM126" s="960">
        <v>2.8913964308034164</v>
      </c>
      <c r="BN126" s="960">
        <v>3.3147187873952935</v>
      </c>
      <c r="BO126" s="960">
        <v>2.3636567331391443</v>
      </c>
      <c r="BP126" s="960">
        <v>1.1157645199525881</v>
      </c>
      <c r="BQ126" s="960">
        <v>0.32324394894611175</v>
      </c>
      <c r="BR126" s="960">
        <v>1.1646977758780785</v>
      </c>
      <c r="BS126" s="960">
        <v>2.2736609012003384</v>
      </c>
      <c r="BT126" s="960">
        <v>-0.10962572280821914</v>
      </c>
      <c r="BU126" s="960">
        <v>883.68786999999998</v>
      </c>
      <c r="BV126" s="960">
        <v>641.65623400000004</v>
      </c>
      <c r="BW126" s="960">
        <v>453.78902399999998</v>
      </c>
      <c r="BX126" s="960">
        <v>143.61936</v>
      </c>
      <c r="BY126" s="960">
        <v>95.470245999999989</v>
      </c>
      <c r="BZ126" s="960">
        <v>90.270049999999998</v>
      </c>
      <c r="CA126" s="960">
        <v>438.13848200000001</v>
      </c>
      <c r="CB126" s="960">
        <v>70.498143999999996</v>
      </c>
      <c r="CC126" s="960">
        <v>73.370760000000004</v>
      </c>
      <c r="CD126" s="960">
        <v>0</v>
      </c>
      <c r="CE126" s="960" t="e">
        <v>#DIV/0!</v>
      </c>
      <c r="CF126" s="960">
        <v>0.65106382978723398</v>
      </c>
      <c r="CG126" s="960">
        <v>2.3810679611650487</v>
      </c>
      <c r="CH126" s="960" t="e">
        <v>#DIV/0!</v>
      </c>
      <c r="CI126" s="960">
        <v>0.58541768965632301</v>
      </c>
      <c r="CJ126" s="960">
        <v>1.6719079780498098</v>
      </c>
      <c r="CK126" s="960">
        <v>-0.7947882736156352</v>
      </c>
      <c r="CL126" s="960">
        <v>0.33260869565217388</v>
      </c>
      <c r="CM126" s="960">
        <v>0.36990950226244346</v>
      </c>
      <c r="CN126" s="960" t="s">
        <v>616</v>
      </c>
      <c r="CO126" s="960">
        <v>1418.1999999999998</v>
      </c>
    </row>
    <row r="127" spans="1:93">
      <c r="A127" s="960">
        <v>0</v>
      </c>
      <c r="B127" s="960" t="s">
        <v>615</v>
      </c>
      <c r="C127" s="960">
        <v>0</v>
      </c>
      <c r="D127" s="960">
        <v>0</v>
      </c>
      <c r="E127" s="960">
        <v>0</v>
      </c>
      <c r="F127" s="960">
        <v>0</v>
      </c>
      <c r="G127" s="960">
        <v>0</v>
      </c>
      <c r="H127" s="960">
        <v>1</v>
      </c>
      <c r="I127" s="960">
        <v>0</v>
      </c>
      <c r="J127" s="960">
        <v>0</v>
      </c>
      <c r="K127" s="960">
        <v>0</v>
      </c>
      <c r="L127" s="960">
        <v>0</v>
      </c>
      <c r="M127" s="960">
        <v>0</v>
      </c>
      <c r="N127" s="960" t="s">
        <v>1036</v>
      </c>
      <c r="O127" s="960">
        <v>0</v>
      </c>
      <c r="P127" s="960">
        <v>0</v>
      </c>
      <c r="Q127" s="960">
        <v>0</v>
      </c>
      <c r="R127" s="960">
        <v>0</v>
      </c>
      <c r="S127" s="960">
        <v>0</v>
      </c>
      <c r="T127" s="960">
        <v>0</v>
      </c>
      <c r="U127" s="960">
        <v>0</v>
      </c>
      <c r="V127" s="960">
        <v>0</v>
      </c>
      <c r="W127" s="960">
        <v>0</v>
      </c>
      <c r="X127" s="960">
        <v>0</v>
      </c>
      <c r="Y127" s="960">
        <v>0</v>
      </c>
      <c r="Z127" s="960">
        <v>0</v>
      </c>
      <c r="AA127" s="960">
        <v>0</v>
      </c>
      <c r="AB127" s="960">
        <v>0</v>
      </c>
      <c r="AC127" s="960">
        <v>0</v>
      </c>
      <c r="AD127" s="960">
        <v>0</v>
      </c>
      <c r="AE127" s="960">
        <v>0</v>
      </c>
      <c r="AF127" s="960">
        <v>2005</v>
      </c>
      <c r="AG127" s="960">
        <v>0</v>
      </c>
      <c r="AH127" s="960">
        <v>0</v>
      </c>
      <c r="AI127" s="960">
        <v>1</v>
      </c>
      <c r="AJ127" s="960">
        <v>0</v>
      </c>
      <c r="AK127" s="960">
        <v>0</v>
      </c>
      <c r="AL127" s="960">
        <v>0</v>
      </c>
      <c r="AM127" s="960">
        <v>0</v>
      </c>
      <c r="AN127" s="960">
        <v>0</v>
      </c>
      <c r="AO127" s="960">
        <v>0</v>
      </c>
      <c r="AP127" s="960">
        <v>0</v>
      </c>
      <c r="AQ127" s="960">
        <v>0</v>
      </c>
      <c r="AR127" s="960">
        <v>0</v>
      </c>
      <c r="AS127" s="960">
        <v>0</v>
      </c>
      <c r="AT127" s="960">
        <v>0</v>
      </c>
      <c r="AU127" s="960">
        <v>0</v>
      </c>
      <c r="AV127" s="960">
        <v>0</v>
      </c>
      <c r="AW127" s="960">
        <v>12.916472373346215</v>
      </c>
      <c r="AX127" s="960">
        <v>13.478753364711576</v>
      </c>
      <c r="AY127" s="960">
        <v>12.967944528855053</v>
      </c>
      <c r="AZ127" s="960">
        <v>12.808399579401602</v>
      </c>
      <c r="BA127" s="960">
        <v>11.707062193808749</v>
      </c>
      <c r="BB127" s="960">
        <v>-5.5473949509296093E-2</v>
      </c>
      <c r="BC127" s="960">
        <v>0.45212914066135562</v>
      </c>
      <c r="BD127" s="960">
        <v>0.4464169122383605</v>
      </c>
      <c r="BE127" s="960">
        <v>0.4823472971713193</v>
      </c>
      <c r="BF127" s="960">
        <v>0.31120453872090148</v>
      </c>
      <c r="BG127" s="960">
        <v>0.38626417921021527</v>
      </c>
      <c r="BH127" s="960">
        <v>0.35605275848155793</v>
      </c>
      <c r="BI127" s="960">
        <v>0.4132810099853314</v>
      </c>
      <c r="BJ127" s="960">
        <v>0.39147518309388146</v>
      </c>
      <c r="BK127" s="960">
        <v>0.89253362799387925</v>
      </c>
      <c r="BL127" s="960">
        <v>8.8941733701828132E-2</v>
      </c>
      <c r="BM127" s="960">
        <v>0.16801094933268446</v>
      </c>
      <c r="BN127" s="960">
        <v>0.14138121523055111</v>
      </c>
      <c r="BO127" s="960">
        <v>0.13763235880506891</v>
      </c>
      <c r="BP127" s="960">
        <v>0.14387671323846349</v>
      </c>
      <c r="BQ127" s="960">
        <v>1.8339879375674231E-2</v>
      </c>
      <c r="BR127" s="960">
        <v>1.5561074078727172E-2</v>
      </c>
      <c r="BS127" s="960">
        <v>1.2608823350463034</v>
      </c>
      <c r="BT127" s="960">
        <v>-0.47925261800854785</v>
      </c>
      <c r="BU127" s="960">
        <v>1475690.1400820001</v>
      </c>
      <c r="BV127" s="960">
        <v>1554217.1404799998</v>
      </c>
      <c r="BW127" s="960">
        <v>1078153.1893559999</v>
      </c>
      <c r="BX127" s="960">
        <v>873728.45346999995</v>
      </c>
      <c r="BY127" s="960">
        <v>233486.00994599998</v>
      </c>
      <c r="BZ127" s="960">
        <v>2849812.15711</v>
      </c>
      <c r="CA127" s="960">
        <v>2533079.0787839997</v>
      </c>
      <c r="CB127" s="960">
        <v>1835068.1168519999</v>
      </c>
      <c r="CC127" s="960">
        <v>1707182.3016489998</v>
      </c>
      <c r="CD127" s="960">
        <v>564957.52268399997</v>
      </c>
      <c r="CE127" s="960">
        <v>6.6887141533180955E-2</v>
      </c>
      <c r="CF127" s="960">
        <v>0.10320416130475131</v>
      </c>
      <c r="CG127" s="960">
        <v>0.1042305909451023</v>
      </c>
      <c r="CH127" s="960">
        <v>8.9356060721890396E-2</v>
      </c>
      <c r="CI127" s="960">
        <v>0.14817524780247732</v>
      </c>
      <c r="CJ127" s="960">
        <v>0.13808177652640458</v>
      </c>
      <c r="CK127" s="960">
        <v>0.16184435970591812</v>
      </c>
      <c r="CL127" s="960">
        <v>0.2016511159002212</v>
      </c>
      <c r="CM127" s="960">
        <v>0.17740543378464529</v>
      </c>
      <c r="CN127" s="960" t="s">
        <v>615</v>
      </c>
      <c r="CO127" s="960">
        <v>1314.3</v>
      </c>
    </row>
    <row r="128" spans="1:93">
      <c r="A128" s="960">
        <v>0</v>
      </c>
      <c r="B128" s="960" t="s">
        <v>619</v>
      </c>
      <c r="C128" s="960">
        <v>0</v>
      </c>
      <c r="D128" s="960">
        <v>0</v>
      </c>
      <c r="E128" s="960">
        <v>0</v>
      </c>
      <c r="F128" s="960">
        <v>0</v>
      </c>
      <c r="G128" s="960">
        <v>0</v>
      </c>
      <c r="H128" s="960">
        <v>0</v>
      </c>
      <c r="I128" s="960">
        <v>0</v>
      </c>
      <c r="J128" s="960">
        <v>0</v>
      </c>
      <c r="K128" s="960">
        <v>0</v>
      </c>
      <c r="L128" s="960">
        <v>0</v>
      </c>
      <c r="M128" s="960">
        <v>1</v>
      </c>
      <c r="N128" s="960" t="s">
        <v>1036</v>
      </c>
      <c r="O128" s="960">
        <v>0</v>
      </c>
      <c r="P128" s="960">
        <v>0</v>
      </c>
      <c r="Q128" s="960">
        <v>0</v>
      </c>
      <c r="R128" s="960">
        <v>0</v>
      </c>
      <c r="S128" s="960">
        <v>0</v>
      </c>
      <c r="T128" s="960">
        <v>0</v>
      </c>
      <c r="U128" s="960">
        <v>0</v>
      </c>
      <c r="V128" s="960">
        <v>0</v>
      </c>
      <c r="W128" s="960">
        <v>0</v>
      </c>
      <c r="X128" s="960">
        <v>0</v>
      </c>
      <c r="Y128" s="960">
        <v>0</v>
      </c>
      <c r="Z128" s="960">
        <v>0</v>
      </c>
      <c r="AA128" s="960">
        <v>0</v>
      </c>
      <c r="AB128" s="960">
        <v>0</v>
      </c>
      <c r="AC128" s="960">
        <v>0</v>
      </c>
      <c r="AD128" s="960">
        <v>0</v>
      </c>
      <c r="AE128" s="960">
        <v>0</v>
      </c>
      <c r="AF128" s="960">
        <v>2005</v>
      </c>
      <c r="AG128" s="960">
        <v>0</v>
      </c>
      <c r="AH128" s="960">
        <v>0</v>
      </c>
      <c r="AI128" s="960">
        <v>1</v>
      </c>
      <c r="AJ128" s="960">
        <v>0</v>
      </c>
      <c r="AK128" s="960">
        <v>0</v>
      </c>
      <c r="AL128" s="960">
        <v>0</v>
      </c>
      <c r="AM128" s="960">
        <v>0</v>
      </c>
      <c r="AN128" s="960">
        <v>0</v>
      </c>
      <c r="AO128" s="960">
        <v>0</v>
      </c>
      <c r="AP128" s="960">
        <v>0</v>
      </c>
      <c r="AQ128" s="960">
        <v>0</v>
      </c>
      <c r="AR128" s="960">
        <v>0</v>
      </c>
      <c r="AS128" s="960">
        <v>0</v>
      </c>
      <c r="AT128" s="960">
        <v>0</v>
      </c>
      <c r="AU128" s="960">
        <v>0</v>
      </c>
      <c r="AV128" s="960">
        <v>0</v>
      </c>
      <c r="AW128" s="960">
        <v>9.2537263567902244</v>
      </c>
      <c r="AX128" s="960">
        <v>9.2202793958347335</v>
      </c>
      <c r="AY128" s="960">
        <v>9.0481063689418306</v>
      </c>
      <c r="AZ128" s="960">
        <v>9.5217162136818398</v>
      </c>
      <c r="BA128" s="960">
        <v>8.9447123316820605</v>
      </c>
      <c r="BB128" s="960">
        <v>-4.8237157416333838E-2</v>
      </c>
      <c r="BC128" s="960">
        <v>0.15952562473528165</v>
      </c>
      <c r="BD128" s="960">
        <v>0.18358578903883227</v>
      </c>
      <c r="BE128" s="960">
        <v>0.11139203024815789</v>
      </c>
      <c r="BF128" s="960">
        <v>0.21671352399418323</v>
      </c>
      <c r="BG128" s="960">
        <v>0.94142939969073958</v>
      </c>
      <c r="BH128" s="960">
        <v>0.93087368104690127</v>
      </c>
      <c r="BI128" s="960">
        <v>0.92563269750139165</v>
      </c>
      <c r="BJ128" s="960">
        <v>0.91887808623468004</v>
      </c>
      <c r="BK128" s="960">
        <v>0.90970637672024368</v>
      </c>
      <c r="BL128" s="960">
        <v>1.8565857207054309E-2</v>
      </c>
      <c r="BM128" s="960">
        <v>2.1846837843719883E-2</v>
      </c>
      <c r="BN128" s="960">
        <v>2.2243295462759785E-2</v>
      </c>
      <c r="BO128" s="960">
        <v>4.0346603918454897E-2</v>
      </c>
      <c r="BP128" s="960">
        <v>2.7090555730643971E-2</v>
      </c>
      <c r="BQ128" s="960">
        <v>-1.787336850994037E-3</v>
      </c>
      <c r="BR128" s="960">
        <v>-1.010938582336611E-2</v>
      </c>
      <c r="BS128" s="960">
        <v>0.1033940372597711</v>
      </c>
      <c r="BT128" s="960">
        <v>1.5926320781147973E-2</v>
      </c>
      <c r="BU128" s="960">
        <v>32946.323858000003</v>
      </c>
      <c r="BV128" s="960">
        <v>31957.390455999997</v>
      </c>
      <c r="BW128" s="960">
        <v>28426.642368000001</v>
      </c>
      <c r="BX128" s="960">
        <v>27451.116482999998</v>
      </c>
      <c r="BY128" s="960">
        <v>25555.146461999997</v>
      </c>
      <c r="BZ128" s="960">
        <v>16076.464120000001</v>
      </c>
      <c r="CA128" s="960">
        <v>15342.073031999998</v>
      </c>
      <c r="CB128" s="960">
        <v>13993.677228</v>
      </c>
      <c r="CC128" s="960">
        <v>306721.02215799998</v>
      </c>
      <c r="CD128" s="960">
        <v>10498.956425999999</v>
      </c>
      <c r="CE128" s="960">
        <v>0.1582628888605695</v>
      </c>
      <c r="CF128" s="960">
        <v>4.9583751980866071E-3</v>
      </c>
      <c r="CG128" s="960">
        <v>0.11154494037326669</v>
      </c>
      <c r="CH128" s="960">
        <v>0.14984364899397595</v>
      </c>
      <c r="CI128" s="960">
        <v>9.0504324369462975E-3</v>
      </c>
      <c r="CJ128" s="960">
        <v>0.10733319699869337</v>
      </c>
      <c r="CK128" s="960">
        <v>6.5019982431748502E-2</v>
      </c>
      <c r="CL128" s="960">
        <v>5.5401677740205157E-2</v>
      </c>
      <c r="CM128" s="960">
        <v>5.4910596608382392E-2</v>
      </c>
      <c r="CN128" s="960" t="s">
        <v>619</v>
      </c>
      <c r="CO128" s="960">
        <v>1327.3</v>
      </c>
    </row>
    <row r="129" spans="1:93">
      <c r="A129" s="960">
        <v>0</v>
      </c>
      <c r="B129" s="960" t="s">
        <v>619</v>
      </c>
      <c r="C129" s="960">
        <v>0</v>
      </c>
      <c r="D129" s="960">
        <v>0</v>
      </c>
      <c r="E129" s="960">
        <v>0</v>
      </c>
      <c r="F129" s="960">
        <v>0</v>
      </c>
      <c r="G129" s="960">
        <v>0</v>
      </c>
      <c r="H129" s="960">
        <v>0</v>
      </c>
      <c r="I129" s="960">
        <v>0</v>
      </c>
      <c r="J129" s="960">
        <v>0</v>
      </c>
      <c r="K129" s="960">
        <v>0</v>
      </c>
      <c r="L129" s="960">
        <v>0</v>
      </c>
      <c r="M129" s="960">
        <v>1</v>
      </c>
      <c r="N129" s="960" t="s">
        <v>1036</v>
      </c>
      <c r="O129" s="960">
        <v>0</v>
      </c>
      <c r="P129" s="960">
        <v>0</v>
      </c>
      <c r="Q129" s="960">
        <v>0</v>
      </c>
      <c r="R129" s="960">
        <v>0</v>
      </c>
      <c r="S129" s="960">
        <v>0</v>
      </c>
      <c r="T129" s="960">
        <v>0</v>
      </c>
      <c r="U129" s="960">
        <v>0</v>
      </c>
      <c r="V129" s="960">
        <v>0</v>
      </c>
      <c r="W129" s="960">
        <v>0</v>
      </c>
      <c r="X129" s="960">
        <v>0</v>
      </c>
      <c r="Y129" s="960">
        <v>0</v>
      </c>
      <c r="Z129" s="960">
        <v>0</v>
      </c>
      <c r="AA129" s="960">
        <v>0</v>
      </c>
      <c r="AB129" s="960">
        <v>0</v>
      </c>
      <c r="AC129" s="960">
        <v>0</v>
      </c>
      <c r="AD129" s="960">
        <v>0</v>
      </c>
      <c r="AE129" s="960">
        <v>0</v>
      </c>
      <c r="AF129" s="960">
        <v>2005</v>
      </c>
      <c r="AG129" s="960">
        <v>0</v>
      </c>
      <c r="AH129" s="960">
        <v>0</v>
      </c>
      <c r="AI129" s="960">
        <v>1</v>
      </c>
      <c r="AJ129" s="960">
        <v>0</v>
      </c>
      <c r="AK129" s="960">
        <v>0</v>
      </c>
      <c r="AL129" s="960">
        <v>0</v>
      </c>
      <c r="AM129" s="960">
        <v>0</v>
      </c>
      <c r="AN129" s="960">
        <v>0</v>
      </c>
      <c r="AO129" s="960">
        <v>0</v>
      </c>
      <c r="AP129" s="960">
        <v>0</v>
      </c>
      <c r="AQ129" s="960">
        <v>0</v>
      </c>
      <c r="AR129" s="960">
        <v>0</v>
      </c>
      <c r="AS129" s="960">
        <v>0</v>
      </c>
      <c r="AT129" s="960">
        <v>0</v>
      </c>
      <c r="AU129" s="960">
        <v>0</v>
      </c>
      <c r="AV129" s="960">
        <v>0</v>
      </c>
      <c r="AW129" s="960">
        <v>10.075129626278382</v>
      </c>
      <c r="AX129" s="960">
        <v>9.8801032214621625</v>
      </c>
      <c r="AY129" s="960">
        <v>9.7496729775193192</v>
      </c>
      <c r="AZ129" s="960">
        <v>9.6600505899184679</v>
      </c>
      <c r="BA129" s="960">
        <v>9.5186151573184219</v>
      </c>
      <c r="BB129" s="960">
        <v>0.24737647076638852</v>
      </c>
      <c r="BC129" s="960">
        <v>0.30559375027368829</v>
      </c>
      <c r="BD129" s="960">
        <v>0.34643289546749684</v>
      </c>
      <c r="BE129" s="960">
        <v>0.34221591923359185</v>
      </c>
      <c r="BF129" s="960">
        <v>0.34663317131778709</v>
      </c>
      <c r="BG129" s="960">
        <v>0.93866572091492928</v>
      </c>
      <c r="BH129" s="960">
        <v>0.93813327431152627</v>
      </c>
      <c r="BI129" s="960">
        <v>0.93529513710725143</v>
      </c>
      <c r="BJ129" s="960">
        <v>0.92863616837775331</v>
      </c>
      <c r="BK129" s="960">
        <v>0.92481801159680876</v>
      </c>
      <c r="BL129" s="960">
        <v>2.2573954509911166E-2</v>
      </c>
      <c r="BM129" s="960">
        <v>2.1380612197702833E-2</v>
      </c>
      <c r="BN129" s="960">
        <v>2.3388307953825922E-2</v>
      </c>
      <c r="BO129" s="960">
        <v>2.5736871538466842E-2</v>
      </c>
      <c r="BP129" s="960">
        <v>2.6916438357372566E-2</v>
      </c>
      <c r="BQ129" s="960">
        <v>-1.2276511438663821E-3</v>
      </c>
      <c r="BR129" s="960">
        <v>1.1214997953568201E-3</v>
      </c>
      <c r="BS129" s="960">
        <v>0.23105782020089771</v>
      </c>
      <c r="BT129" s="960">
        <v>1.0477125510442664E-2</v>
      </c>
      <c r="BU129" s="960">
        <v>64514.228454000004</v>
      </c>
      <c r="BV129" s="960">
        <v>56534.207015999993</v>
      </c>
      <c r="BW129" s="960">
        <v>47442.470064000001</v>
      </c>
      <c r="BX129" s="960">
        <v>43473.946954999999</v>
      </c>
      <c r="BY129" s="960">
        <v>38017.035936</v>
      </c>
      <c r="BZ129" s="960">
        <v>28092.641216</v>
      </c>
      <c r="CA129" s="960">
        <v>26621.091623999997</v>
      </c>
      <c r="CB129" s="960">
        <v>29038.897944</v>
      </c>
      <c r="CC129" s="960">
        <v>15893.308134999999</v>
      </c>
      <c r="CD129" s="960">
        <v>15168.429845999999</v>
      </c>
      <c r="CE129" s="960">
        <v>0.31103662540550603</v>
      </c>
      <c r="CF129" s="960">
        <v>0.33759232989287286</v>
      </c>
      <c r="CG129" s="960">
        <v>0.2045823522454816</v>
      </c>
      <c r="CH129" s="960">
        <v>0.29698240382969732</v>
      </c>
      <c r="CI129" s="960">
        <v>0.32230801485716915</v>
      </c>
      <c r="CJ129" s="960">
        <v>0.19944735843769112</v>
      </c>
      <c r="CK129" s="960">
        <v>0.12410060689482573</v>
      </c>
      <c r="CL129" s="960">
        <v>0.12341780074750977</v>
      </c>
      <c r="CM129" s="960">
        <v>0.12522210669018255</v>
      </c>
      <c r="CN129" s="960" t="s">
        <v>619</v>
      </c>
      <c r="CO129" s="960">
        <v>1327.3</v>
      </c>
    </row>
    <row r="130" spans="1:93">
      <c r="A130" s="960">
        <v>0</v>
      </c>
      <c r="B130" s="960" t="s">
        <v>619</v>
      </c>
      <c r="C130" s="960">
        <v>0</v>
      </c>
      <c r="D130" s="960">
        <v>0</v>
      </c>
      <c r="E130" s="960">
        <v>0</v>
      </c>
      <c r="F130" s="960">
        <v>0</v>
      </c>
      <c r="G130" s="960">
        <v>0</v>
      </c>
      <c r="H130" s="960">
        <v>0</v>
      </c>
      <c r="I130" s="960">
        <v>0</v>
      </c>
      <c r="J130" s="960">
        <v>0</v>
      </c>
      <c r="K130" s="960">
        <v>0</v>
      </c>
      <c r="L130" s="960">
        <v>0</v>
      </c>
      <c r="M130" s="960">
        <v>1</v>
      </c>
      <c r="N130" s="960" t="s">
        <v>1036</v>
      </c>
      <c r="O130" s="960">
        <v>0</v>
      </c>
      <c r="P130" s="960">
        <v>0</v>
      </c>
      <c r="Q130" s="960">
        <v>0</v>
      </c>
      <c r="R130" s="960">
        <v>0</v>
      </c>
      <c r="S130" s="960">
        <v>0</v>
      </c>
      <c r="T130" s="960">
        <v>0</v>
      </c>
      <c r="U130" s="960">
        <v>0</v>
      </c>
      <c r="V130" s="960">
        <v>0</v>
      </c>
      <c r="W130" s="960">
        <v>0</v>
      </c>
      <c r="X130" s="960">
        <v>0</v>
      </c>
      <c r="Y130" s="960">
        <v>0</v>
      </c>
      <c r="Z130" s="960">
        <v>0</v>
      </c>
      <c r="AA130" s="960">
        <v>0</v>
      </c>
      <c r="AB130" s="960">
        <v>0</v>
      </c>
      <c r="AC130" s="960">
        <v>0</v>
      </c>
      <c r="AD130" s="960">
        <v>0</v>
      </c>
      <c r="AE130" s="960">
        <v>0</v>
      </c>
      <c r="AF130" s="960">
        <v>2007</v>
      </c>
      <c r="AG130" s="960">
        <v>0</v>
      </c>
      <c r="AH130" s="960">
        <v>0</v>
      </c>
      <c r="AI130" s="960">
        <v>0</v>
      </c>
      <c r="AJ130" s="960">
        <v>0</v>
      </c>
      <c r="AK130" s="960">
        <v>1</v>
      </c>
      <c r="AL130" s="960">
        <v>0</v>
      </c>
      <c r="AM130" s="960">
        <v>0</v>
      </c>
      <c r="AN130" s="960">
        <v>0</v>
      </c>
      <c r="AO130" s="960">
        <v>0</v>
      </c>
      <c r="AP130" s="960">
        <v>0</v>
      </c>
      <c r="AQ130" s="960">
        <v>0</v>
      </c>
      <c r="AR130" s="960">
        <v>0</v>
      </c>
      <c r="AS130" s="960">
        <v>0</v>
      </c>
      <c r="AT130" s="960">
        <v>0</v>
      </c>
      <c r="AU130" s="960">
        <v>0</v>
      </c>
      <c r="AV130" s="960">
        <v>0</v>
      </c>
      <c r="AW130" s="960">
        <v>9.7268149899078509</v>
      </c>
      <c r="AX130" s="960">
        <v>9.6448935644358649</v>
      </c>
      <c r="AY130" s="960">
        <v>9.7819354717820222</v>
      </c>
      <c r="AZ130" s="960">
        <v>2.7884399254815611</v>
      </c>
      <c r="BA130" s="960">
        <v>9.5331776765278349</v>
      </c>
      <c r="BB130" s="960">
        <v>0.30559316840783968</v>
      </c>
      <c r="BC130" s="960">
        <v>0.25940448601224964</v>
      </c>
      <c r="BD130" s="960">
        <v>0.20015023702936727</v>
      </c>
      <c r="BE130" s="960">
        <v>0.25263157894736843</v>
      </c>
      <c r="BF130" s="960">
        <v>0.29999886963500516</v>
      </c>
      <c r="BG130" s="960">
        <v>0.92937290445391429</v>
      </c>
      <c r="BH130" s="960">
        <v>0.92605477233723799</v>
      </c>
      <c r="BI130" s="960">
        <v>0.924186235848941</v>
      </c>
      <c r="BJ130" s="960">
        <v>0.91827768014059763</v>
      </c>
      <c r="BK130" s="960">
        <v>0.91726821713565732</v>
      </c>
      <c r="BL130" s="960">
        <v>2.1886045555819942E-2</v>
      </c>
      <c r="BM130" s="960">
        <v>2.367972012381777E-2</v>
      </c>
      <c r="BN130" s="960">
        <v>2.6244363420135197E-2</v>
      </c>
      <c r="BO130" s="960">
        <v>2.7826596367896899E-2</v>
      </c>
      <c r="BP130" s="960">
        <v>2.7645384592308152E-2</v>
      </c>
      <c r="BQ130" s="960">
        <v>-3.0407685690925189E-3</v>
      </c>
      <c r="BR130" s="960">
        <v>-3.0960873539902012E-2</v>
      </c>
      <c r="BS130" s="960">
        <v>0.24875779525418854</v>
      </c>
      <c r="BT130" s="960">
        <v>6.9180187132836801E-3</v>
      </c>
      <c r="BU130" s="960">
        <v>54088.647821999999</v>
      </c>
      <c r="BV130" s="960">
        <v>48223.379099999998</v>
      </c>
      <c r="BW130" s="960">
        <v>51162.60095</v>
      </c>
      <c r="BX130" s="960">
        <v>47.740247999999994</v>
      </c>
      <c r="BY130" s="960">
        <v>41329.124675999999</v>
      </c>
      <c r="BZ130" s="960">
        <v>19274.160367</v>
      </c>
      <c r="CA130" s="960">
        <v>18857.6531</v>
      </c>
      <c r="CB130" s="960">
        <v>21273.358236</v>
      </c>
      <c r="CC130" s="960">
        <v>20.191215999999997</v>
      </c>
      <c r="CD130" s="960">
        <v>15206.168064</v>
      </c>
      <c r="CE130" s="960">
        <v>0.27246222076215504</v>
      </c>
      <c r="CF130" s="960">
        <v>0.20338983050847462</v>
      </c>
      <c r="CG130" s="960">
        <v>0.16663286175481296</v>
      </c>
      <c r="CH130" s="960">
        <v>0.25821451960364128</v>
      </c>
      <c r="CI130" s="960">
        <v>0.19379821870066433</v>
      </c>
      <c r="CJ130" s="960">
        <v>0.15925261283314246</v>
      </c>
      <c r="CK130" s="960">
        <v>0.10024665057583278</v>
      </c>
      <c r="CL130" s="960">
        <v>8.6021505376344093E-2</v>
      </c>
      <c r="CM130" s="960">
        <v>6.9285777035930765E-2</v>
      </c>
      <c r="CN130" s="960" t="s">
        <v>619</v>
      </c>
      <c r="CO130" s="960">
        <v>1531.5</v>
      </c>
    </row>
    <row r="131" spans="1:93">
      <c r="A131" s="960">
        <v>0</v>
      </c>
      <c r="B131" s="960" t="s">
        <v>619</v>
      </c>
      <c r="C131" s="960">
        <v>0</v>
      </c>
      <c r="D131" s="960">
        <v>0</v>
      </c>
      <c r="E131" s="960">
        <v>0</v>
      </c>
      <c r="F131" s="960">
        <v>0</v>
      </c>
      <c r="G131" s="960">
        <v>0</v>
      </c>
      <c r="H131" s="960">
        <v>0</v>
      </c>
      <c r="I131" s="960">
        <v>0</v>
      </c>
      <c r="J131" s="960">
        <v>0</v>
      </c>
      <c r="K131" s="960">
        <v>0</v>
      </c>
      <c r="L131" s="960">
        <v>0</v>
      </c>
      <c r="M131" s="960">
        <v>1</v>
      </c>
      <c r="N131" s="960" t="s">
        <v>1036</v>
      </c>
      <c r="O131" s="960">
        <v>0</v>
      </c>
      <c r="P131" s="960">
        <v>0</v>
      </c>
      <c r="Q131" s="960">
        <v>0</v>
      </c>
      <c r="R131" s="960">
        <v>0</v>
      </c>
      <c r="S131" s="960">
        <v>0</v>
      </c>
      <c r="T131" s="960">
        <v>0</v>
      </c>
      <c r="U131" s="960">
        <v>0</v>
      </c>
      <c r="V131" s="960">
        <v>0</v>
      </c>
      <c r="W131" s="960">
        <v>0</v>
      </c>
      <c r="X131" s="960">
        <v>0</v>
      </c>
      <c r="Y131" s="960">
        <v>0</v>
      </c>
      <c r="Z131" s="960">
        <v>0</v>
      </c>
      <c r="AA131" s="960">
        <v>0</v>
      </c>
      <c r="AB131" s="960">
        <v>0</v>
      </c>
      <c r="AC131" s="960">
        <v>0</v>
      </c>
      <c r="AD131" s="960">
        <v>0</v>
      </c>
      <c r="AE131" s="960">
        <v>0</v>
      </c>
      <c r="AF131" s="960">
        <v>2007</v>
      </c>
      <c r="AG131" s="960">
        <v>0</v>
      </c>
      <c r="AH131" s="960">
        <v>0</v>
      </c>
      <c r="AI131" s="960">
        <v>0</v>
      </c>
      <c r="AJ131" s="960">
        <v>0</v>
      </c>
      <c r="AK131" s="960">
        <v>1</v>
      </c>
      <c r="AL131" s="960">
        <v>0</v>
      </c>
      <c r="AM131" s="960">
        <v>0</v>
      </c>
      <c r="AN131" s="960">
        <v>0</v>
      </c>
      <c r="AO131" s="960">
        <v>0</v>
      </c>
      <c r="AP131" s="960">
        <v>0</v>
      </c>
      <c r="AQ131" s="960">
        <v>0</v>
      </c>
      <c r="AR131" s="960">
        <v>0</v>
      </c>
      <c r="AS131" s="960">
        <v>0</v>
      </c>
      <c r="AT131" s="960">
        <v>0</v>
      </c>
      <c r="AU131" s="960">
        <v>0</v>
      </c>
      <c r="AV131" s="960">
        <v>0</v>
      </c>
      <c r="AW131" s="960">
        <v>10.18329694091204</v>
      </c>
      <c r="AX131" s="960">
        <v>10.039017497411496</v>
      </c>
      <c r="AY131" s="960">
        <v>10.073750660587043</v>
      </c>
      <c r="AZ131" s="960">
        <v>9.9519139545521291</v>
      </c>
      <c r="BA131" s="960">
        <v>9.8139008023361427</v>
      </c>
      <c r="BB131" s="960">
        <v>0.34413840171812482</v>
      </c>
      <c r="BC131" s="960">
        <v>0.24373382444244468</v>
      </c>
      <c r="BD131" s="960">
        <v>0.17996542625784734</v>
      </c>
      <c r="BE131" s="960">
        <v>0.28441825206631777</v>
      </c>
      <c r="BF131" s="960">
        <v>0.32706721986033566</v>
      </c>
      <c r="BG131" s="960">
        <v>0.94091581700443361</v>
      </c>
      <c r="BH131" s="960">
        <v>0.93942370962657962</v>
      </c>
      <c r="BI131" s="960">
        <v>0.94011826217920746</v>
      </c>
      <c r="BJ131" s="960">
        <v>0.93809074095935152</v>
      </c>
      <c r="BK131" s="960">
        <v>0.93372616181478918</v>
      </c>
      <c r="BL131" s="960">
        <v>2.2337235485810993E-2</v>
      </c>
      <c r="BM131" s="960">
        <v>2.3135960505744166E-2</v>
      </c>
      <c r="BN131" s="960">
        <v>2.2572844196852619E-2</v>
      </c>
      <c r="BO131" s="960">
        <v>2.2988234368236733E-2</v>
      </c>
      <c r="BP131" s="960">
        <v>2.4939555568424629E-2</v>
      </c>
      <c r="BQ131" s="960">
        <v>-4.0945795765784405E-3</v>
      </c>
      <c r="BR131" s="960">
        <v>-5.5243546189001416E-2</v>
      </c>
      <c r="BS131" s="960">
        <v>0.25984985825090001</v>
      </c>
      <c r="BT131" s="960">
        <v>6.392100364418285E-3</v>
      </c>
      <c r="BU131" s="960">
        <v>69982.826805999997</v>
      </c>
      <c r="BV131" s="960">
        <v>15025.250109999999</v>
      </c>
      <c r="BW131" s="960">
        <v>62907.840543999999</v>
      </c>
      <c r="BX131" s="960">
        <v>56534.207015999993</v>
      </c>
      <c r="BY131" s="960">
        <v>48593.142132000001</v>
      </c>
      <c r="BZ131" s="960">
        <v>35660.518182</v>
      </c>
      <c r="CA131" s="960">
        <v>34677.599190000001</v>
      </c>
      <c r="CB131" s="960">
        <v>28114.215536</v>
      </c>
      <c r="CC131" s="960">
        <v>26643.507295999996</v>
      </c>
      <c r="CD131" s="960">
        <v>29184.858924</v>
      </c>
      <c r="CE131" s="960">
        <v>0.2049285114440528</v>
      </c>
      <c r="CF131" s="960">
        <v>0.22409253217561079</v>
      </c>
      <c r="CG131" s="960">
        <v>0.15178799815828517</v>
      </c>
      <c r="CH131" s="960">
        <v>0.19950406601729709</v>
      </c>
      <c r="CI131" s="960">
        <v>0.21675740298918081</v>
      </c>
      <c r="CJ131" s="960">
        <v>0.14676054846019054</v>
      </c>
      <c r="CK131" s="960">
        <v>0.12307929542307705</v>
      </c>
      <c r="CL131" s="960">
        <v>0.10561059102341758</v>
      </c>
      <c r="CM131" s="960">
        <v>6.7835749234075635E-2</v>
      </c>
      <c r="CN131" s="960" t="s">
        <v>619</v>
      </c>
      <c r="CO131" s="960">
        <v>1531.5</v>
      </c>
    </row>
    <row r="132" spans="1:93">
      <c r="A132" s="960">
        <v>0</v>
      </c>
      <c r="B132" s="960" t="s">
        <v>619</v>
      </c>
      <c r="C132" s="960">
        <v>0</v>
      </c>
      <c r="D132" s="960">
        <v>0</v>
      </c>
      <c r="E132" s="960">
        <v>0</v>
      </c>
      <c r="F132" s="960">
        <v>0</v>
      </c>
      <c r="G132" s="960">
        <v>0</v>
      </c>
      <c r="H132" s="960">
        <v>0</v>
      </c>
      <c r="I132" s="960">
        <v>0</v>
      </c>
      <c r="J132" s="960">
        <v>0</v>
      </c>
      <c r="K132" s="960">
        <v>0</v>
      </c>
      <c r="L132" s="960">
        <v>0</v>
      </c>
      <c r="M132" s="960">
        <v>1</v>
      </c>
      <c r="N132" s="960" t="s">
        <v>1036</v>
      </c>
      <c r="O132" s="960">
        <v>0</v>
      </c>
      <c r="P132" s="960">
        <v>0</v>
      </c>
      <c r="Q132" s="960">
        <v>0</v>
      </c>
      <c r="R132" s="960">
        <v>0</v>
      </c>
      <c r="S132" s="960">
        <v>0</v>
      </c>
      <c r="T132" s="960">
        <v>0</v>
      </c>
      <c r="U132" s="960">
        <v>0</v>
      </c>
      <c r="V132" s="960">
        <v>0</v>
      </c>
      <c r="W132" s="960">
        <v>0</v>
      </c>
      <c r="X132" s="960">
        <v>0</v>
      </c>
      <c r="Y132" s="960">
        <v>0</v>
      </c>
      <c r="Z132" s="960">
        <v>0</v>
      </c>
      <c r="AA132" s="960">
        <v>0</v>
      </c>
      <c r="AB132" s="960">
        <v>0</v>
      </c>
      <c r="AC132" s="960">
        <v>0</v>
      </c>
      <c r="AD132" s="960">
        <v>0</v>
      </c>
      <c r="AE132" s="960">
        <v>0</v>
      </c>
      <c r="AF132" s="960">
        <v>2007</v>
      </c>
      <c r="AG132" s="960">
        <v>0</v>
      </c>
      <c r="AH132" s="960">
        <v>0</v>
      </c>
      <c r="AI132" s="960">
        <v>0</v>
      </c>
      <c r="AJ132" s="960">
        <v>0</v>
      </c>
      <c r="AK132" s="960">
        <v>1</v>
      </c>
      <c r="AL132" s="960">
        <v>0</v>
      </c>
      <c r="AM132" s="960">
        <v>0</v>
      </c>
      <c r="AN132" s="960">
        <v>0</v>
      </c>
      <c r="AO132" s="960">
        <v>0</v>
      </c>
      <c r="AP132" s="960">
        <v>0</v>
      </c>
      <c r="AQ132" s="960">
        <v>0</v>
      </c>
      <c r="AR132" s="960">
        <v>0</v>
      </c>
      <c r="AS132" s="960">
        <v>0</v>
      </c>
      <c r="AT132" s="960">
        <v>0</v>
      </c>
      <c r="AU132" s="960">
        <v>0</v>
      </c>
      <c r="AV132" s="960">
        <v>0</v>
      </c>
      <c r="AW132" s="960">
        <v>12.17341283918334</v>
      </c>
      <c r="AX132" s="960">
        <v>11.951895927138162</v>
      </c>
      <c r="AY132" s="960">
        <v>12.299399914565742</v>
      </c>
      <c r="AZ132" s="960">
        <v>12.791929028458389</v>
      </c>
      <c r="BA132" s="960">
        <v>12.50378138786677</v>
      </c>
      <c r="BB132" s="960">
        <v>0.19139882857563423</v>
      </c>
      <c r="BC132" s="960">
        <v>0.20277512543274429</v>
      </c>
      <c r="BD132" s="960">
        <v>0.20402078848526883</v>
      </c>
      <c r="BE132" s="960">
        <v>0.28102063597589894</v>
      </c>
      <c r="BF132" s="960">
        <v>0.29672493803004812</v>
      </c>
      <c r="BG132" s="960">
        <v>0.64661267237658182</v>
      </c>
      <c r="BH132" s="960">
        <v>0.57048142004706615</v>
      </c>
      <c r="BI132" s="960">
        <v>0.7166791647054449</v>
      </c>
      <c r="BJ132" s="960">
        <v>0.81111634994443893</v>
      </c>
      <c r="BK132" s="960">
        <v>0.88368675245302175</v>
      </c>
      <c r="BL132" s="960">
        <v>0.44243966346335883</v>
      </c>
      <c r="BM132" s="960">
        <v>0.47155461542011018</v>
      </c>
      <c r="BN132" s="960">
        <v>0.42834239528829787</v>
      </c>
      <c r="BO132" s="960">
        <v>0.42510021546248522</v>
      </c>
      <c r="BP132" s="960">
        <v>0.47664908894470953</v>
      </c>
      <c r="BQ132" s="960">
        <v>-5.4042918150810623E-2</v>
      </c>
      <c r="BR132" s="960">
        <v>-0.90752349389588982</v>
      </c>
      <c r="BS132" s="960">
        <v>-0.20438147330102677</v>
      </c>
      <c r="BT132" s="960">
        <v>-0.16700758774757685</v>
      </c>
      <c r="BU132" s="960">
        <v>154611.908283</v>
      </c>
      <c r="BV132" s="960">
        <v>141283.65237999998</v>
      </c>
      <c r="BW132" s="960">
        <v>145227.53508</v>
      </c>
      <c r="BX132" s="960">
        <v>159649.37823199999</v>
      </c>
      <c r="BY132" s="960">
        <v>65728.336752000003</v>
      </c>
      <c r="BZ132" s="960">
        <v>3691.2584019999999</v>
      </c>
      <c r="CA132" s="960">
        <v>41540.519540000001</v>
      </c>
      <c r="CB132" s="960">
        <v>53645.984967999997</v>
      </c>
      <c r="CC132" s="960">
        <v>48007.011607999993</v>
      </c>
      <c r="CD132" s="960">
        <v>36287.929032</v>
      </c>
      <c r="CE132" s="960">
        <v>2.2024959776988133</v>
      </c>
      <c r="CF132" s="960">
        <v>2.1032830884056475</v>
      </c>
      <c r="CG132" s="960">
        <v>0.83502352641527144</v>
      </c>
      <c r="CH132" s="960">
        <v>2.0877507659417036</v>
      </c>
      <c r="CI132" s="960">
        <v>1.8254692344702148</v>
      </c>
      <c r="CJ132" s="960">
        <v>0.68583471664907891</v>
      </c>
      <c r="CK132" s="960">
        <v>1.215975052488576</v>
      </c>
      <c r="CL132" s="960">
        <v>0.63246306849544109</v>
      </c>
      <c r="CM132" s="960">
        <v>0.30845155859268614</v>
      </c>
      <c r="CN132" s="960" t="s">
        <v>619</v>
      </c>
      <c r="CO132" s="960">
        <v>1531.5</v>
      </c>
    </row>
    <row r="133" spans="1:93">
      <c r="A133" s="960">
        <v>0</v>
      </c>
      <c r="B133" s="960" t="s">
        <v>619</v>
      </c>
      <c r="C133" s="960">
        <v>0</v>
      </c>
      <c r="D133" s="960">
        <v>0</v>
      </c>
      <c r="E133" s="960">
        <v>0</v>
      </c>
      <c r="F133" s="960">
        <v>0</v>
      </c>
      <c r="G133" s="960">
        <v>0</v>
      </c>
      <c r="H133" s="960">
        <v>0</v>
      </c>
      <c r="I133" s="960">
        <v>0</v>
      </c>
      <c r="J133" s="960">
        <v>0</v>
      </c>
      <c r="K133" s="960">
        <v>0</v>
      </c>
      <c r="L133" s="960">
        <v>0</v>
      </c>
      <c r="M133" s="960">
        <v>1</v>
      </c>
      <c r="N133" s="960" t="s">
        <v>1036</v>
      </c>
      <c r="O133" s="960">
        <v>0</v>
      </c>
      <c r="P133" s="960">
        <v>0</v>
      </c>
      <c r="Q133" s="960">
        <v>0</v>
      </c>
      <c r="R133" s="960">
        <v>0</v>
      </c>
      <c r="S133" s="960">
        <v>0</v>
      </c>
      <c r="T133" s="960">
        <v>0</v>
      </c>
      <c r="U133" s="960">
        <v>0</v>
      </c>
      <c r="V133" s="960">
        <v>0</v>
      </c>
      <c r="W133" s="960">
        <v>0</v>
      </c>
      <c r="X133" s="960">
        <v>0</v>
      </c>
      <c r="Y133" s="960">
        <v>0</v>
      </c>
      <c r="Z133" s="960">
        <v>0</v>
      </c>
      <c r="AA133" s="960">
        <v>0</v>
      </c>
      <c r="AB133" s="960">
        <v>0</v>
      </c>
      <c r="AC133" s="960">
        <v>0</v>
      </c>
      <c r="AD133" s="960">
        <v>0</v>
      </c>
      <c r="AE133" s="960">
        <v>0</v>
      </c>
      <c r="AF133" s="960">
        <v>2007</v>
      </c>
      <c r="AG133" s="960">
        <v>0</v>
      </c>
      <c r="AH133" s="960">
        <v>0</v>
      </c>
      <c r="AI133" s="960">
        <v>0</v>
      </c>
      <c r="AJ133" s="960">
        <v>0</v>
      </c>
      <c r="AK133" s="960">
        <v>1</v>
      </c>
      <c r="AL133" s="960">
        <v>0</v>
      </c>
      <c r="AM133" s="960">
        <v>0</v>
      </c>
      <c r="AN133" s="960">
        <v>0</v>
      </c>
      <c r="AO133" s="960">
        <v>0</v>
      </c>
      <c r="AP133" s="960">
        <v>0</v>
      </c>
      <c r="AQ133" s="960">
        <v>0</v>
      </c>
      <c r="AR133" s="960">
        <v>0</v>
      </c>
      <c r="AS133" s="960">
        <v>0</v>
      </c>
      <c r="AT133" s="960">
        <v>0</v>
      </c>
      <c r="AU133" s="960">
        <v>0</v>
      </c>
      <c r="AV133" s="960">
        <v>0</v>
      </c>
      <c r="AW133" s="960">
        <v>12.736513737902779</v>
      </c>
      <c r="AX133" s="960">
        <v>12.719611106224294</v>
      </c>
      <c r="AY133" s="960">
        <v>12.645329126355652</v>
      </c>
      <c r="AZ133" s="960">
        <v>12.576575694996292</v>
      </c>
      <c r="BA133" s="960">
        <v>12.473519326456843</v>
      </c>
      <c r="BB133" s="960">
        <v>0.4307992202729044</v>
      </c>
      <c r="BC133" s="960">
        <v>0.32026768642447417</v>
      </c>
      <c r="BD133" s="960">
        <v>0.26071842410196988</v>
      </c>
      <c r="BE133" s="960">
        <v>0.36680448907265212</v>
      </c>
      <c r="BF133" s="960">
        <v>0.46535244922341695</v>
      </c>
      <c r="BG133" s="960">
        <v>0.93172174093479276</v>
      </c>
      <c r="BH133" s="960">
        <v>0.93889978698566667</v>
      </c>
      <c r="BI133" s="960">
        <v>0.94381082179661901</v>
      </c>
      <c r="BJ133" s="960">
        <v>0.93829421543489899</v>
      </c>
      <c r="BK133" s="960">
        <v>0.94430695045426238</v>
      </c>
      <c r="BL133" s="960">
        <v>2.128961975411112E-2</v>
      </c>
      <c r="BM133" s="960">
        <v>2.5176609341340424E-2</v>
      </c>
      <c r="BN133" s="960">
        <v>2.0634579059369246E-2</v>
      </c>
      <c r="BO133" s="960">
        <v>2.3851117184638358E-2</v>
      </c>
      <c r="BP133" s="960">
        <v>2.6728831691388972E-2</v>
      </c>
      <c r="BQ133" s="960">
        <v>-7.0585123581020882E-3</v>
      </c>
      <c r="BR133" s="960">
        <v>-0.12767689049800984</v>
      </c>
      <c r="BS133" s="960">
        <v>0.1718097998988091</v>
      </c>
      <c r="BT133" s="960">
        <v>-4.9612865764336878E-4</v>
      </c>
      <c r="BU133" s="960">
        <v>1090215.041</v>
      </c>
      <c r="BV133" s="960">
        <v>811152.28999999992</v>
      </c>
      <c r="BW133" s="960">
        <v>845173.98600000003</v>
      </c>
      <c r="BX133" s="960">
        <v>749470.55999999994</v>
      </c>
      <c r="BY133" s="960">
        <v>544348.59600000002</v>
      </c>
      <c r="BZ133" s="960">
        <v>663140.98300000001</v>
      </c>
      <c r="CA133" s="960">
        <v>823454.58</v>
      </c>
      <c r="CB133" s="960">
        <v>583944.92799999996</v>
      </c>
      <c r="CC133" s="960">
        <v>502555.94399999996</v>
      </c>
      <c r="CD133" s="960">
        <v>579785.11199999996</v>
      </c>
      <c r="CE133" s="960">
        <v>0.20974690360796985</v>
      </c>
      <c r="CF133" s="960">
        <v>0.21144024514811033</v>
      </c>
      <c r="CG133" s="960">
        <v>0.13854679802955666</v>
      </c>
      <c r="CH133" s="960">
        <v>0.21050714738262349</v>
      </c>
      <c r="CI133" s="960">
        <v>0.20714185578533212</v>
      </c>
      <c r="CJ133" s="960">
        <v>0.1361401546647385</v>
      </c>
      <c r="CK133" s="960">
        <v>0.22340120447375966</v>
      </c>
      <c r="CL133" s="960">
        <v>0.14178082191780822</v>
      </c>
      <c r="CM133" s="960">
        <v>9.5724313975749833E-2</v>
      </c>
      <c r="CN133" s="960" t="s">
        <v>619</v>
      </c>
      <c r="CO133" s="960">
        <v>1531.5</v>
      </c>
    </row>
    <row r="134" spans="1:93">
      <c r="A134" s="960">
        <v>0</v>
      </c>
      <c r="B134" s="960" t="s">
        <v>622</v>
      </c>
      <c r="C134" s="960">
        <v>0</v>
      </c>
      <c r="D134" s="960">
        <v>1</v>
      </c>
      <c r="E134" s="960">
        <v>0</v>
      </c>
      <c r="F134" s="960">
        <v>0</v>
      </c>
      <c r="G134" s="960">
        <v>0</v>
      </c>
      <c r="H134" s="960">
        <v>0</v>
      </c>
      <c r="I134" s="960">
        <v>0</v>
      </c>
      <c r="J134" s="960">
        <v>0</v>
      </c>
      <c r="K134" s="960">
        <v>0</v>
      </c>
      <c r="L134" s="960">
        <v>0</v>
      </c>
      <c r="M134" s="960">
        <v>0</v>
      </c>
      <c r="N134" s="960" t="s">
        <v>1036</v>
      </c>
      <c r="O134" s="960">
        <v>0</v>
      </c>
      <c r="P134" s="960">
        <v>0</v>
      </c>
      <c r="Q134" s="960">
        <v>0</v>
      </c>
      <c r="R134" s="960">
        <v>0</v>
      </c>
      <c r="S134" s="960">
        <v>0</v>
      </c>
      <c r="T134" s="960">
        <v>0</v>
      </c>
      <c r="U134" s="960">
        <v>0</v>
      </c>
      <c r="V134" s="960">
        <v>0</v>
      </c>
      <c r="W134" s="960">
        <v>0</v>
      </c>
      <c r="X134" s="960">
        <v>0</v>
      </c>
      <c r="Y134" s="960">
        <v>0</v>
      </c>
      <c r="Z134" s="960">
        <v>0</v>
      </c>
      <c r="AA134" s="960">
        <v>0</v>
      </c>
      <c r="AB134" s="960">
        <v>0</v>
      </c>
      <c r="AC134" s="960">
        <v>0</v>
      </c>
      <c r="AD134" s="960">
        <v>0</v>
      </c>
      <c r="AE134" s="960">
        <v>0</v>
      </c>
      <c r="AF134" s="960">
        <v>2007</v>
      </c>
      <c r="AG134" s="960">
        <v>0</v>
      </c>
      <c r="AH134" s="960">
        <v>0</v>
      </c>
      <c r="AI134" s="960">
        <v>0</v>
      </c>
      <c r="AJ134" s="960">
        <v>0</v>
      </c>
      <c r="AK134" s="960">
        <v>1</v>
      </c>
      <c r="AL134" s="960">
        <v>0</v>
      </c>
      <c r="AM134" s="960">
        <v>0</v>
      </c>
      <c r="AN134" s="960">
        <v>0</v>
      </c>
      <c r="AO134" s="960">
        <v>0</v>
      </c>
      <c r="AP134" s="960">
        <v>0</v>
      </c>
      <c r="AQ134" s="960">
        <v>0</v>
      </c>
      <c r="AR134" s="960">
        <v>0</v>
      </c>
      <c r="AS134" s="960">
        <v>0</v>
      </c>
      <c r="AT134" s="960">
        <v>0</v>
      </c>
      <c r="AU134" s="960">
        <v>0</v>
      </c>
      <c r="AV134" s="960">
        <v>0</v>
      </c>
      <c r="AW134" s="960">
        <v>10.337908173920985</v>
      </c>
      <c r="AX134" s="960">
        <v>10.714798024001821</v>
      </c>
      <c r="AY134" s="960">
        <v>10.942519189442633</v>
      </c>
      <c r="AZ134" s="960">
        <v>10.722289619124632</v>
      </c>
      <c r="BA134" s="960">
        <v>10.367024562571368</v>
      </c>
      <c r="BB134" s="960">
        <v>3.7180883307494646E-2</v>
      </c>
      <c r="BC134" s="960">
        <v>3.2239975582228977E-2</v>
      </c>
      <c r="BD134" s="960">
        <v>7.4859983398372271E-2</v>
      </c>
      <c r="BE134" s="960">
        <v>2.8351643376693925E-2</v>
      </c>
      <c r="BF134" s="960">
        <v>3.4163945695136623E-2</v>
      </c>
      <c r="BG134" s="960">
        <v>0.32874314954431227</v>
      </c>
      <c r="BH134" s="960">
        <v>0.47095559787291258</v>
      </c>
      <c r="BI134" s="960">
        <v>0.6021033418799705</v>
      </c>
      <c r="BJ134" s="960">
        <v>0.69185729021297249</v>
      </c>
      <c r="BK134" s="960">
        <v>0.66770689551701368</v>
      </c>
      <c r="BL134" s="960">
        <v>1.1288521512701728</v>
      </c>
      <c r="BM134" s="960">
        <v>1.546265249340087</v>
      </c>
      <c r="BN134" s="960">
        <v>1.366420407631133</v>
      </c>
      <c r="BO134" s="960">
        <v>1.1487860480033285</v>
      </c>
      <c r="BP134" s="960">
        <v>1.0185490807977755</v>
      </c>
      <c r="BQ134" s="960">
        <v>6.7492553546257161E-2</v>
      </c>
      <c r="BR134" s="960">
        <v>0.15235913836836446</v>
      </c>
      <c r="BS134" s="960">
        <v>0.5754946268712644</v>
      </c>
      <c r="BT134" s="960">
        <v>-6.5603553637043177E-2</v>
      </c>
      <c r="BU134" s="960">
        <v>18362.859206000001</v>
      </c>
      <c r="BV134" s="960">
        <v>15402.30731</v>
      </c>
      <c r="BW134" s="960">
        <v>16461.206160000002</v>
      </c>
      <c r="BX134" s="960">
        <v>12165.720975999999</v>
      </c>
      <c r="BY134" s="960">
        <v>10372.59606</v>
      </c>
      <c r="BZ134" s="960">
        <v>1318.495899</v>
      </c>
      <c r="CA134" s="960">
        <v>4583.3219899999995</v>
      </c>
      <c r="CB134" s="960">
        <v>9813.0794519999999</v>
      </c>
      <c r="CC134" s="960">
        <v>15194.403375999998</v>
      </c>
      <c r="CD134" s="960">
        <v>12327.224328</v>
      </c>
      <c r="CE134" s="960">
        <v>8.8113871792923543E-2</v>
      </c>
      <c r="CF134" s="960">
        <v>8.4630284465866346E-2</v>
      </c>
      <c r="CG134" s="960">
        <v>0.43124106848411564</v>
      </c>
      <c r="CH134" s="960">
        <v>9.3631427010891388E-2</v>
      </c>
      <c r="CI134" s="960">
        <v>9.1122446553846118E-2</v>
      </c>
      <c r="CJ134" s="960">
        <v>0.36194189752063888</v>
      </c>
      <c r="CK134" s="960">
        <v>0.10471818797501693</v>
      </c>
      <c r="CL134" s="960">
        <v>0.10569917578553545</v>
      </c>
      <c r="CM134" s="960">
        <v>0.25707732634338137</v>
      </c>
      <c r="CN134" s="960" t="s">
        <v>622</v>
      </c>
      <c r="CO134" s="960">
        <v>1504.5</v>
      </c>
    </row>
    <row r="135" spans="1:93">
      <c r="A135" s="960">
        <v>0</v>
      </c>
      <c r="B135" s="960" t="s">
        <v>622</v>
      </c>
      <c r="C135" s="960">
        <v>0</v>
      </c>
      <c r="D135" s="960">
        <v>1</v>
      </c>
      <c r="E135" s="960">
        <v>0</v>
      </c>
      <c r="F135" s="960">
        <v>0</v>
      </c>
      <c r="G135" s="960">
        <v>0</v>
      </c>
      <c r="H135" s="960">
        <v>0</v>
      </c>
      <c r="I135" s="960">
        <v>0</v>
      </c>
      <c r="J135" s="960">
        <v>0</v>
      </c>
      <c r="K135" s="960">
        <v>0</v>
      </c>
      <c r="L135" s="960">
        <v>0</v>
      </c>
      <c r="M135" s="960">
        <v>0</v>
      </c>
      <c r="N135" s="960" t="s">
        <v>1036</v>
      </c>
      <c r="O135" s="960">
        <v>0</v>
      </c>
      <c r="P135" s="960">
        <v>0</v>
      </c>
      <c r="Q135" s="960">
        <v>0</v>
      </c>
      <c r="R135" s="960">
        <v>0</v>
      </c>
      <c r="S135" s="960">
        <v>0</v>
      </c>
      <c r="T135" s="960">
        <v>0</v>
      </c>
      <c r="U135" s="960">
        <v>0</v>
      </c>
      <c r="V135" s="960">
        <v>0</v>
      </c>
      <c r="W135" s="960">
        <v>0</v>
      </c>
      <c r="X135" s="960">
        <v>0</v>
      </c>
      <c r="Y135" s="960">
        <v>0</v>
      </c>
      <c r="Z135" s="960">
        <v>0</v>
      </c>
      <c r="AA135" s="960">
        <v>0</v>
      </c>
      <c r="AB135" s="960">
        <v>0</v>
      </c>
      <c r="AC135" s="960">
        <v>0</v>
      </c>
      <c r="AD135" s="960">
        <v>0</v>
      </c>
      <c r="AE135" s="960">
        <v>0</v>
      </c>
      <c r="AF135" s="960">
        <v>2007</v>
      </c>
      <c r="AG135" s="960">
        <v>0</v>
      </c>
      <c r="AH135" s="960">
        <v>0</v>
      </c>
      <c r="AI135" s="960">
        <v>0</v>
      </c>
      <c r="AJ135" s="960">
        <v>0</v>
      </c>
      <c r="AK135" s="960">
        <v>1</v>
      </c>
      <c r="AL135" s="960">
        <v>0</v>
      </c>
      <c r="AM135" s="960">
        <v>0</v>
      </c>
      <c r="AN135" s="960">
        <v>0</v>
      </c>
      <c r="AO135" s="960">
        <v>0</v>
      </c>
      <c r="AP135" s="960">
        <v>0</v>
      </c>
      <c r="AQ135" s="960">
        <v>0</v>
      </c>
      <c r="AR135" s="960">
        <v>0</v>
      </c>
      <c r="AS135" s="960">
        <v>0</v>
      </c>
      <c r="AT135" s="960">
        <v>0</v>
      </c>
      <c r="AU135" s="960">
        <v>0</v>
      </c>
      <c r="AV135" s="960">
        <v>0</v>
      </c>
      <c r="AW135" s="960">
        <v>7.8040976275222169</v>
      </c>
      <c r="AX135" s="960">
        <v>7.8081027904590634</v>
      </c>
      <c r="AY135" s="960">
        <v>8.2013531225548046</v>
      </c>
      <c r="AZ135" s="960">
        <v>8.2770296136985984</v>
      </c>
      <c r="BA135" s="960">
        <v>8.4450229113087509</v>
      </c>
      <c r="BB135" s="960">
        <v>10.444128979922937</v>
      </c>
      <c r="BC135" s="960">
        <v>7.1825324675324671</v>
      </c>
      <c r="BD135" s="960">
        <v>-13.495685191577495</v>
      </c>
      <c r="BE135" s="960">
        <v>1.1310590897223913</v>
      </c>
      <c r="BF135" s="960">
        <v>0.10198328802979967</v>
      </c>
      <c r="BG135" s="960">
        <v>0.4773799235499418</v>
      </c>
      <c r="BH135" s="960">
        <v>0.51392941866395492</v>
      </c>
      <c r="BI135" s="960">
        <v>0.60835354693249399</v>
      </c>
      <c r="BJ135" s="960">
        <v>0.21615360277794485</v>
      </c>
      <c r="BK135" s="960">
        <v>0.36645388622204067</v>
      </c>
      <c r="BL135" s="960">
        <v>6.1463353830812691E-3</v>
      </c>
      <c r="BM135" s="960">
        <v>6.0047320407822687E-3</v>
      </c>
      <c r="BN135" s="960">
        <v>8.5621217206997818E-3</v>
      </c>
      <c r="BO135" s="960">
        <v>1.5023232341720684E-2</v>
      </c>
      <c r="BP135" s="960">
        <v>3.80438668164641E-2</v>
      </c>
      <c r="BQ135" s="960">
        <v>-0.11943153794184284</v>
      </c>
      <c r="BR135" s="960">
        <v>-0.30116451519381815</v>
      </c>
      <c r="BS135" s="960">
        <v>-0.24366978875394538</v>
      </c>
      <c r="BT135" s="960">
        <v>0.24189966071045332</v>
      </c>
      <c r="BU135" s="960">
        <v>208375.36356200001</v>
      </c>
      <c r="BV135" s="960">
        <v>199169.12223000001</v>
      </c>
      <c r="BW135" s="960">
        <v>166769.134028</v>
      </c>
      <c r="BX135" s="960">
        <v>205180.22808799997</v>
      </c>
      <c r="BY135" s="960">
        <v>77467.814459999994</v>
      </c>
      <c r="BZ135" s="960">
        <v>107406.64067200001</v>
      </c>
      <c r="CA135" s="960">
        <v>112524.73284</v>
      </c>
      <c r="CB135" s="960">
        <v>145579.735854</v>
      </c>
      <c r="CC135" s="960">
        <v>11865.932751999999</v>
      </c>
      <c r="CD135" s="960">
        <v>17005.468872000001</v>
      </c>
      <c r="CE135" s="960">
        <v>2.7897626085519669E-2</v>
      </c>
      <c r="CF135" s="960">
        <v>0.37484498024399387</v>
      </c>
      <c r="CG135" s="960">
        <v>-0.33798421466670125</v>
      </c>
      <c r="CH135" s="960">
        <v>1.4103014117645167E-2</v>
      </c>
      <c r="CI135" s="960">
        <v>9.8016320532919157E-2</v>
      </c>
      <c r="CJ135" s="960">
        <v>-0.32116545951296283</v>
      </c>
      <c r="CK135" s="960">
        <v>6.123991173714597E-3</v>
      </c>
      <c r="CL135" s="960">
        <v>2.1677943189011083E-2</v>
      </c>
      <c r="CM135" s="960">
        <v>-0.29504052402010356</v>
      </c>
      <c r="CN135" s="960" t="s">
        <v>622</v>
      </c>
      <c r="CO135" s="960">
        <v>1504.5</v>
      </c>
    </row>
    <row r="136" spans="1:93">
      <c r="A136" s="960">
        <v>0</v>
      </c>
      <c r="B136" s="960" t="s">
        <v>622</v>
      </c>
      <c r="C136" s="960">
        <v>0</v>
      </c>
      <c r="D136" s="960">
        <v>1</v>
      </c>
      <c r="E136" s="960">
        <v>0</v>
      </c>
      <c r="F136" s="960">
        <v>0</v>
      </c>
      <c r="G136" s="960">
        <v>0</v>
      </c>
      <c r="H136" s="960">
        <v>0</v>
      </c>
      <c r="I136" s="960">
        <v>0</v>
      </c>
      <c r="J136" s="960">
        <v>0</v>
      </c>
      <c r="K136" s="960">
        <v>0</v>
      </c>
      <c r="L136" s="960">
        <v>0</v>
      </c>
      <c r="M136" s="960">
        <v>0</v>
      </c>
      <c r="N136" s="960" t="s">
        <v>1036</v>
      </c>
      <c r="O136" s="960">
        <v>0</v>
      </c>
      <c r="P136" s="960">
        <v>0</v>
      </c>
      <c r="Q136" s="960">
        <v>0</v>
      </c>
      <c r="R136" s="960">
        <v>0</v>
      </c>
      <c r="S136" s="960">
        <v>0</v>
      </c>
      <c r="T136" s="960">
        <v>0</v>
      </c>
      <c r="U136" s="960">
        <v>0</v>
      </c>
      <c r="V136" s="960">
        <v>0</v>
      </c>
      <c r="W136" s="960">
        <v>0</v>
      </c>
      <c r="X136" s="960">
        <v>0</v>
      </c>
      <c r="Y136" s="960">
        <v>0</v>
      </c>
      <c r="Z136" s="960">
        <v>0</v>
      </c>
      <c r="AA136" s="960">
        <v>0</v>
      </c>
      <c r="AB136" s="960">
        <v>0</v>
      </c>
      <c r="AC136" s="960">
        <v>0</v>
      </c>
      <c r="AD136" s="960">
        <v>0</v>
      </c>
      <c r="AE136" s="960">
        <v>0</v>
      </c>
      <c r="AF136" s="960">
        <v>2007</v>
      </c>
      <c r="AG136" s="960">
        <v>0</v>
      </c>
      <c r="AH136" s="960">
        <v>0</v>
      </c>
      <c r="AI136" s="960">
        <v>0</v>
      </c>
      <c r="AJ136" s="960">
        <v>0</v>
      </c>
      <c r="AK136" s="960">
        <v>1</v>
      </c>
      <c r="AL136" s="960">
        <v>0</v>
      </c>
      <c r="AM136" s="960">
        <v>0</v>
      </c>
      <c r="AN136" s="960">
        <v>0</v>
      </c>
      <c r="AO136" s="960">
        <v>0</v>
      </c>
      <c r="AP136" s="960">
        <v>0</v>
      </c>
      <c r="AQ136" s="960">
        <v>0</v>
      </c>
      <c r="AR136" s="960">
        <v>0</v>
      </c>
      <c r="AS136" s="960">
        <v>0</v>
      </c>
      <c r="AT136" s="960">
        <v>0</v>
      </c>
      <c r="AU136" s="960">
        <v>0</v>
      </c>
      <c r="AV136" s="960">
        <v>0</v>
      </c>
      <c r="AW136" s="960">
        <v>16.090087428796899</v>
      </c>
      <c r="AX136" s="960">
        <v>16.010905413491137</v>
      </c>
      <c r="AY136" s="960">
        <v>16.28277805644327</v>
      </c>
      <c r="AZ136" s="960">
        <v>16.206876387907005</v>
      </c>
      <c r="BA136" s="960">
        <v>15.922596177251387</v>
      </c>
      <c r="BB136" s="960">
        <v>-1.5605567575855664E-2</v>
      </c>
      <c r="BC136" s="960">
        <v>4.6080244717934121E-2</v>
      </c>
      <c r="BD136" s="960">
        <v>-4.3123560896018542E-2</v>
      </c>
      <c r="BE136" s="960">
        <v>0.13150766436500855</v>
      </c>
      <c r="BF136" s="960">
        <v>0.21327562970977354</v>
      </c>
      <c r="BG136" s="960">
        <v>0.46389691687323653</v>
      </c>
      <c r="BH136" s="960">
        <v>0.48329214456202607</v>
      </c>
      <c r="BI136" s="960">
        <v>0.52281607990393231</v>
      </c>
      <c r="BJ136" s="960">
        <v>0.41699721495484848</v>
      </c>
      <c r="BK136" s="960">
        <v>0.39570667738531884</v>
      </c>
      <c r="BL136" s="960">
        <v>0.67050867593470487</v>
      </c>
      <c r="BM136" s="960">
        <v>0.59383647001668682</v>
      </c>
      <c r="BN136" s="960">
        <v>0.62500238263156893</v>
      </c>
      <c r="BO136" s="960">
        <v>0.67375938897797283</v>
      </c>
      <c r="BP136" s="960">
        <v>0.66174697281816808</v>
      </c>
      <c r="BQ136" s="960">
        <v>-0.16808683064390034</v>
      </c>
      <c r="BR136" s="960">
        <v>-0.29003502822053517</v>
      </c>
      <c r="BS136" s="960">
        <v>0.3601818791918836</v>
      </c>
      <c r="BT136" s="960">
        <v>0.12710940251861347</v>
      </c>
      <c r="BU136" s="960">
        <v>7774636.3909999998</v>
      </c>
      <c r="BV136" s="960">
        <v>7816747.25</v>
      </c>
      <c r="BW136" s="960">
        <v>9001705.2339999992</v>
      </c>
      <c r="BX136" s="960">
        <v>9456333.568</v>
      </c>
      <c r="BY136" s="960">
        <v>7510199.7719999999</v>
      </c>
      <c r="BZ136" s="960">
        <v>4290785.5609999998</v>
      </c>
      <c r="CA136" s="960">
        <v>5333282.37</v>
      </c>
      <c r="CB136" s="960">
        <v>6262126.1660000002</v>
      </c>
      <c r="CC136" s="960">
        <v>3804675.32</v>
      </c>
      <c r="CD136" s="960">
        <v>2522236.9559999998</v>
      </c>
      <c r="CE136" s="960">
        <v>0.69542613108869222</v>
      </c>
      <c r="CF136" s="960">
        <v>0.37773780076456037</v>
      </c>
      <c r="CG136" s="960">
        <v>-8.1192041572162726E-2</v>
      </c>
      <c r="CH136" s="960">
        <v>0.41631926603636471</v>
      </c>
      <c r="CI136" s="960">
        <v>0.24612013449047956</v>
      </c>
      <c r="CJ136" s="960">
        <v>-6.9400833201724368E-2</v>
      </c>
      <c r="CK136" s="960">
        <v>0.23355297345611006</v>
      </c>
      <c r="CL136" s="960">
        <v>0.15197958888245511</v>
      </c>
      <c r="CM136" s="960">
        <v>-5.6482054764425103E-2</v>
      </c>
      <c r="CN136" s="960" t="s">
        <v>622</v>
      </c>
      <c r="CO136" s="960">
        <v>1504.5</v>
      </c>
    </row>
    <row r="137" spans="1:93">
      <c r="A137" s="960">
        <v>0</v>
      </c>
      <c r="B137" s="960" t="s">
        <v>622</v>
      </c>
      <c r="C137" s="960">
        <v>0</v>
      </c>
      <c r="D137" s="960">
        <v>1</v>
      </c>
      <c r="E137" s="960">
        <v>0</v>
      </c>
      <c r="F137" s="960">
        <v>0</v>
      </c>
      <c r="G137" s="960">
        <v>0</v>
      </c>
      <c r="H137" s="960">
        <v>0</v>
      </c>
      <c r="I137" s="960">
        <v>0</v>
      </c>
      <c r="J137" s="960">
        <v>0</v>
      </c>
      <c r="K137" s="960">
        <v>0</v>
      </c>
      <c r="L137" s="960">
        <v>0</v>
      </c>
      <c r="M137" s="960">
        <v>0</v>
      </c>
      <c r="N137" s="960" t="s">
        <v>1036</v>
      </c>
      <c r="O137" s="960">
        <v>0</v>
      </c>
      <c r="P137" s="960">
        <v>0</v>
      </c>
      <c r="Q137" s="960">
        <v>0</v>
      </c>
      <c r="R137" s="960">
        <v>0</v>
      </c>
      <c r="S137" s="960">
        <v>0</v>
      </c>
      <c r="T137" s="960">
        <v>0</v>
      </c>
      <c r="U137" s="960">
        <v>0</v>
      </c>
      <c r="V137" s="960">
        <v>0</v>
      </c>
      <c r="W137" s="960">
        <v>0</v>
      </c>
      <c r="X137" s="960">
        <v>0</v>
      </c>
      <c r="Y137" s="960">
        <v>0</v>
      </c>
      <c r="Z137" s="960">
        <v>0</v>
      </c>
      <c r="AA137" s="960">
        <v>0</v>
      </c>
      <c r="AB137" s="960">
        <v>0</v>
      </c>
      <c r="AC137" s="960">
        <v>0</v>
      </c>
      <c r="AD137" s="960">
        <v>0</v>
      </c>
      <c r="AE137" s="960">
        <v>0</v>
      </c>
      <c r="AF137" s="960">
        <v>2007</v>
      </c>
      <c r="AG137" s="960">
        <v>0</v>
      </c>
      <c r="AH137" s="960">
        <v>0</v>
      </c>
      <c r="AI137" s="960">
        <v>0</v>
      </c>
      <c r="AJ137" s="960">
        <v>0</v>
      </c>
      <c r="AK137" s="960">
        <v>1</v>
      </c>
      <c r="AL137" s="960">
        <v>0</v>
      </c>
      <c r="AM137" s="960">
        <v>0</v>
      </c>
      <c r="AN137" s="960">
        <v>0</v>
      </c>
      <c r="AO137" s="960">
        <v>0</v>
      </c>
      <c r="AP137" s="960">
        <v>0</v>
      </c>
      <c r="AQ137" s="960">
        <v>0</v>
      </c>
      <c r="AR137" s="960">
        <v>0</v>
      </c>
      <c r="AS137" s="960">
        <v>0</v>
      </c>
      <c r="AT137" s="960">
        <v>0</v>
      </c>
      <c r="AU137" s="960">
        <v>0</v>
      </c>
      <c r="AV137" s="960">
        <v>0</v>
      </c>
      <c r="AW137" s="960">
        <v>11.719994684717305</v>
      </c>
      <c r="AX137" s="960">
        <v>11.469572673286889</v>
      </c>
      <c r="AY137" s="960">
        <v>11.956258215153987</v>
      </c>
      <c r="AZ137" s="960">
        <v>11.9002083829229</v>
      </c>
      <c r="BA137" s="960">
        <v>10.925369249696553</v>
      </c>
      <c r="BB137" s="960">
        <v>-5.0686781922666166E-2</v>
      </c>
      <c r="BC137" s="960">
        <v>-6.5287939333772707E-2</v>
      </c>
      <c r="BD137" s="960">
        <v>6.3656559245261245E-3</v>
      </c>
      <c r="BE137" s="960">
        <v>6.0418854492904461E-2</v>
      </c>
      <c r="BF137" s="960">
        <v>7.9407575549006765E-2</v>
      </c>
      <c r="BG137" s="960">
        <v>0.6726716186903412</v>
      </c>
      <c r="BH137" s="960">
        <v>0.58020113259767914</v>
      </c>
      <c r="BI137" s="960">
        <v>0.54216293754898626</v>
      </c>
      <c r="BJ137" s="960">
        <v>0.50868241393158342</v>
      </c>
      <c r="BK137" s="960">
        <v>0.43702434295397818</v>
      </c>
      <c r="BL137" s="960">
        <v>1.0680620364669937</v>
      </c>
      <c r="BM137" s="960">
        <v>0.98038237439845055</v>
      </c>
      <c r="BN137" s="960">
        <v>1.281443634373937</v>
      </c>
      <c r="BO137" s="960">
        <v>1.2570902851301524</v>
      </c>
      <c r="BP137" s="960">
        <v>0.6792993290229995</v>
      </c>
      <c r="BQ137" s="960">
        <v>-4.5784283526684698E-2</v>
      </c>
      <c r="BR137" s="960">
        <v>-7.7997200805640279E-2</v>
      </c>
      <c r="BS137" s="960">
        <v>1.0308889654574338</v>
      </c>
      <c r="BT137" s="960">
        <v>0.10513859459500807</v>
      </c>
      <c r="BU137" s="960">
        <v>37697.982820999998</v>
      </c>
      <c r="BV137" s="960">
        <v>41003.372799999997</v>
      </c>
      <c r="BW137" s="960">
        <v>55660.846669999999</v>
      </c>
      <c r="BX137" s="960">
        <v>57569.263503999995</v>
      </c>
      <c r="BY137" s="960">
        <v>46053.264971999997</v>
      </c>
      <c r="BZ137" s="960">
        <v>22675.843341</v>
      </c>
      <c r="CA137" s="960">
        <v>24957.991239999999</v>
      </c>
      <c r="CB137" s="960">
        <v>23210.192814000002</v>
      </c>
      <c r="CC137" s="960">
        <v>19096.954759999997</v>
      </c>
      <c r="CD137" s="960">
        <v>7330.9877879999995</v>
      </c>
      <c r="CE137" s="960">
        <v>0.60190370733161558</v>
      </c>
      <c r="CF137" s="960">
        <v>0.46601854755611311</v>
      </c>
      <c r="CG137" s="960">
        <v>4.2726899511227816E-2</v>
      </c>
      <c r="CH137" s="960">
        <v>0.31698627024261511</v>
      </c>
      <c r="CI137" s="960">
        <v>0.31300739472945649</v>
      </c>
      <c r="CJ137" s="960">
        <v>3.1322124294352348E-2</v>
      </c>
      <c r="CK137" s="960">
        <v>9.5814026012765716E-2</v>
      </c>
      <c r="CL137" s="960">
        <v>0.1545883094262904</v>
      </c>
      <c r="CM137" s="960">
        <v>1.781682520712544E-2</v>
      </c>
      <c r="CN137" s="960" t="s">
        <v>622</v>
      </c>
      <c r="CO137" s="960">
        <v>1504.5</v>
      </c>
    </row>
    <row r="138" spans="1:93">
      <c r="A138" s="960">
        <v>0</v>
      </c>
      <c r="B138" s="960" t="s">
        <v>622</v>
      </c>
      <c r="C138" s="960">
        <v>0</v>
      </c>
      <c r="D138" s="960">
        <v>1</v>
      </c>
      <c r="E138" s="960">
        <v>0</v>
      </c>
      <c r="F138" s="960">
        <v>0</v>
      </c>
      <c r="G138" s="960">
        <v>0</v>
      </c>
      <c r="H138" s="960">
        <v>0</v>
      </c>
      <c r="I138" s="960">
        <v>0</v>
      </c>
      <c r="J138" s="960">
        <v>0</v>
      </c>
      <c r="K138" s="960">
        <v>0</v>
      </c>
      <c r="L138" s="960">
        <v>0</v>
      </c>
      <c r="M138" s="960">
        <v>0</v>
      </c>
      <c r="N138" s="960" t="s">
        <v>1036</v>
      </c>
      <c r="O138" s="960">
        <v>0</v>
      </c>
      <c r="P138" s="960">
        <v>0</v>
      </c>
      <c r="Q138" s="960">
        <v>0</v>
      </c>
      <c r="R138" s="960">
        <v>0</v>
      </c>
      <c r="S138" s="960">
        <v>0</v>
      </c>
      <c r="T138" s="960">
        <v>0</v>
      </c>
      <c r="U138" s="960">
        <v>0</v>
      </c>
      <c r="V138" s="960">
        <v>0</v>
      </c>
      <c r="W138" s="960">
        <v>0</v>
      </c>
      <c r="X138" s="960">
        <v>0</v>
      </c>
      <c r="Y138" s="960">
        <v>0</v>
      </c>
      <c r="Z138" s="960">
        <v>0</v>
      </c>
      <c r="AA138" s="960">
        <v>0</v>
      </c>
      <c r="AB138" s="960">
        <v>0</v>
      </c>
      <c r="AC138" s="960">
        <v>0</v>
      </c>
      <c r="AD138" s="960">
        <v>0</v>
      </c>
      <c r="AE138" s="960">
        <v>0</v>
      </c>
      <c r="AF138" s="960">
        <v>2005</v>
      </c>
      <c r="AG138" s="960">
        <v>0</v>
      </c>
      <c r="AH138" s="960">
        <v>0</v>
      </c>
      <c r="AI138" s="960">
        <v>1</v>
      </c>
      <c r="AJ138" s="960">
        <v>0</v>
      </c>
      <c r="AK138" s="960">
        <v>0</v>
      </c>
      <c r="AL138" s="960">
        <v>0</v>
      </c>
      <c r="AM138" s="960">
        <v>0</v>
      </c>
      <c r="AN138" s="960">
        <v>0</v>
      </c>
      <c r="AO138" s="960">
        <v>0</v>
      </c>
      <c r="AP138" s="960">
        <v>0</v>
      </c>
      <c r="AQ138" s="960">
        <v>0</v>
      </c>
      <c r="AR138" s="960">
        <v>0</v>
      </c>
      <c r="AS138" s="960">
        <v>0</v>
      </c>
      <c r="AT138" s="960">
        <v>0</v>
      </c>
      <c r="AU138" s="960">
        <v>0</v>
      </c>
      <c r="AV138" s="960">
        <v>0</v>
      </c>
      <c r="AW138" s="960">
        <v>13.703573965051669</v>
      </c>
      <c r="AX138" s="960">
        <v>13.712992743369327</v>
      </c>
      <c r="AY138" s="960">
        <v>13.500713677190323</v>
      </c>
      <c r="AZ138" s="960">
        <v>13.203205977144735</v>
      </c>
      <c r="BA138" s="960">
        <v>13.035302237255079</v>
      </c>
      <c r="BB138" s="960">
        <v>1.5786605645527776E-2</v>
      </c>
      <c r="BC138" s="960">
        <v>1.3048170071166322E-2</v>
      </c>
      <c r="BD138" s="960">
        <v>1.4435031770714483E-2</v>
      </c>
      <c r="BE138" s="960">
        <v>1.5203270058320553E-2</v>
      </c>
      <c r="BF138" s="960">
        <v>1.5582391012626736E-2</v>
      </c>
      <c r="BG138" s="960">
        <v>0.84901366355110486</v>
      </c>
      <c r="BH138" s="960">
        <v>0.83923568185314112</v>
      </c>
      <c r="BI138" s="960">
        <v>0.82790804080224512</v>
      </c>
      <c r="BJ138" s="960">
        <v>0.83088981366211745</v>
      </c>
      <c r="BK138" s="960">
        <v>0.77521545779033507</v>
      </c>
      <c r="BL138" s="960">
        <v>6.0816927003398469</v>
      </c>
      <c r="BM138" s="960">
        <v>6.0100450637786347</v>
      </c>
      <c r="BN138" s="960">
        <v>5.7203482724619104</v>
      </c>
      <c r="BO138" s="960">
        <v>5.3517778006327408</v>
      </c>
      <c r="BP138" s="960">
        <v>6.4426330572018484</v>
      </c>
      <c r="BQ138" s="960">
        <v>-1.7818218395654617E-2</v>
      </c>
      <c r="BR138" s="960">
        <v>3.3204589821388353E-2</v>
      </c>
      <c r="BS138" s="960">
        <v>0.46541143993524436</v>
      </c>
      <c r="BT138" s="960">
        <v>5.2692583011910044E-2</v>
      </c>
      <c r="BU138" s="960">
        <v>22197.278490000001</v>
      </c>
      <c r="BV138" s="960">
        <v>24142.876527999997</v>
      </c>
      <c r="BW138" s="960">
        <v>21959.556251999998</v>
      </c>
      <c r="BX138" s="960">
        <v>17129.756663</v>
      </c>
      <c r="BY138" s="960">
        <v>15990.382043999998</v>
      </c>
      <c r="BZ138" s="960">
        <v>424195.89791400003</v>
      </c>
      <c r="CA138" s="960">
        <v>407287.62688</v>
      </c>
      <c r="CB138" s="960">
        <v>318154.036104</v>
      </c>
      <c r="CC138" s="960">
        <v>95932.514796999996</v>
      </c>
      <c r="CD138" s="960">
        <v>61386.256349999996</v>
      </c>
      <c r="CE138" s="960">
        <v>0.11633831809650663</v>
      </c>
      <c r="CF138" s="960">
        <v>8.5911376997048483E-2</v>
      </c>
      <c r="CG138" s="960">
        <v>3.3118126354856975E-2</v>
      </c>
      <c r="CH138" s="960">
        <v>0.1905792882414416</v>
      </c>
      <c r="CI138" s="960">
        <v>0.15274741121967789</v>
      </c>
      <c r="CJ138" s="960">
        <v>0.10999217215803023</v>
      </c>
      <c r="CK138" s="960">
        <v>0.44661683494170806</v>
      </c>
      <c r="CL138" s="960">
        <v>0.4811331887044214</v>
      </c>
      <c r="CM138" s="960">
        <v>0.47982142476309642</v>
      </c>
      <c r="CN138" s="960" t="s">
        <v>622</v>
      </c>
      <c r="CO138" s="960">
        <v>1303.9000000000001</v>
      </c>
    </row>
    <row r="139" spans="1:93">
      <c r="A139" s="960">
        <v>0</v>
      </c>
      <c r="B139" s="960" t="s">
        <v>622</v>
      </c>
      <c r="C139" s="960">
        <v>0</v>
      </c>
      <c r="D139" s="960">
        <v>1</v>
      </c>
      <c r="E139" s="960">
        <v>0</v>
      </c>
      <c r="F139" s="960">
        <v>0</v>
      </c>
      <c r="G139" s="960">
        <v>0</v>
      </c>
      <c r="H139" s="960">
        <v>0</v>
      </c>
      <c r="I139" s="960">
        <v>0</v>
      </c>
      <c r="J139" s="960">
        <v>0</v>
      </c>
      <c r="K139" s="960">
        <v>0</v>
      </c>
      <c r="L139" s="960">
        <v>0</v>
      </c>
      <c r="M139" s="960">
        <v>0</v>
      </c>
      <c r="N139" s="960" t="s">
        <v>1036</v>
      </c>
      <c r="O139" s="960">
        <v>0</v>
      </c>
      <c r="P139" s="960">
        <v>0</v>
      </c>
      <c r="Q139" s="960">
        <v>0</v>
      </c>
      <c r="R139" s="960">
        <v>0</v>
      </c>
      <c r="S139" s="960">
        <v>0</v>
      </c>
      <c r="T139" s="960">
        <v>0</v>
      </c>
      <c r="U139" s="960">
        <v>0</v>
      </c>
      <c r="V139" s="960">
        <v>0</v>
      </c>
      <c r="W139" s="960">
        <v>0</v>
      </c>
      <c r="X139" s="960">
        <v>0</v>
      </c>
      <c r="Y139" s="960">
        <v>0</v>
      </c>
      <c r="Z139" s="960">
        <v>0</v>
      </c>
      <c r="AA139" s="960">
        <v>0</v>
      </c>
      <c r="AB139" s="960">
        <v>0</v>
      </c>
      <c r="AC139" s="960">
        <v>0</v>
      </c>
      <c r="AD139" s="960">
        <v>0</v>
      </c>
      <c r="AE139" s="960">
        <v>0</v>
      </c>
      <c r="AF139" s="960">
        <v>2005</v>
      </c>
      <c r="AG139" s="960">
        <v>0</v>
      </c>
      <c r="AH139" s="960">
        <v>0</v>
      </c>
      <c r="AI139" s="960">
        <v>1</v>
      </c>
      <c r="AJ139" s="960">
        <v>0</v>
      </c>
      <c r="AK139" s="960">
        <v>0</v>
      </c>
      <c r="AL139" s="960">
        <v>0</v>
      </c>
      <c r="AM139" s="960">
        <v>0</v>
      </c>
      <c r="AN139" s="960">
        <v>0</v>
      </c>
      <c r="AO139" s="960">
        <v>0</v>
      </c>
      <c r="AP139" s="960">
        <v>0</v>
      </c>
      <c r="AQ139" s="960">
        <v>0</v>
      </c>
      <c r="AR139" s="960">
        <v>0</v>
      </c>
      <c r="AS139" s="960">
        <v>0</v>
      </c>
      <c r="AT139" s="960">
        <v>0</v>
      </c>
      <c r="AU139" s="960">
        <v>0</v>
      </c>
      <c r="AV139" s="960">
        <v>0</v>
      </c>
      <c r="AW139" s="960">
        <v>10.942519189442633</v>
      </c>
      <c r="AX139" s="960">
        <v>10.722289619124632</v>
      </c>
      <c r="AY139" s="960">
        <v>10.367024562571368</v>
      </c>
      <c r="AZ139" s="960">
        <v>10.302965584887291</v>
      </c>
      <c r="BA139" s="960">
        <v>10.15570070194619</v>
      </c>
      <c r="BB139" s="960">
        <v>7.4859983398372271E-2</v>
      </c>
      <c r="BC139" s="960">
        <v>2.8351643376693925E-2</v>
      </c>
      <c r="BD139" s="960">
        <v>3.4163945695136623E-2</v>
      </c>
      <c r="BE139" s="960">
        <v>3.544538761549211E-2</v>
      </c>
      <c r="BF139" s="960">
        <v>1.0639588279124573E-2</v>
      </c>
      <c r="BG139" s="960">
        <v>0.6021033418799705</v>
      </c>
      <c r="BH139" s="960">
        <v>0.69185729021297249</v>
      </c>
      <c r="BI139" s="960">
        <v>0.66770689551701368</v>
      </c>
      <c r="BJ139" s="960">
        <v>0.6862712899435004</v>
      </c>
      <c r="BK139" s="960">
        <v>0.76186214066122226</v>
      </c>
      <c r="BL139" s="960">
        <v>1.366420407631133</v>
      </c>
      <c r="BM139" s="960">
        <v>1.1487860480033285</v>
      </c>
      <c r="BN139" s="960">
        <v>1.0185490807977755</v>
      </c>
      <c r="BO139" s="960">
        <v>0.9841893785055601</v>
      </c>
      <c r="BP139" s="960">
        <v>0.96246365612439477</v>
      </c>
      <c r="BQ139" s="960">
        <v>2.4557438449422032E-2</v>
      </c>
      <c r="BR139" s="960">
        <v>6.1718981662864165E-2</v>
      </c>
      <c r="BS139" s="960">
        <v>0.21132386062517863</v>
      </c>
      <c r="BT139" s="960">
        <v>-9.4155245144208588E-2</v>
      </c>
      <c r="BU139" s="960">
        <v>16461.206160000002</v>
      </c>
      <c r="BV139" s="960">
        <v>12165.720975999999</v>
      </c>
      <c r="BW139" s="960">
        <v>10372.59606</v>
      </c>
      <c r="BX139" s="960">
        <v>9505.975504</v>
      </c>
      <c r="BY139" s="960">
        <v>6368.3827559999991</v>
      </c>
      <c r="BZ139" s="960">
        <v>9813.0794519999999</v>
      </c>
      <c r="CA139" s="960">
        <v>15194.403375999998</v>
      </c>
      <c r="CB139" s="960">
        <v>12327.224328</v>
      </c>
      <c r="CC139" s="960">
        <v>13477.320052999999</v>
      </c>
      <c r="CD139" s="960">
        <v>16187.507855999998</v>
      </c>
      <c r="CE139" s="960">
        <v>1.6916464624201013E-2</v>
      </c>
      <c r="CF139" s="960">
        <v>7.8429110375301411E-2</v>
      </c>
      <c r="CG139" s="960">
        <v>8.8113871792923543E-2</v>
      </c>
      <c r="CH139" s="960">
        <v>2.312797383544888E-2</v>
      </c>
      <c r="CI139" s="960">
        <v>8.8708620754559125E-2</v>
      </c>
      <c r="CJ139" s="960">
        <v>9.3631427010891388E-2</v>
      </c>
      <c r="CK139" s="960">
        <v>4.2999206312152767E-2</v>
      </c>
      <c r="CL139" s="960">
        <v>0.11119471342580477</v>
      </c>
      <c r="CM139" s="960">
        <v>0.10471818797501693</v>
      </c>
      <c r="CN139" s="960" t="s">
        <v>622</v>
      </c>
      <c r="CO139" s="960">
        <v>1303.9000000000001</v>
      </c>
    </row>
    <row r="140" spans="1:93">
      <c r="A140" s="960">
        <v>0</v>
      </c>
      <c r="B140" s="960" t="s">
        <v>615</v>
      </c>
      <c r="C140" s="960">
        <v>0</v>
      </c>
      <c r="D140" s="960">
        <v>0</v>
      </c>
      <c r="E140" s="960">
        <v>0</v>
      </c>
      <c r="F140" s="960">
        <v>0</v>
      </c>
      <c r="G140" s="960">
        <v>0</v>
      </c>
      <c r="H140" s="960">
        <v>1</v>
      </c>
      <c r="I140" s="960">
        <v>0</v>
      </c>
      <c r="J140" s="960">
        <v>0</v>
      </c>
      <c r="K140" s="960">
        <v>0</v>
      </c>
      <c r="L140" s="960">
        <v>0</v>
      </c>
      <c r="M140" s="960">
        <v>0</v>
      </c>
      <c r="N140" s="960" t="s">
        <v>1036</v>
      </c>
      <c r="O140" s="960">
        <v>0</v>
      </c>
      <c r="P140" s="960">
        <v>0</v>
      </c>
      <c r="Q140" s="960">
        <v>0</v>
      </c>
      <c r="R140" s="960">
        <v>0</v>
      </c>
      <c r="S140" s="960">
        <v>0</v>
      </c>
      <c r="T140" s="960">
        <v>0</v>
      </c>
      <c r="U140" s="960">
        <v>0</v>
      </c>
      <c r="V140" s="960">
        <v>0</v>
      </c>
      <c r="W140" s="960">
        <v>0</v>
      </c>
      <c r="X140" s="960">
        <v>0</v>
      </c>
      <c r="Y140" s="960">
        <v>0</v>
      </c>
      <c r="Z140" s="960">
        <v>0</v>
      </c>
      <c r="AA140" s="960">
        <v>0</v>
      </c>
      <c r="AB140" s="960">
        <v>0</v>
      </c>
      <c r="AC140" s="960">
        <v>0</v>
      </c>
      <c r="AD140" s="960">
        <v>0</v>
      </c>
      <c r="AE140" s="960">
        <v>0</v>
      </c>
      <c r="AF140" s="960">
        <v>2007</v>
      </c>
      <c r="AG140" s="960">
        <v>0</v>
      </c>
      <c r="AH140" s="960">
        <v>0</v>
      </c>
      <c r="AI140" s="960">
        <v>0</v>
      </c>
      <c r="AJ140" s="960">
        <v>0</v>
      </c>
      <c r="AK140" s="960">
        <v>1</v>
      </c>
      <c r="AL140" s="960">
        <v>0</v>
      </c>
      <c r="AM140" s="960">
        <v>0</v>
      </c>
      <c r="AN140" s="960">
        <v>0</v>
      </c>
      <c r="AO140" s="960">
        <v>0</v>
      </c>
      <c r="AP140" s="960">
        <v>0</v>
      </c>
      <c r="AQ140" s="960">
        <v>0</v>
      </c>
      <c r="AR140" s="960">
        <v>0</v>
      </c>
      <c r="AS140" s="960">
        <v>0</v>
      </c>
      <c r="AT140" s="960">
        <v>0</v>
      </c>
      <c r="AU140" s="960">
        <v>0</v>
      </c>
      <c r="AV140" s="960">
        <v>0</v>
      </c>
      <c r="AW140" s="960">
        <v>12.991280991903176</v>
      </c>
      <c r="AX140" s="960">
        <v>12.776810229879308</v>
      </c>
      <c r="AY140" s="960">
        <v>12.916472373346215</v>
      </c>
      <c r="AZ140" s="960">
        <v>13.478753364711576</v>
      </c>
      <c r="BA140" s="960">
        <v>12.967944528855053</v>
      </c>
      <c r="BB140" s="960">
        <v>0.50012295030881115</v>
      </c>
      <c r="BC140" s="960">
        <v>0.25051452520801082</v>
      </c>
      <c r="BD140" s="960">
        <v>-5.5473949509296093E-2</v>
      </c>
      <c r="BE140" s="960">
        <v>0.45212914066135562</v>
      </c>
      <c r="BF140" s="960">
        <v>0.4464169122383605</v>
      </c>
      <c r="BG140" s="960">
        <v>0.66780500285300848</v>
      </c>
      <c r="BH140" s="960">
        <v>0.68199832987202424</v>
      </c>
      <c r="BI140" s="960">
        <v>0.38626417921021527</v>
      </c>
      <c r="BJ140" s="960">
        <v>0.35605275848155793</v>
      </c>
      <c r="BK140" s="960">
        <v>0.4132810099853314</v>
      </c>
      <c r="BL140" s="960">
        <v>9.1088834951322695E-2</v>
      </c>
      <c r="BM140" s="960">
        <v>8.4670259425602731E-2</v>
      </c>
      <c r="BN140" s="960">
        <v>8.8941733701828132E-2</v>
      </c>
      <c r="BO140" s="960">
        <v>0.16801094933268446</v>
      </c>
      <c r="BP140" s="960">
        <v>0.14138121523055111</v>
      </c>
      <c r="BQ140" s="960">
        <v>-6.8048914796374163E-2</v>
      </c>
      <c r="BR140" s="960">
        <v>-0.19270385410122037</v>
      </c>
      <c r="BS140" s="960">
        <v>-5.1472155508836874E-2</v>
      </c>
      <c r="BT140" s="960">
        <v>-2.701683077511613E-2</v>
      </c>
      <c r="BU140" s="960">
        <v>1599446.3526960001</v>
      </c>
      <c r="BV140" s="960">
        <v>1329219.45637</v>
      </c>
      <c r="BW140" s="960">
        <v>1475690.1400820001</v>
      </c>
      <c r="BX140" s="960">
        <v>1554217.1404799998</v>
      </c>
      <c r="BY140" s="960">
        <v>1078153.1893559999</v>
      </c>
      <c r="BZ140" s="960">
        <v>2991792.4345470001</v>
      </c>
      <c r="CA140" s="960">
        <v>2630762.4349500001</v>
      </c>
      <c r="CB140" s="960">
        <v>2849812.15711</v>
      </c>
      <c r="CC140" s="960">
        <v>2533079.0787839997</v>
      </c>
      <c r="CD140" s="960">
        <v>1835068.1168519999</v>
      </c>
      <c r="CE140" s="960">
        <v>0.1042305909451023</v>
      </c>
      <c r="CF140" s="960">
        <v>0.12745649175823881</v>
      </c>
      <c r="CG140" s="960">
        <v>-7.9218302033261332E-3</v>
      </c>
      <c r="CH140" s="960">
        <v>0.13808177652640458</v>
      </c>
      <c r="CI140" s="960">
        <v>0.16812857621275612</v>
      </c>
      <c r="CJ140" s="960">
        <v>-1.1278384076116796E-2</v>
      </c>
      <c r="CK140" s="960">
        <v>0.17740543378464529</v>
      </c>
      <c r="CL140" s="960">
        <v>0.20772990100230762</v>
      </c>
      <c r="CM140" s="960">
        <v>-1.5298420316575082E-2</v>
      </c>
      <c r="CN140" s="960" t="s">
        <v>615</v>
      </c>
      <c r="CO140" s="960">
        <v>1516.5</v>
      </c>
    </row>
    <row r="141" spans="1:93">
      <c r="A141" s="960">
        <v>0</v>
      </c>
      <c r="B141" s="960" t="s">
        <v>616</v>
      </c>
      <c r="C141" s="960">
        <v>0</v>
      </c>
      <c r="D141" s="960">
        <v>0</v>
      </c>
      <c r="E141" s="960">
        <v>0</v>
      </c>
      <c r="F141" s="960">
        <v>0</v>
      </c>
      <c r="G141" s="960">
        <v>0</v>
      </c>
      <c r="H141" s="960">
        <v>0</v>
      </c>
      <c r="I141" s="960">
        <v>1</v>
      </c>
      <c r="J141" s="960">
        <v>0</v>
      </c>
      <c r="K141" s="960">
        <v>0</v>
      </c>
      <c r="L141" s="960">
        <v>0</v>
      </c>
      <c r="M141" s="960">
        <v>0</v>
      </c>
      <c r="N141" s="960" t="s">
        <v>1036</v>
      </c>
      <c r="O141" s="960">
        <v>0</v>
      </c>
      <c r="P141" s="960">
        <v>0</v>
      </c>
      <c r="Q141" s="960">
        <v>0</v>
      </c>
      <c r="R141" s="960">
        <v>0</v>
      </c>
      <c r="S141" s="960">
        <v>0</v>
      </c>
      <c r="T141" s="960">
        <v>0</v>
      </c>
      <c r="U141" s="960">
        <v>0</v>
      </c>
      <c r="V141" s="960">
        <v>0</v>
      </c>
      <c r="W141" s="960">
        <v>0</v>
      </c>
      <c r="X141" s="960">
        <v>0</v>
      </c>
      <c r="Y141" s="960">
        <v>0</v>
      </c>
      <c r="Z141" s="960">
        <v>0</v>
      </c>
      <c r="AA141" s="960">
        <v>0</v>
      </c>
      <c r="AB141" s="960">
        <v>0</v>
      </c>
      <c r="AC141" s="960">
        <v>0</v>
      </c>
      <c r="AD141" s="960">
        <v>0</v>
      </c>
      <c r="AE141" s="960">
        <v>0</v>
      </c>
      <c r="AF141" s="960">
        <v>2003</v>
      </c>
      <c r="AG141" s="960">
        <v>1</v>
      </c>
      <c r="AH141" s="960">
        <v>0</v>
      </c>
      <c r="AI141" s="960">
        <v>0</v>
      </c>
      <c r="AJ141" s="960">
        <v>0</v>
      </c>
      <c r="AK141" s="960">
        <v>0</v>
      </c>
      <c r="AL141" s="960">
        <v>0</v>
      </c>
      <c r="AM141" s="960">
        <v>0</v>
      </c>
      <c r="AN141" s="960">
        <v>0</v>
      </c>
      <c r="AO141" s="960">
        <v>0</v>
      </c>
      <c r="AP141" s="960">
        <v>0</v>
      </c>
      <c r="AQ141" s="960">
        <v>0</v>
      </c>
      <c r="AR141" s="960">
        <v>0</v>
      </c>
      <c r="AS141" s="960">
        <v>0</v>
      </c>
      <c r="AT141" s="960">
        <v>0</v>
      </c>
      <c r="AU141" s="960">
        <v>0</v>
      </c>
      <c r="AV141" s="960">
        <v>0</v>
      </c>
      <c r="AW141" s="960">
        <v>16.470008656966211</v>
      </c>
      <c r="AX141" s="960">
        <v>16.187378242085817</v>
      </c>
      <c r="AY141" s="960">
        <v>16.025243020544224</v>
      </c>
      <c r="AZ141" s="960">
        <v>15.830342031547117</v>
      </c>
      <c r="BA141" s="960">
        <v>15.628690462125197</v>
      </c>
      <c r="BB141" s="960">
        <v>0.17479714966456952</v>
      </c>
      <c r="BC141" s="960">
        <v>0.11092895382070886</v>
      </c>
      <c r="BD141" s="960">
        <v>0.10769632312159474</v>
      </c>
      <c r="BE141" s="960">
        <v>9.506598143860244E-2</v>
      </c>
      <c r="BF141" s="960">
        <v>-9.5359030024986691E-2</v>
      </c>
      <c r="BG141" s="960">
        <v>0.57723621070793119</v>
      </c>
      <c r="BH141" s="960">
        <v>0.56965312110615385</v>
      </c>
      <c r="BI141" s="960">
        <v>0.52700524439802943</v>
      </c>
      <c r="BJ141" s="960">
        <v>0.52522355127162934</v>
      </c>
      <c r="BK141" s="960">
        <v>0.58317869838359893</v>
      </c>
      <c r="BL141" s="960">
        <v>0.61382568609478627</v>
      </c>
      <c r="BM141" s="960">
        <v>0.55409783351420883</v>
      </c>
      <c r="BN141" s="960">
        <v>0.69587032033963725</v>
      </c>
      <c r="BO141" s="960">
        <v>0.61689699221925443</v>
      </c>
      <c r="BP141" s="960">
        <v>0.54579802812493006</v>
      </c>
      <c r="BQ141" s="960">
        <v>0.12698944542156895</v>
      </c>
      <c r="BR141" s="960">
        <v>0.28330883842954957</v>
      </c>
      <c r="BS141" s="960">
        <v>0.39655255841902565</v>
      </c>
      <c r="BT141" s="960">
        <v>-5.6173453985569499E-2</v>
      </c>
      <c r="BU141" s="960">
        <v>9792342.6239999998</v>
      </c>
      <c r="BV141" s="960">
        <v>8323792.6369999992</v>
      </c>
      <c r="BW141" s="960">
        <v>6194448.2159999991</v>
      </c>
      <c r="BX141" s="960">
        <v>5771739.2910000002</v>
      </c>
      <c r="BY141" s="960">
        <v>4681359.2479999997</v>
      </c>
      <c r="BZ141" s="960">
        <v>7470548.3399999999</v>
      </c>
      <c r="CA141" s="960">
        <v>5248686.6839999994</v>
      </c>
      <c r="CB141" s="960">
        <v>3611594.6279999996</v>
      </c>
      <c r="CC141" s="960">
        <v>3921191.1749999998</v>
      </c>
      <c r="CD141" s="960">
        <v>3823377.8839999996</v>
      </c>
      <c r="CE141" s="960">
        <v>-0.15288632035200631</v>
      </c>
      <c r="CF141" s="960">
        <v>0.18181818181818182</v>
      </c>
      <c r="CG141" s="960">
        <v>0.27175434263604187</v>
      </c>
      <c r="CH141" s="960">
        <v>-0.14120681585508471</v>
      </c>
      <c r="CI141" s="960">
        <v>0.15414110915214158</v>
      </c>
      <c r="CJ141" s="960">
        <v>0.21815863862715829</v>
      </c>
      <c r="CK141" s="960">
        <v>-0.12486590860330402</v>
      </c>
      <c r="CL141" s="960">
        <v>0.12352322481226916</v>
      </c>
      <c r="CM141" s="960">
        <v>0.15844292982624558</v>
      </c>
      <c r="CN141" s="960" t="s">
        <v>616</v>
      </c>
      <c r="CO141" s="960">
        <v>1114.3000000000002</v>
      </c>
    </row>
    <row r="142" spans="1:93">
      <c r="A142" s="960">
        <v>0</v>
      </c>
      <c r="B142" s="960" t="s">
        <v>616</v>
      </c>
      <c r="C142" s="960">
        <v>0</v>
      </c>
      <c r="D142" s="960">
        <v>0</v>
      </c>
      <c r="E142" s="960">
        <v>0</v>
      </c>
      <c r="F142" s="960">
        <v>0</v>
      </c>
      <c r="G142" s="960">
        <v>0</v>
      </c>
      <c r="H142" s="960">
        <v>0</v>
      </c>
      <c r="I142" s="960">
        <v>1</v>
      </c>
      <c r="J142" s="960">
        <v>0</v>
      </c>
      <c r="K142" s="960">
        <v>0</v>
      </c>
      <c r="L142" s="960">
        <v>0</v>
      </c>
      <c r="M142" s="960">
        <v>0</v>
      </c>
      <c r="N142" s="960" t="s">
        <v>1036</v>
      </c>
      <c r="O142" s="960">
        <v>0</v>
      </c>
      <c r="P142" s="960">
        <v>0</v>
      </c>
      <c r="Q142" s="960">
        <v>0</v>
      </c>
      <c r="R142" s="960">
        <v>0</v>
      </c>
      <c r="S142" s="960">
        <v>0</v>
      </c>
      <c r="T142" s="960">
        <v>0</v>
      </c>
      <c r="U142" s="960">
        <v>0</v>
      </c>
      <c r="V142" s="960">
        <v>0</v>
      </c>
      <c r="W142" s="960">
        <v>0</v>
      </c>
      <c r="X142" s="960">
        <v>0</v>
      </c>
      <c r="Y142" s="960">
        <v>0</v>
      </c>
      <c r="Z142" s="960">
        <v>0</v>
      </c>
      <c r="AA142" s="960">
        <v>0</v>
      </c>
      <c r="AB142" s="960">
        <v>0</v>
      </c>
      <c r="AC142" s="960">
        <v>0</v>
      </c>
      <c r="AD142" s="960">
        <v>0</v>
      </c>
      <c r="AE142" s="960">
        <v>0</v>
      </c>
      <c r="AF142" s="960">
        <v>2003</v>
      </c>
      <c r="AG142" s="960">
        <v>1</v>
      </c>
      <c r="AH142" s="960">
        <v>0</v>
      </c>
      <c r="AI142" s="960">
        <v>0</v>
      </c>
      <c r="AJ142" s="960">
        <v>0</v>
      </c>
      <c r="AK142" s="960">
        <v>0</v>
      </c>
      <c r="AL142" s="960">
        <v>0</v>
      </c>
      <c r="AM142" s="960">
        <v>0</v>
      </c>
      <c r="AN142" s="960">
        <v>0</v>
      </c>
      <c r="AO142" s="960">
        <v>0</v>
      </c>
      <c r="AP142" s="960">
        <v>0</v>
      </c>
      <c r="AQ142" s="960">
        <v>0</v>
      </c>
      <c r="AR142" s="960">
        <v>0</v>
      </c>
      <c r="AS142" s="960">
        <v>0</v>
      </c>
      <c r="AT142" s="960">
        <v>0</v>
      </c>
      <c r="AU142" s="960">
        <v>0</v>
      </c>
      <c r="AV142" s="960">
        <v>0</v>
      </c>
      <c r="AW142" s="960">
        <v>12.485135586149022</v>
      </c>
      <c r="AX142" s="960">
        <v>12.409436607138757</v>
      </c>
      <c r="AY142" s="960">
        <v>12.467929716450607</v>
      </c>
      <c r="AZ142" s="960">
        <v>12.457357019311114</v>
      </c>
      <c r="BA142" s="960">
        <v>12.425683128237303</v>
      </c>
      <c r="BB142" s="960">
        <v>2.4608531500821644E-2</v>
      </c>
      <c r="BC142" s="960">
        <v>-3.7389752597946767E-2</v>
      </c>
      <c r="BD142" s="960">
        <v>-5.1316125939405523E-2</v>
      </c>
      <c r="BE142" s="960">
        <v>0</v>
      </c>
      <c r="BF142" s="960">
        <v>-3.2379015249367656E-2</v>
      </c>
      <c r="BG142" s="960">
        <v>0.80606456194583986</v>
      </c>
      <c r="BH142" s="960">
        <v>0.76840969590343933</v>
      </c>
      <c r="BI142" s="960">
        <v>0.6951190909336934</v>
      </c>
      <c r="BJ142" s="960">
        <v>0.65782953183232662</v>
      </c>
      <c r="BK142" s="960">
        <v>0.72128752405919205</v>
      </c>
      <c r="BL142" s="960">
        <v>1.7686746107171578</v>
      </c>
      <c r="BM142" s="960">
        <v>2.415763122525949</v>
      </c>
      <c r="BN142" s="960">
        <v>2.6281599465962633</v>
      </c>
      <c r="BO142" s="960">
        <v>2.4782897395530723</v>
      </c>
      <c r="BP142" s="960">
        <v>2.4341695116520707</v>
      </c>
      <c r="BQ142" s="960">
        <v>-5.6050975071106929E-2</v>
      </c>
      <c r="BR142" s="960">
        <v>-0.15957347508104308</v>
      </c>
      <c r="BS142" s="960">
        <v>4.2246588213303585E-2</v>
      </c>
      <c r="BT142" s="960">
        <v>-2.6168433125498658E-2</v>
      </c>
      <c r="BU142" s="960">
        <v>28989.099492000001</v>
      </c>
      <c r="BV142" s="960">
        <v>23497.186701999999</v>
      </c>
      <c r="BW142" s="960">
        <v>30146.126345999997</v>
      </c>
      <c r="BX142" s="960">
        <v>35501.921367000003</v>
      </c>
      <c r="BY142" s="960">
        <v>28524.051199999998</v>
      </c>
      <c r="BZ142" s="960">
        <v>9550.3752239999994</v>
      </c>
      <c r="CA142" s="960">
        <v>10990.895454</v>
      </c>
      <c r="CB142" s="960">
        <v>11558.321838</v>
      </c>
      <c r="CC142" s="960">
        <v>12932.660261999999</v>
      </c>
      <c r="CD142" s="960">
        <v>14277.844395999999</v>
      </c>
      <c r="CE142" s="960">
        <v>-0.56494557093364761</v>
      </c>
      <c r="CF142" s="960">
        <v>0</v>
      </c>
      <c r="CG142" s="960">
        <v>-1.1537511736485357</v>
      </c>
      <c r="CH142" s="960">
        <v>-0.48630420382426554</v>
      </c>
      <c r="CI142" s="960">
        <v>0</v>
      </c>
      <c r="CJ142" s="960">
        <v>-0.93686145379868702</v>
      </c>
      <c r="CK142" s="960">
        <v>-0.28278609154929579</v>
      </c>
      <c r="CL142" s="960">
        <v>0</v>
      </c>
      <c r="CM142" s="960">
        <v>-0.44235956663033887</v>
      </c>
      <c r="CN142" s="960" t="s">
        <v>616</v>
      </c>
      <c r="CO142" s="960">
        <v>1114.3000000000002</v>
      </c>
    </row>
    <row r="143" spans="1:93">
      <c r="A143" s="960">
        <v>0</v>
      </c>
      <c r="B143" s="960" t="s">
        <v>620</v>
      </c>
      <c r="C143" s="960">
        <v>0</v>
      </c>
      <c r="D143" s="960">
        <v>0</v>
      </c>
      <c r="E143" s="960">
        <v>0</v>
      </c>
      <c r="F143" s="960">
        <v>0</v>
      </c>
      <c r="G143" s="960">
        <v>0</v>
      </c>
      <c r="H143" s="960">
        <v>0</v>
      </c>
      <c r="I143" s="960">
        <v>0</v>
      </c>
      <c r="J143" s="960">
        <v>0</v>
      </c>
      <c r="K143" s="960">
        <v>1</v>
      </c>
      <c r="L143" s="960">
        <v>0</v>
      </c>
      <c r="M143" s="960">
        <v>0</v>
      </c>
      <c r="N143" s="960" t="s">
        <v>1036</v>
      </c>
      <c r="O143" s="960">
        <v>0</v>
      </c>
      <c r="P143" s="960">
        <v>0</v>
      </c>
      <c r="Q143" s="960">
        <v>0</v>
      </c>
      <c r="R143" s="960">
        <v>0</v>
      </c>
      <c r="S143" s="960">
        <v>0</v>
      </c>
      <c r="T143" s="960">
        <v>0</v>
      </c>
      <c r="U143" s="960">
        <v>0</v>
      </c>
      <c r="V143" s="960">
        <v>0</v>
      </c>
      <c r="W143" s="960">
        <v>0</v>
      </c>
      <c r="X143" s="960">
        <v>0</v>
      </c>
      <c r="Y143" s="960">
        <v>0</v>
      </c>
      <c r="Z143" s="960">
        <v>0</v>
      </c>
      <c r="AA143" s="960">
        <v>0</v>
      </c>
      <c r="AB143" s="960">
        <v>0</v>
      </c>
      <c r="AC143" s="960">
        <v>0</v>
      </c>
      <c r="AD143" s="960">
        <v>0</v>
      </c>
      <c r="AE143" s="960">
        <v>0</v>
      </c>
      <c r="AF143" s="960">
        <v>2018</v>
      </c>
      <c r="AG143" s="960">
        <v>0</v>
      </c>
      <c r="AH143" s="960">
        <v>0</v>
      </c>
      <c r="AI143" s="960">
        <v>0</v>
      </c>
      <c r="AJ143" s="960">
        <v>0</v>
      </c>
      <c r="AK143" s="960">
        <v>0</v>
      </c>
      <c r="AL143" s="960">
        <v>0</v>
      </c>
      <c r="AM143" s="960">
        <v>0</v>
      </c>
      <c r="AN143" s="960">
        <v>0</v>
      </c>
      <c r="AO143" s="960">
        <v>0</v>
      </c>
      <c r="AP143" s="960">
        <v>0</v>
      </c>
      <c r="AQ143" s="960">
        <v>0</v>
      </c>
      <c r="AR143" s="960">
        <v>0</v>
      </c>
      <c r="AS143" s="960">
        <v>0</v>
      </c>
      <c r="AT143" s="960">
        <v>0</v>
      </c>
      <c r="AU143" s="960">
        <v>0</v>
      </c>
      <c r="AV143" s="960">
        <v>1</v>
      </c>
      <c r="AW143" s="960">
        <v>11.181301741157258</v>
      </c>
      <c r="AX143" s="960">
        <v>11.186425355126</v>
      </c>
      <c r="AY143" s="960">
        <v>11.063783339563413</v>
      </c>
      <c r="AZ143" s="960">
        <v>11.020952460926933</v>
      </c>
      <c r="BA143" s="960">
        <v>10.96576979414224</v>
      </c>
      <c r="BB143" s="960">
        <v>6.9737245325102462E-2</v>
      </c>
      <c r="BC143" s="960">
        <v>7.9027676667880006E-2</v>
      </c>
      <c r="BD143" s="960">
        <v>7.4259616860425731E-2</v>
      </c>
      <c r="BE143" s="960">
        <v>5.9619101751665168E-2</v>
      </c>
      <c r="BF143" s="960">
        <v>6.2386190200515737E-2</v>
      </c>
      <c r="BG143" s="960">
        <v>0.82121005196015295</v>
      </c>
      <c r="BH143" s="960">
        <v>0.84698433350562274</v>
      </c>
      <c r="BI143" s="960">
        <v>0.80777346195140676</v>
      </c>
      <c r="BJ143" s="960">
        <v>0.75653775889320007</v>
      </c>
      <c r="BK143" s="960">
        <v>0.76312034841021437</v>
      </c>
      <c r="BL143" s="960">
        <v>2.862836960896487</v>
      </c>
      <c r="BM143" s="960">
        <v>2.7420464469673957</v>
      </c>
      <c r="BN143" s="960">
        <v>2.3227445892111702</v>
      </c>
      <c r="BO143" s="960">
        <v>2.7265790175913946</v>
      </c>
      <c r="BP143" s="960">
        <v>2.222120867657444</v>
      </c>
      <c r="BQ143" s="960">
        <v>3.3856468161236081E-2</v>
      </c>
      <c r="BR143" s="960">
        <v>0.31207407208119287</v>
      </c>
      <c r="BS143" s="960">
        <v>9.8013545421174006E-2</v>
      </c>
      <c r="BT143" s="960">
        <v>4.4653113541192391E-2</v>
      </c>
      <c r="BU143" s="960">
        <v>4482.5395416021302</v>
      </c>
      <c r="BV143" s="960">
        <v>4025.9084554463602</v>
      </c>
      <c r="BW143" s="960">
        <v>5281.43501912802</v>
      </c>
      <c r="BX143" s="960">
        <v>5459.4936635643198</v>
      </c>
      <c r="BY143" s="960">
        <v>6167.8441196829099</v>
      </c>
      <c r="BZ143" s="960">
        <v>2468.9341627359399</v>
      </c>
      <c r="CA143" s="960">
        <v>3010.0819866061202</v>
      </c>
      <c r="CB143" s="960">
        <v>4174.82910927385</v>
      </c>
      <c r="CC143" s="960">
        <v>645.91484378278301</v>
      </c>
      <c r="CD143" s="960">
        <v>828.136422641575</v>
      </c>
      <c r="CE143" s="960">
        <v>4.3587292248860159</v>
      </c>
      <c r="CF143" s="960">
        <v>5.6435061464457466</v>
      </c>
      <c r="CG143" s="960">
        <v>1.1351520938480428</v>
      </c>
      <c r="CH143" s="960">
        <v>3.4648646198190143</v>
      </c>
      <c r="CI143" s="960">
        <v>4.4320816842158006</v>
      </c>
      <c r="CJ143" s="960">
        <v>1.0894318599484711</v>
      </c>
      <c r="CK143" s="960">
        <v>0.58523243414036885</v>
      </c>
      <c r="CL143" s="960">
        <v>0.66768543304597139</v>
      </c>
      <c r="CM143" s="960">
        <v>0.89730650622156172</v>
      </c>
      <c r="CN143" s="960" t="s">
        <v>620</v>
      </c>
      <c r="CO143" s="960">
        <v>2644.2000000000003</v>
      </c>
    </row>
    <row r="144" spans="1:93">
      <c r="A144" s="960">
        <v>0</v>
      </c>
      <c r="B144" s="960" t="s">
        <v>620</v>
      </c>
      <c r="C144" s="960">
        <v>0</v>
      </c>
      <c r="D144" s="960">
        <v>0</v>
      </c>
      <c r="E144" s="960">
        <v>0</v>
      </c>
      <c r="F144" s="960">
        <v>0</v>
      </c>
      <c r="G144" s="960">
        <v>0</v>
      </c>
      <c r="H144" s="960">
        <v>0</v>
      </c>
      <c r="I144" s="960">
        <v>0</v>
      </c>
      <c r="J144" s="960">
        <v>0</v>
      </c>
      <c r="K144" s="960">
        <v>1</v>
      </c>
      <c r="L144" s="960">
        <v>0</v>
      </c>
      <c r="M144" s="960">
        <v>0</v>
      </c>
      <c r="N144" s="960" t="s">
        <v>1036</v>
      </c>
      <c r="O144" s="960">
        <v>0</v>
      </c>
      <c r="P144" s="960">
        <v>0</v>
      </c>
      <c r="Q144" s="960">
        <v>0</v>
      </c>
      <c r="R144" s="960">
        <v>0</v>
      </c>
      <c r="S144" s="960">
        <v>0</v>
      </c>
      <c r="T144" s="960">
        <v>0</v>
      </c>
      <c r="U144" s="960">
        <v>0</v>
      </c>
      <c r="V144" s="960">
        <v>0</v>
      </c>
      <c r="W144" s="960">
        <v>0</v>
      </c>
      <c r="X144" s="960">
        <v>0</v>
      </c>
      <c r="Y144" s="960">
        <v>0</v>
      </c>
      <c r="Z144" s="960">
        <v>0</v>
      </c>
      <c r="AA144" s="960">
        <v>0</v>
      </c>
      <c r="AB144" s="960">
        <v>0</v>
      </c>
      <c r="AC144" s="960">
        <v>0</v>
      </c>
      <c r="AD144" s="960">
        <v>0</v>
      </c>
      <c r="AE144" s="960">
        <v>0</v>
      </c>
      <c r="AF144" s="960">
        <v>2018</v>
      </c>
      <c r="AG144" s="960">
        <v>0</v>
      </c>
      <c r="AH144" s="960">
        <v>0</v>
      </c>
      <c r="AI144" s="960">
        <v>0</v>
      </c>
      <c r="AJ144" s="960">
        <v>0</v>
      </c>
      <c r="AK144" s="960">
        <v>0</v>
      </c>
      <c r="AL144" s="960">
        <v>0</v>
      </c>
      <c r="AM144" s="960">
        <v>0</v>
      </c>
      <c r="AN144" s="960">
        <v>0</v>
      </c>
      <c r="AO144" s="960">
        <v>0</v>
      </c>
      <c r="AP144" s="960">
        <v>0</v>
      </c>
      <c r="AQ144" s="960">
        <v>0</v>
      </c>
      <c r="AR144" s="960">
        <v>0</v>
      </c>
      <c r="AS144" s="960">
        <v>0</v>
      </c>
      <c r="AT144" s="960">
        <v>0</v>
      </c>
      <c r="AU144" s="960">
        <v>0</v>
      </c>
      <c r="AV144" s="960">
        <v>1</v>
      </c>
      <c r="AW144" s="960">
        <v>12.656005589993031</v>
      </c>
      <c r="AX144" s="960">
        <v>12.453403842701976</v>
      </c>
      <c r="AY144" s="960">
        <v>12.398412371024772</v>
      </c>
      <c r="AZ144" s="960">
        <v>12.332906732588018</v>
      </c>
      <c r="BA144" s="960">
        <v>12.178679857020983</v>
      </c>
      <c r="BB144" s="960">
        <v>9.8648608534322835E-2</v>
      </c>
      <c r="BC144" s="960">
        <v>0.10042242543645631</v>
      </c>
      <c r="BD144" s="960">
        <v>8.4488089408701103E-2</v>
      </c>
      <c r="BE144" s="960">
        <v>8.1494613937968641E-2</v>
      </c>
      <c r="BF144" s="960">
        <v>6.9693464970047025E-2</v>
      </c>
      <c r="BG144" s="960">
        <v>0.66972396803213552</v>
      </c>
      <c r="BH144" s="960">
        <v>0.67350680591410472</v>
      </c>
      <c r="BI144" s="960">
        <v>0.70563729440995171</v>
      </c>
      <c r="BJ144" s="960">
        <v>0.63387689228967548</v>
      </c>
      <c r="BK144" s="960">
        <v>0.65779831327396265</v>
      </c>
      <c r="BL144" s="960">
        <v>1.9812665549707735</v>
      </c>
      <c r="BM144" s="960">
        <v>1.8542132437406589</v>
      </c>
      <c r="BN144" s="960">
        <v>1.9751207554930548</v>
      </c>
      <c r="BO144" s="960">
        <v>2.4409409998189164</v>
      </c>
      <c r="BP144" s="960">
        <v>2.4955487448920022</v>
      </c>
      <c r="BQ144" s="960">
        <v>-7.0492600500971225E-3</v>
      </c>
      <c r="BR144" s="960">
        <v>5.86515286925271E-2</v>
      </c>
      <c r="BS144" s="960">
        <v>0.21973251400378885</v>
      </c>
      <c r="BT144" s="960">
        <v>4.7838981135989056E-2</v>
      </c>
      <c r="BU144" s="960">
        <v>52283.847645000002</v>
      </c>
      <c r="BV144" s="960">
        <v>45098.180834999999</v>
      </c>
      <c r="BW144" s="960">
        <v>36128.606451</v>
      </c>
      <c r="BX144" s="960">
        <v>34055.181378000001</v>
      </c>
      <c r="BY144" s="960">
        <v>26683.914928000002</v>
      </c>
      <c r="BZ144" s="960">
        <v>19576.227969</v>
      </c>
      <c r="CA144" s="960">
        <v>20120.744879999998</v>
      </c>
      <c r="CB144" s="960">
        <v>22893.923751999999</v>
      </c>
      <c r="CC144" s="960">
        <v>70.571004000000002</v>
      </c>
      <c r="CD144" s="960">
        <v>26.392388</v>
      </c>
      <c r="CE144" s="960">
        <v>513.86238532110087</v>
      </c>
      <c r="CF144" s="960">
        <v>262.18989547038331</v>
      </c>
      <c r="CG144" s="960">
        <v>0.89461738646747979</v>
      </c>
      <c r="CH144" s="960">
        <v>338.19173375818838</v>
      </c>
      <c r="CI144" s="960">
        <v>166.39503967494704</v>
      </c>
      <c r="CJ144" s="960">
        <v>0.79814957110209306</v>
      </c>
      <c r="CK144" s="960">
        <v>0.50824833944321435</v>
      </c>
      <c r="CL144" s="960">
        <v>0.54332419952850797</v>
      </c>
      <c r="CM144" s="960">
        <v>0.56689986813574145</v>
      </c>
      <c r="CN144" s="960" t="s">
        <v>620</v>
      </c>
      <c r="CO144" s="960">
        <v>2644.2000000000003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030E6-A49C-4AE1-AEA4-6E80DEA99F2B}">
  <sheetPr codeName="Ark2"/>
  <dimension ref="A1:AI656"/>
  <sheetViews>
    <sheetView topLeftCell="M456" workbookViewId="0">
      <selection activeCell="N469" sqref="N469"/>
    </sheetView>
  </sheetViews>
  <sheetFormatPr baseColWidth="10" defaultColWidth="11.5" defaultRowHeight="15"/>
  <cols>
    <col min="1" max="1" width="27.5" style="465" bestFit="1" customWidth="1"/>
    <col min="2" max="2" width="11.5" style="465"/>
    <col min="3" max="7" width="16.6640625" style="465" customWidth="1"/>
    <col min="8" max="12" width="11.5" style="465"/>
    <col min="13" max="13" width="17.6640625" style="465" bestFit="1" customWidth="1"/>
    <col min="14" max="18" width="21" style="465" bestFit="1" customWidth="1"/>
    <col min="19" max="16384" width="11.5" style="465"/>
  </cols>
  <sheetData>
    <row r="1" spans="1:7">
      <c r="A1" s="51" t="s">
        <v>206</v>
      </c>
      <c r="B1" s="209"/>
      <c r="C1" s="209"/>
      <c r="D1" s="209"/>
      <c r="E1" s="209"/>
      <c r="F1" s="86"/>
      <c r="G1" s="209"/>
    </row>
    <row r="2" spans="1:7">
      <c r="A2" s="336" t="s">
        <v>425</v>
      </c>
      <c r="B2" s="209"/>
      <c r="C2" s="200">
        <v>2015</v>
      </c>
      <c r="D2" s="200">
        <v>2014</v>
      </c>
      <c r="E2" s="200">
        <v>2013</v>
      </c>
      <c r="F2" s="346" t="s">
        <v>420</v>
      </c>
      <c r="G2" s="200">
        <v>2011</v>
      </c>
    </row>
    <row r="3" spans="1:7" ht="42">
      <c r="A3" s="335" t="s">
        <v>421</v>
      </c>
      <c r="B3" s="211" t="s">
        <v>11</v>
      </c>
      <c r="C3" s="337">
        <v>12398000</v>
      </c>
      <c r="D3" s="337">
        <v>9935000</v>
      </c>
      <c r="E3" s="337">
        <v>10128000</v>
      </c>
      <c r="F3" s="347">
        <v>9830000</v>
      </c>
      <c r="G3" s="337">
        <v>7356000</v>
      </c>
    </row>
    <row r="4" spans="1:7" ht="28">
      <c r="A4" s="209"/>
      <c r="B4" s="208" t="s">
        <v>2</v>
      </c>
      <c r="C4" s="587">
        <v>714000</v>
      </c>
      <c r="D4" s="587">
        <v>404000</v>
      </c>
      <c r="E4" s="587">
        <v>482000</v>
      </c>
      <c r="F4" s="587">
        <v>594000</v>
      </c>
      <c r="G4" s="587">
        <v>563000</v>
      </c>
    </row>
    <row r="5" spans="1:7" ht="28">
      <c r="A5" s="209"/>
      <c r="B5" s="208" t="s">
        <v>3</v>
      </c>
      <c r="C5" s="337"/>
      <c r="D5" s="337"/>
      <c r="E5" s="337"/>
      <c r="F5" s="347"/>
      <c r="G5" s="337"/>
    </row>
    <row r="6" spans="1:7">
      <c r="A6" s="335" t="s">
        <v>422</v>
      </c>
      <c r="B6" s="206" t="s">
        <v>8</v>
      </c>
      <c r="C6" s="337">
        <v>4423000</v>
      </c>
      <c r="D6" s="337">
        <v>3929000</v>
      </c>
      <c r="E6" s="337">
        <v>3902000</v>
      </c>
      <c r="F6" s="347">
        <v>3723000</v>
      </c>
      <c r="G6" s="337">
        <v>3260000</v>
      </c>
    </row>
    <row r="7" spans="1:7" ht="43" thickBot="1">
      <c r="A7" s="335" t="s">
        <v>423</v>
      </c>
      <c r="B7" s="210" t="s">
        <v>12</v>
      </c>
      <c r="C7" s="338">
        <v>779000</v>
      </c>
      <c r="D7" s="339">
        <v>483000</v>
      </c>
      <c r="E7" s="338">
        <v>454000</v>
      </c>
      <c r="F7" s="348">
        <v>224000</v>
      </c>
      <c r="G7" s="338">
        <v>305000</v>
      </c>
    </row>
    <row r="8" spans="1:7">
      <c r="A8" s="418" t="s">
        <v>138</v>
      </c>
      <c r="B8" s="417" t="s">
        <v>138</v>
      </c>
      <c r="C8" s="337">
        <v>6243000</v>
      </c>
      <c r="D8" s="337">
        <v>5428000</v>
      </c>
      <c r="E8" s="337">
        <v>5237000</v>
      </c>
      <c r="F8" s="347">
        <v>4941000</v>
      </c>
      <c r="G8" s="337">
        <v>4592000</v>
      </c>
    </row>
    <row r="9" spans="1:7">
      <c r="A9" s="209"/>
      <c r="B9" s="208"/>
      <c r="C9" s="337"/>
      <c r="D9" s="337"/>
      <c r="E9" s="337"/>
      <c r="F9" s="347"/>
      <c r="G9" s="337"/>
    </row>
    <row r="10" spans="1:7" ht="56">
      <c r="A10" s="209"/>
      <c r="B10" s="208" t="s">
        <v>15</v>
      </c>
      <c r="C10" s="337"/>
      <c r="D10" s="337"/>
      <c r="E10" s="337"/>
      <c r="F10" s="347"/>
      <c r="G10" s="337"/>
    </row>
    <row r="11" spans="1:7">
      <c r="A11" s="335" t="s">
        <v>424</v>
      </c>
      <c r="B11" s="203" t="s">
        <v>23</v>
      </c>
      <c r="C11" s="337">
        <v>1820000</v>
      </c>
      <c r="D11" s="337">
        <v>1499000</v>
      </c>
      <c r="E11" s="337">
        <v>1334000</v>
      </c>
      <c r="F11" s="347">
        <v>1218000</v>
      </c>
      <c r="G11" s="337">
        <v>1331000</v>
      </c>
    </row>
    <row r="12" spans="1:7">
      <c r="A12" s="209"/>
      <c r="B12" s="209"/>
      <c r="C12" s="209"/>
      <c r="D12" s="209"/>
      <c r="E12" s="209"/>
      <c r="F12" s="86"/>
      <c r="G12" s="209"/>
    </row>
    <row r="13" spans="1:7">
      <c r="A13" s="209"/>
      <c r="B13" s="209"/>
      <c r="C13" s="209"/>
      <c r="D13" s="209"/>
      <c r="E13" s="209"/>
      <c r="F13" s="86"/>
      <c r="G13" s="209"/>
    </row>
    <row r="14" spans="1:7">
      <c r="A14" s="209"/>
      <c r="B14" s="209"/>
      <c r="C14" s="209"/>
      <c r="D14" s="209"/>
      <c r="E14" s="209"/>
      <c r="F14" s="86"/>
      <c r="G14" s="209"/>
    </row>
    <row r="15" spans="1:7">
      <c r="A15" s="336" t="s">
        <v>426</v>
      </c>
      <c r="B15" s="209"/>
      <c r="C15" s="200">
        <v>2015</v>
      </c>
      <c r="D15" s="200">
        <v>2014</v>
      </c>
      <c r="E15" s="200">
        <v>2013</v>
      </c>
      <c r="F15" s="346" t="s">
        <v>420</v>
      </c>
      <c r="G15" s="200">
        <v>2011</v>
      </c>
    </row>
    <row r="16" spans="1:7" ht="42">
      <c r="A16" s="335" t="s">
        <v>421</v>
      </c>
      <c r="B16" s="211" t="s">
        <v>11</v>
      </c>
      <c r="C16" s="337">
        <v>24225000</v>
      </c>
      <c r="D16" s="337">
        <v>24244000</v>
      </c>
      <c r="E16" s="337">
        <v>21846100</v>
      </c>
      <c r="F16" s="347">
        <v>19839000</v>
      </c>
      <c r="G16" s="337">
        <v>17727300</v>
      </c>
    </row>
    <row r="17" spans="1:7" ht="28">
      <c r="A17" s="209"/>
      <c r="B17" s="208" t="s">
        <v>2</v>
      </c>
      <c r="C17" s="587">
        <v>2309000</v>
      </c>
      <c r="D17" s="587">
        <v>1672000</v>
      </c>
      <c r="E17" s="587">
        <v>1397600</v>
      </c>
      <c r="F17" s="587">
        <v>2216200</v>
      </c>
      <c r="G17" s="587">
        <v>1569900</v>
      </c>
    </row>
    <row r="18" spans="1:7" ht="28">
      <c r="A18" s="209"/>
      <c r="B18" s="208" t="s">
        <v>3</v>
      </c>
      <c r="C18" s="401"/>
      <c r="D18" s="401"/>
      <c r="E18" s="401"/>
      <c r="F18" s="402"/>
      <c r="G18" s="401"/>
    </row>
    <row r="19" spans="1:7">
      <c r="A19" s="335" t="s">
        <v>422</v>
      </c>
      <c r="B19" s="206" t="s">
        <v>8</v>
      </c>
      <c r="C19" s="401">
        <v>11570000</v>
      </c>
      <c r="D19" s="401">
        <v>9638000</v>
      </c>
      <c r="E19" s="401">
        <v>9200000</v>
      </c>
      <c r="F19" s="402">
        <v>8851000</v>
      </c>
      <c r="G19" s="401">
        <v>7630800</v>
      </c>
    </row>
    <row r="20" spans="1:7" ht="42">
      <c r="A20" s="335" t="s">
        <v>423</v>
      </c>
      <c r="B20" s="210" t="s">
        <v>12</v>
      </c>
      <c r="C20" s="401">
        <v>782000</v>
      </c>
      <c r="D20" s="401">
        <v>859000</v>
      </c>
      <c r="E20" s="401">
        <v>555700</v>
      </c>
      <c r="F20" s="402">
        <v>457700</v>
      </c>
      <c r="G20" s="401">
        <v>637700</v>
      </c>
    </row>
    <row r="21" spans="1:7">
      <c r="A21" s="418" t="s">
        <v>138</v>
      </c>
      <c r="B21" s="417" t="s">
        <v>138</v>
      </c>
      <c r="C21" s="401">
        <v>14788000</v>
      </c>
      <c r="D21" s="401">
        <v>12382000</v>
      </c>
      <c r="E21" s="401">
        <v>11666400</v>
      </c>
      <c r="F21" s="402">
        <v>11184700</v>
      </c>
      <c r="G21" s="401">
        <v>9925200</v>
      </c>
    </row>
    <row r="22" spans="1:7">
      <c r="A22" s="209"/>
      <c r="B22" s="208"/>
      <c r="C22" s="401"/>
      <c r="D22" s="401"/>
      <c r="E22" s="401"/>
      <c r="F22" s="402"/>
      <c r="G22" s="401"/>
    </row>
    <row r="23" spans="1:7" ht="56">
      <c r="A23" s="209"/>
      <c r="B23" s="208" t="s">
        <v>15</v>
      </c>
      <c r="C23" s="401"/>
      <c r="D23" s="401"/>
      <c r="E23" s="401"/>
      <c r="F23" s="402"/>
      <c r="G23" s="401"/>
    </row>
    <row r="24" spans="1:7">
      <c r="A24" s="335" t="s">
        <v>424</v>
      </c>
      <c r="B24" s="203" t="s">
        <v>23</v>
      </c>
      <c r="C24" s="401">
        <v>3218000</v>
      </c>
      <c r="D24" s="401">
        <v>2744000</v>
      </c>
      <c r="E24" s="401">
        <v>2466400</v>
      </c>
      <c r="F24" s="402">
        <v>2334000</v>
      </c>
      <c r="G24" s="401">
        <v>2294400</v>
      </c>
    </row>
    <row r="25" spans="1:7">
      <c r="A25" s="163"/>
      <c r="B25" s="404"/>
      <c r="C25" s="405"/>
      <c r="D25" s="405"/>
      <c r="E25" s="405"/>
      <c r="F25" s="406"/>
      <c r="G25" s="405"/>
    </row>
    <row r="26" spans="1:7">
      <c r="A26" s="16"/>
      <c r="B26" s="205"/>
      <c r="C26" s="68"/>
      <c r="D26" s="68"/>
      <c r="E26" s="68"/>
      <c r="F26" s="344"/>
      <c r="G26" s="68"/>
    </row>
    <row r="27" spans="1:7">
      <c r="A27" s="16"/>
      <c r="B27" s="205"/>
      <c r="C27" s="68"/>
      <c r="D27" s="68"/>
      <c r="E27" s="68"/>
      <c r="F27" s="344"/>
      <c r="G27" s="68"/>
    </row>
    <row r="28" spans="1:7">
      <c r="A28" s="50" t="s">
        <v>207</v>
      </c>
      <c r="B28" s="205"/>
      <c r="C28" s="68"/>
      <c r="D28" s="68"/>
      <c r="E28" s="68"/>
      <c r="F28" s="344"/>
      <c r="G28" s="68"/>
    </row>
    <row r="29" spans="1:7">
      <c r="A29" s="336" t="s">
        <v>427</v>
      </c>
      <c r="B29" s="205"/>
      <c r="C29" s="403">
        <v>2019</v>
      </c>
      <c r="D29" s="403">
        <v>2018</v>
      </c>
      <c r="E29" s="403">
        <v>2017</v>
      </c>
      <c r="F29" s="346" t="s">
        <v>428</v>
      </c>
      <c r="G29" s="403">
        <v>2015</v>
      </c>
    </row>
    <row r="30" spans="1:7" ht="42">
      <c r="A30" s="335" t="s">
        <v>421</v>
      </c>
      <c r="B30" s="211" t="s">
        <v>11</v>
      </c>
      <c r="C30" s="401">
        <v>228129</v>
      </c>
      <c r="D30" s="401">
        <v>200513</v>
      </c>
      <c r="E30" s="401">
        <v>185859</v>
      </c>
      <c r="F30" s="402">
        <v>394773</v>
      </c>
      <c r="G30" s="401">
        <v>227892</v>
      </c>
    </row>
    <row r="31" spans="1:7" ht="28">
      <c r="A31" s="209"/>
      <c r="B31" s="208" t="s">
        <v>2</v>
      </c>
      <c r="C31" s="587">
        <v>17531</v>
      </c>
      <c r="D31" s="587">
        <v>16877</v>
      </c>
      <c r="E31" s="587">
        <v>14736</v>
      </c>
      <c r="F31" s="587">
        <v>12290</v>
      </c>
      <c r="G31" s="587">
        <v>10384</v>
      </c>
    </row>
    <row r="32" spans="1:7" ht="28">
      <c r="A32" s="209"/>
      <c r="B32" s="208" t="s">
        <v>3</v>
      </c>
      <c r="C32" s="68"/>
      <c r="D32" s="68"/>
      <c r="E32" s="68"/>
      <c r="F32" s="344"/>
      <c r="G32" s="68"/>
    </row>
    <row r="33" spans="1:7">
      <c r="A33" s="335" t="s">
        <v>422</v>
      </c>
      <c r="B33" s="206" t="s">
        <v>8</v>
      </c>
      <c r="C33" s="401">
        <v>90769</v>
      </c>
      <c r="D33" s="401">
        <v>151210</v>
      </c>
      <c r="E33" s="401">
        <v>111592</v>
      </c>
      <c r="F33" s="402">
        <v>92907</v>
      </c>
      <c r="G33" s="401">
        <v>75084</v>
      </c>
    </row>
    <row r="34" spans="1:7" ht="42">
      <c r="A34" s="335" t="s">
        <v>423</v>
      </c>
      <c r="B34" s="210" t="s">
        <v>12</v>
      </c>
      <c r="C34" s="401">
        <v>66074</v>
      </c>
      <c r="D34" s="401">
        <v>-67694</v>
      </c>
      <c r="E34" s="401">
        <v>5452</v>
      </c>
      <c r="F34" s="402">
        <v>12918</v>
      </c>
      <c r="G34" s="401">
        <v>19122</v>
      </c>
    </row>
    <row r="35" spans="1:7">
      <c r="A35" s="418" t="s">
        <v>138</v>
      </c>
      <c r="B35" s="417" t="s">
        <v>138</v>
      </c>
      <c r="C35" s="401">
        <v>504162</v>
      </c>
      <c r="D35" s="401">
        <v>500062</v>
      </c>
      <c r="E35" s="401">
        <v>231749</v>
      </c>
      <c r="F35" s="402">
        <v>279517</v>
      </c>
      <c r="G35" s="401">
        <v>259008</v>
      </c>
    </row>
    <row r="36" spans="1:7">
      <c r="A36" s="209"/>
      <c r="B36" s="208"/>
      <c r="C36" s="68"/>
      <c r="D36" s="68"/>
      <c r="E36" s="68"/>
      <c r="F36" s="344"/>
      <c r="G36" s="68"/>
    </row>
    <row r="37" spans="1:7" ht="56">
      <c r="A37" s="209"/>
      <c r="B37" s="208" t="s">
        <v>15</v>
      </c>
      <c r="C37" s="68"/>
      <c r="D37" s="68"/>
      <c r="E37" s="68"/>
      <c r="F37" s="344"/>
      <c r="G37" s="68"/>
    </row>
    <row r="38" spans="1:7">
      <c r="A38" s="335" t="s">
        <v>424</v>
      </c>
      <c r="B38" s="203" t="s">
        <v>23</v>
      </c>
      <c r="C38" s="401">
        <v>413395</v>
      </c>
      <c r="D38" s="401">
        <v>348852</v>
      </c>
      <c r="E38" s="401">
        <v>120157</v>
      </c>
      <c r="F38" s="402">
        <v>186611</v>
      </c>
      <c r="G38" s="401">
        <v>183924</v>
      </c>
    </row>
    <row r="39" spans="1:7">
      <c r="A39" s="16"/>
      <c r="B39" s="205"/>
      <c r="C39" s="68"/>
      <c r="D39" s="68"/>
      <c r="E39" s="68"/>
      <c r="F39" s="344"/>
      <c r="G39" s="68"/>
    </row>
    <row r="40" spans="1:7">
      <c r="A40" s="16"/>
      <c r="B40" s="205"/>
      <c r="C40" s="68"/>
      <c r="D40" s="68"/>
      <c r="E40" s="68"/>
      <c r="F40" s="344"/>
      <c r="G40" s="68"/>
    </row>
    <row r="41" spans="1:7">
      <c r="A41" s="336" t="s">
        <v>429</v>
      </c>
      <c r="B41" s="205"/>
      <c r="C41" s="403">
        <v>2019</v>
      </c>
      <c r="D41" s="403">
        <v>2018</v>
      </c>
      <c r="E41" s="403">
        <v>2017</v>
      </c>
      <c r="F41" s="346" t="s">
        <v>428</v>
      </c>
      <c r="G41" s="403">
        <v>2015</v>
      </c>
    </row>
    <row r="42" spans="1:7" ht="42">
      <c r="A42" s="335" t="s">
        <v>421</v>
      </c>
      <c r="B42" s="211" t="s">
        <v>11</v>
      </c>
      <c r="C42" s="401">
        <v>281556</v>
      </c>
      <c r="D42" s="401">
        <v>181510</v>
      </c>
      <c r="E42" s="401">
        <v>150911</v>
      </c>
      <c r="F42" s="402">
        <v>143627</v>
      </c>
      <c r="G42" s="401">
        <v>134717</v>
      </c>
    </row>
    <row r="43" spans="1:7" ht="28">
      <c r="A43" s="209"/>
      <c r="B43" s="208" t="s">
        <v>2</v>
      </c>
      <c r="C43" s="587">
        <v>10036</v>
      </c>
      <c r="D43" s="587">
        <v>2401</v>
      </c>
      <c r="E43" s="587">
        <v>4752</v>
      </c>
      <c r="F43" s="587">
        <v>3758</v>
      </c>
      <c r="G43" s="587">
        <v>3960</v>
      </c>
    </row>
    <row r="44" spans="1:7" ht="28">
      <c r="A44" s="209"/>
      <c r="B44" s="208" t="s">
        <v>3</v>
      </c>
      <c r="C44" s="401"/>
      <c r="D44" s="401"/>
      <c r="E44" s="401"/>
      <c r="F44" s="402"/>
      <c r="G44" s="401"/>
    </row>
    <row r="45" spans="1:7">
      <c r="A45" s="335" t="s">
        <v>422</v>
      </c>
      <c r="B45" s="206" t="s">
        <v>8</v>
      </c>
      <c r="C45" s="401">
        <v>48762</v>
      </c>
      <c r="D45" s="401">
        <v>54854</v>
      </c>
      <c r="E45" s="401">
        <v>45019</v>
      </c>
      <c r="F45" s="402">
        <v>33907</v>
      </c>
      <c r="G45" s="401">
        <v>37998</v>
      </c>
    </row>
    <row r="46" spans="1:7" ht="42">
      <c r="A46" s="335" t="s">
        <v>423</v>
      </c>
      <c r="B46" s="210" t="s">
        <v>12</v>
      </c>
      <c r="C46" s="401">
        <v>31832</v>
      </c>
      <c r="D46" s="401">
        <v>-36708</v>
      </c>
      <c r="E46" s="401">
        <v>-34697</v>
      </c>
      <c r="F46" s="402">
        <v>35309</v>
      </c>
      <c r="G46" s="401">
        <v>-36178</v>
      </c>
    </row>
    <row r="47" spans="1:7">
      <c r="A47" s="418" t="s">
        <v>138</v>
      </c>
      <c r="B47" s="417" t="s">
        <v>138</v>
      </c>
      <c r="C47" s="401">
        <v>257352</v>
      </c>
      <c r="D47" s="401">
        <v>231196</v>
      </c>
      <c r="E47" s="401">
        <v>263099</v>
      </c>
      <c r="F47" s="402">
        <v>285851</v>
      </c>
      <c r="G47" s="401">
        <v>248058</v>
      </c>
    </row>
    <row r="48" spans="1:7">
      <c r="A48" s="209"/>
      <c r="B48" s="208"/>
      <c r="C48" s="401"/>
      <c r="D48" s="401"/>
      <c r="E48" s="401"/>
      <c r="F48" s="402"/>
      <c r="G48" s="401"/>
    </row>
    <row r="49" spans="1:7" ht="56">
      <c r="A49" s="209"/>
      <c r="B49" s="208" t="s">
        <v>15</v>
      </c>
      <c r="C49" s="401"/>
      <c r="D49" s="401"/>
      <c r="E49" s="401"/>
      <c r="F49" s="402"/>
      <c r="G49" s="401"/>
    </row>
    <row r="50" spans="1:7">
      <c r="A50" s="335" t="s">
        <v>424</v>
      </c>
      <c r="B50" s="203" t="s">
        <v>23</v>
      </c>
      <c r="C50" s="401">
        <v>208590</v>
      </c>
      <c r="D50" s="401">
        <v>176342</v>
      </c>
      <c r="E50" s="401">
        <v>218080</v>
      </c>
      <c r="F50" s="402">
        <v>251943</v>
      </c>
      <c r="G50" s="401">
        <v>210060</v>
      </c>
    </row>
    <row r="51" spans="1:7">
      <c r="A51" s="16"/>
      <c r="B51" s="205"/>
      <c r="C51" s="68"/>
      <c r="D51" s="68"/>
      <c r="E51" s="68"/>
      <c r="F51" s="344"/>
      <c r="G51" s="68"/>
    </row>
    <row r="52" spans="1:7">
      <c r="A52" s="163"/>
      <c r="B52" s="404"/>
      <c r="C52" s="405"/>
      <c r="D52" s="405"/>
      <c r="E52" s="405"/>
      <c r="F52" s="406"/>
      <c r="G52" s="405"/>
    </row>
    <row r="53" spans="1:7">
      <c r="A53" s="16"/>
      <c r="B53" s="205"/>
      <c r="C53" s="68"/>
      <c r="D53" s="68"/>
      <c r="E53" s="68"/>
      <c r="F53" s="344"/>
      <c r="G53" s="68"/>
    </row>
    <row r="54" spans="1:7">
      <c r="A54" s="16"/>
      <c r="B54" s="205"/>
      <c r="C54" s="68"/>
      <c r="D54" s="68"/>
      <c r="E54" s="68"/>
      <c r="F54" s="344"/>
      <c r="G54" s="68"/>
    </row>
    <row r="55" spans="1:7">
      <c r="A55" s="411" t="s">
        <v>210</v>
      </c>
      <c r="B55" s="205"/>
      <c r="C55" s="68"/>
      <c r="D55" s="68"/>
      <c r="E55" s="68"/>
      <c r="F55" s="344"/>
      <c r="G55" s="68"/>
    </row>
    <row r="56" spans="1:7">
      <c r="A56" s="336" t="s">
        <v>430</v>
      </c>
      <c r="B56" s="205"/>
      <c r="C56" s="403">
        <v>2015</v>
      </c>
      <c r="D56" s="403">
        <v>2014</v>
      </c>
      <c r="E56" s="403">
        <v>2013</v>
      </c>
      <c r="F56" s="346" t="s">
        <v>420</v>
      </c>
      <c r="G56" s="403">
        <v>2011</v>
      </c>
    </row>
    <row r="57" spans="1:7" ht="42">
      <c r="A57" s="335" t="s">
        <v>421</v>
      </c>
      <c r="B57" s="211" t="s">
        <v>11</v>
      </c>
      <c r="C57" s="401">
        <v>248348</v>
      </c>
      <c r="D57" s="401">
        <v>223068</v>
      </c>
      <c r="E57" s="401">
        <v>154405.05867331428</v>
      </c>
      <c r="F57" s="402">
        <v>88684</v>
      </c>
      <c r="G57" s="401">
        <v>71299</v>
      </c>
    </row>
    <row r="58" spans="1:7" ht="28">
      <c r="A58" s="209"/>
      <c r="B58" s="208" t="s">
        <v>2</v>
      </c>
      <c r="C58" s="587">
        <v>60659</v>
      </c>
      <c r="D58" s="587">
        <v>6263</v>
      </c>
      <c r="E58" s="586">
        <v>8026</v>
      </c>
      <c r="F58" s="587">
        <v>8519</v>
      </c>
      <c r="G58" s="587">
        <v>10736</v>
      </c>
    </row>
    <row r="59" spans="1:7" ht="28">
      <c r="A59" s="209"/>
      <c r="B59" s="208" t="s">
        <v>3</v>
      </c>
      <c r="C59" s="68"/>
      <c r="D59" s="68"/>
      <c r="E59" s="419"/>
      <c r="F59" s="344"/>
      <c r="G59" s="419"/>
    </row>
    <row r="60" spans="1:7">
      <c r="A60" s="335" t="s">
        <v>422</v>
      </c>
      <c r="B60" s="206" t="s">
        <v>8</v>
      </c>
      <c r="C60" s="401">
        <v>157273</v>
      </c>
      <c r="D60" s="401">
        <v>101970</v>
      </c>
      <c r="E60" s="401">
        <v>72219.857724813031</v>
      </c>
      <c r="F60" s="402">
        <v>36634</v>
      </c>
      <c r="G60" s="401">
        <v>45835</v>
      </c>
    </row>
    <row r="61" spans="1:7" ht="42">
      <c r="A61" s="335" t="s">
        <v>423</v>
      </c>
      <c r="B61" s="210" t="s">
        <v>12</v>
      </c>
      <c r="C61" s="401">
        <v>-10932</v>
      </c>
      <c r="D61" s="401">
        <v>1306</v>
      </c>
      <c r="E61" s="401">
        <v>-1672.0374536389616</v>
      </c>
      <c r="F61" s="402">
        <v>-3255</v>
      </c>
      <c r="G61" s="401">
        <v>-7159</v>
      </c>
    </row>
    <row r="62" spans="1:7">
      <c r="A62" s="418" t="s">
        <v>138</v>
      </c>
      <c r="B62" s="417" t="s">
        <v>138</v>
      </c>
      <c r="C62" s="401">
        <v>275552</v>
      </c>
      <c r="D62" s="401">
        <v>213202</v>
      </c>
      <c r="E62" s="401">
        <v>179479.54034170401</v>
      </c>
      <c r="F62" s="402">
        <v>133751</v>
      </c>
      <c r="G62" s="401">
        <v>139072</v>
      </c>
    </row>
    <row r="63" spans="1:7">
      <c r="A63" s="209"/>
      <c r="B63" s="208"/>
      <c r="C63" s="68"/>
      <c r="D63" s="68"/>
      <c r="E63" s="68"/>
      <c r="F63" s="344"/>
      <c r="G63" s="68"/>
    </row>
    <row r="64" spans="1:7" ht="56">
      <c r="A64" s="209"/>
      <c r="B64" s="208" t="s">
        <v>15</v>
      </c>
      <c r="C64" s="68"/>
      <c r="D64" s="68"/>
      <c r="E64" s="68"/>
      <c r="F64" s="344"/>
      <c r="G64" s="68"/>
    </row>
    <row r="65" spans="1:7">
      <c r="A65" s="335" t="s">
        <v>424</v>
      </c>
      <c r="B65" s="203" t="s">
        <v>23</v>
      </c>
      <c r="C65" s="401">
        <v>118280</v>
      </c>
      <c r="D65" s="401">
        <v>111232</v>
      </c>
      <c r="E65" s="401">
        <v>107259.68261689061</v>
      </c>
      <c r="F65" s="402">
        <v>97116</v>
      </c>
      <c r="G65" s="401">
        <v>93237</v>
      </c>
    </row>
    <row r="66" spans="1:7">
      <c r="A66" s="16"/>
      <c r="B66" s="205"/>
      <c r="C66" s="68"/>
      <c r="D66" s="68"/>
      <c r="E66" s="68"/>
      <c r="F66" s="344"/>
      <c r="G66" s="68"/>
    </row>
    <row r="67" spans="1:7">
      <c r="A67" s="16"/>
      <c r="B67" s="205"/>
      <c r="C67" s="68"/>
      <c r="D67" s="68"/>
      <c r="E67" s="68"/>
      <c r="F67" s="344"/>
      <c r="G67" s="68"/>
    </row>
    <row r="68" spans="1:7">
      <c r="A68" s="336" t="s">
        <v>431</v>
      </c>
      <c r="B68" s="205"/>
      <c r="C68" s="403">
        <v>2015</v>
      </c>
      <c r="D68" s="403">
        <v>2014</v>
      </c>
      <c r="E68" s="403">
        <v>2013</v>
      </c>
      <c r="F68" s="346" t="s">
        <v>420</v>
      </c>
      <c r="G68" s="403">
        <v>2011</v>
      </c>
    </row>
    <row r="69" spans="1:7" ht="42">
      <c r="A69" s="335" t="s">
        <v>421</v>
      </c>
      <c r="B69" s="211" t="s">
        <v>11</v>
      </c>
      <c r="C69" s="401">
        <v>134717</v>
      </c>
      <c r="D69" s="401">
        <v>128952</v>
      </c>
      <c r="E69" s="401">
        <v>85207</v>
      </c>
      <c r="F69" s="402">
        <v>136065</v>
      </c>
      <c r="G69" s="401">
        <v>118147</v>
      </c>
    </row>
    <row r="70" spans="1:7" ht="28">
      <c r="A70" s="209"/>
      <c r="B70" s="208" t="s">
        <v>2</v>
      </c>
      <c r="C70" s="587">
        <v>3960</v>
      </c>
      <c r="D70" s="587">
        <v>3055</v>
      </c>
      <c r="E70" s="587">
        <v>2296</v>
      </c>
      <c r="F70" s="587">
        <v>1621</v>
      </c>
      <c r="G70" s="587">
        <v>1196</v>
      </c>
    </row>
    <row r="71" spans="1:7" ht="28">
      <c r="A71" s="209"/>
      <c r="B71" s="208" t="s">
        <v>3</v>
      </c>
      <c r="C71" s="68"/>
      <c r="D71" s="68"/>
      <c r="E71" s="68"/>
      <c r="F71" s="344"/>
      <c r="G71" s="68"/>
    </row>
    <row r="72" spans="1:7">
      <c r="A72" s="335" t="s">
        <v>422</v>
      </c>
      <c r="B72" s="206" t="s">
        <v>8</v>
      </c>
      <c r="C72" s="401">
        <v>37998</v>
      </c>
      <c r="D72" s="401">
        <v>30521</v>
      </c>
      <c r="E72" s="401">
        <v>32603</v>
      </c>
      <c r="F72" s="402">
        <v>52711</v>
      </c>
      <c r="G72" s="401">
        <v>69845</v>
      </c>
    </row>
    <row r="73" spans="1:7" ht="42">
      <c r="A73" s="335" t="s">
        <v>423</v>
      </c>
      <c r="B73" s="210" t="s">
        <v>12</v>
      </c>
      <c r="C73" s="401">
        <v>-36178</v>
      </c>
      <c r="D73" s="401">
        <v>-24700</v>
      </c>
      <c r="E73" s="401">
        <v>-72966</v>
      </c>
      <c r="F73" s="402">
        <v>-59256</v>
      </c>
      <c r="G73" s="401">
        <v>-19757</v>
      </c>
    </row>
    <row r="74" spans="1:7">
      <c r="A74" s="418" t="s">
        <v>138</v>
      </c>
      <c r="B74" s="417" t="s">
        <v>138</v>
      </c>
      <c r="C74" s="401">
        <v>248058</v>
      </c>
      <c r="D74" s="401">
        <v>270579</v>
      </c>
      <c r="E74" s="401">
        <v>301726</v>
      </c>
      <c r="F74" s="402">
        <v>432978</v>
      </c>
      <c r="G74" s="401">
        <v>509183</v>
      </c>
    </row>
    <row r="75" spans="1:7">
      <c r="A75" s="209"/>
      <c r="B75" s="208"/>
      <c r="C75" s="68"/>
      <c r="D75" s="68"/>
      <c r="E75" s="68"/>
      <c r="F75" s="344"/>
      <c r="G75" s="68"/>
    </row>
    <row r="76" spans="1:7" ht="56">
      <c r="A76" s="209"/>
      <c r="B76" s="208" t="s">
        <v>15</v>
      </c>
      <c r="C76" s="68"/>
      <c r="D76" s="68"/>
      <c r="E76" s="68"/>
      <c r="F76" s="344"/>
      <c r="G76" s="68"/>
    </row>
    <row r="77" spans="1:7">
      <c r="A77" s="335" t="s">
        <v>424</v>
      </c>
      <c r="B77" s="203" t="s">
        <v>23</v>
      </c>
      <c r="C77" s="401">
        <v>210060</v>
      </c>
      <c r="D77" s="401">
        <v>240058</v>
      </c>
      <c r="E77" s="401">
        <v>269123</v>
      </c>
      <c r="F77" s="402">
        <v>380268</v>
      </c>
      <c r="G77" s="401">
        <v>439337</v>
      </c>
    </row>
    <row r="78" spans="1:7">
      <c r="A78" s="16"/>
      <c r="B78" s="205"/>
      <c r="C78" s="68"/>
      <c r="D78" s="68"/>
      <c r="E78" s="68"/>
      <c r="F78" s="344"/>
      <c r="G78" s="68"/>
    </row>
    <row r="79" spans="1:7">
      <c r="A79" s="16"/>
      <c r="B79" s="205"/>
      <c r="C79" s="68"/>
      <c r="D79" s="68"/>
      <c r="E79" s="68"/>
      <c r="F79" s="344"/>
      <c r="G79" s="68"/>
    </row>
    <row r="80" spans="1:7">
      <c r="A80" s="163"/>
      <c r="B80" s="404"/>
      <c r="C80" s="405"/>
      <c r="D80" s="405"/>
      <c r="E80" s="405"/>
      <c r="F80" s="406"/>
      <c r="G80" s="405"/>
    </row>
    <row r="81" spans="1:7">
      <c r="A81" s="16"/>
      <c r="B81" s="205"/>
      <c r="C81" s="68"/>
      <c r="D81" s="68"/>
      <c r="E81" s="68"/>
      <c r="F81" s="344"/>
      <c r="G81" s="68"/>
    </row>
    <row r="82" spans="1:7">
      <c r="A82" s="50" t="s">
        <v>211</v>
      </c>
      <c r="B82" s="205"/>
      <c r="C82" s="68"/>
      <c r="D82" s="68"/>
      <c r="E82" s="68"/>
      <c r="F82" s="344"/>
      <c r="G82" s="68"/>
    </row>
    <row r="83" spans="1:7">
      <c r="A83" s="336" t="s">
        <v>432</v>
      </c>
      <c r="B83" s="205"/>
      <c r="C83" s="403">
        <v>2010</v>
      </c>
      <c r="D83" s="403">
        <v>2009</v>
      </c>
      <c r="E83" s="403">
        <v>2008</v>
      </c>
      <c r="F83" s="346" t="s">
        <v>433</v>
      </c>
      <c r="G83" s="403">
        <v>2006</v>
      </c>
    </row>
    <row r="84" spans="1:7" ht="42">
      <c r="A84" s="335" t="s">
        <v>421</v>
      </c>
      <c r="B84" s="211" t="s">
        <v>11</v>
      </c>
      <c r="C84" s="401">
        <v>5462045</v>
      </c>
      <c r="D84" s="401">
        <v>4327276</v>
      </c>
      <c r="E84" s="401">
        <v>4339722</v>
      </c>
      <c r="F84" s="402">
        <v>3454381</v>
      </c>
      <c r="G84" s="401">
        <v>3010878</v>
      </c>
    </row>
    <row r="85" spans="1:7" ht="28">
      <c r="A85" s="209"/>
      <c r="B85" s="208" t="s">
        <v>2</v>
      </c>
      <c r="C85" s="587">
        <v>16931289</v>
      </c>
      <c r="D85" s="587">
        <v>11973403</v>
      </c>
      <c r="E85" s="587">
        <v>11330097</v>
      </c>
      <c r="F85" s="587">
        <v>10563295</v>
      </c>
      <c r="G85" s="587">
        <v>5877553</v>
      </c>
    </row>
    <row r="86" spans="1:7" ht="28">
      <c r="A86" s="209"/>
      <c r="B86" s="208" t="s">
        <v>3</v>
      </c>
      <c r="C86" s="68"/>
      <c r="D86" s="68"/>
      <c r="E86" s="68"/>
      <c r="F86" s="344"/>
      <c r="G86" s="68"/>
    </row>
    <row r="87" spans="1:7">
      <c r="A87" s="335" t="s">
        <v>422</v>
      </c>
      <c r="B87" s="206" t="s">
        <v>8</v>
      </c>
      <c r="C87" s="401">
        <v>20324534</v>
      </c>
      <c r="D87" s="401">
        <v>14975610</v>
      </c>
      <c r="E87" s="401">
        <v>14331946</v>
      </c>
      <c r="F87" s="402">
        <v>12186945</v>
      </c>
      <c r="G87" s="401">
        <v>7349902</v>
      </c>
    </row>
    <row r="88" spans="1:7" ht="42">
      <c r="A88" s="335" t="s">
        <v>423</v>
      </c>
      <c r="B88" s="210" t="s">
        <v>12</v>
      </c>
      <c r="C88" s="401">
        <v>-139648</v>
      </c>
      <c r="D88" s="401">
        <v>721580</v>
      </c>
      <c r="E88" s="401">
        <v>65151</v>
      </c>
      <c r="F88" s="402">
        <v>173941</v>
      </c>
      <c r="G88" s="401">
        <v>449470</v>
      </c>
    </row>
    <row r="89" spans="1:7">
      <c r="A89" s="418" t="s">
        <v>138</v>
      </c>
      <c r="B89" s="417" t="s">
        <v>138</v>
      </c>
      <c r="C89" s="401">
        <v>27052503</v>
      </c>
      <c r="D89" s="401">
        <v>21784685</v>
      </c>
      <c r="E89" s="401">
        <v>19830767</v>
      </c>
      <c r="F89" s="402">
        <v>16741731</v>
      </c>
      <c r="G89" s="401">
        <v>10640763</v>
      </c>
    </row>
    <row r="90" spans="1:7">
      <c r="A90" s="209"/>
      <c r="B90" s="208"/>
      <c r="C90" s="68"/>
      <c r="D90" s="68"/>
      <c r="E90" s="68"/>
      <c r="F90" s="344"/>
      <c r="G90" s="68"/>
    </row>
    <row r="91" spans="1:7" ht="56">
      <c r="A91" s="209"/>
      <c r="B91" s="208" t="s">
        <v>15</v>
      </c>
      <c r="C91" s="68"/>
      <c r="D91" s="68"/>
      <c r="E91" s="68"/>
      <c r="F91" s="344"/>
      <c r="G91" s="68"/>
    </row>
    <row r="92" spans="1:7">
      <c r="A92" s="335" t="s">
        <v>424</v>
      </c>
      <c r="B92" s="203" t="s">
        <v>23</v>
      </c>
      <c r="C92" s="401">
        <v>6727969</v>
      </c>
      <c r="D92" s="401">
        <v>6809076</v>
      </c>
      <c r="E92" s="401">
        <v>5498819</v>
      </c>
      <c r="F92" s="402">
        <v>4554785</v>
      </c>
      <c r="G92" s="401">
        <v>3290861</v>
      </c>
    </row>
    <row r="93" spans="1:7">
      <c r="A93" s="16"/>
      <c r="B93" s="205"/>
      <c r="C93" s="68"/>
      <c r="D93" s="68"/>
      <c r="E93" s="68"/>
      <c r="F93" s="344"/>
      <c r="G93" s="68"/>
    </row>
    <row r="94" spans="1:7" ht="16" thickBot="1">
      <c r="A94" s="16"/>
      <c r="B94" s="205"/>
      <c r="C94" s="68"/>
      <c r="D94" s="68"/>
      <c r="E94" s="68"/>
      <c r="F94" s="344"/>
      <c r="G94" s="68"/>
    </row>
    <row r="95" spans="1:7">
      <c r="A95" s="593" t="s">
        <v>434</v>
      </c>
      <c r="B95" s="594" t="s">
        <v>435</v>
      </c>
      <c r="C95" s="595">
        <v>2010</v>
      </c>
      <c r="D95" s="595">
        <v>2009</v>
      </c>
      <c r="E95" s="595">
        <v>2008</v>
      </c>
      <c r="F95" s="596" t="s">
        <v>433</v>
      </c>
      <c r="G95" s="597">
        <v>2006</v>
      </c>
    </row>
    <row r="96" spans="1:7" ht="42">
      <c r="A96" s="598" t="s">
        <v>421</v>
      </c>
      <c r="B96" s="211" t="s">
        <v>11</v>
      </c>
      <c r="C96" s="401">
        <v>1135100</v>
      </c>
      <c r="D96" s="401">
        <v>1350202</v>
      </c>
      <c r="E96" s="401">
        <v>1917502</v>
      </c>
      <c r="F96" s="402">
        <v>1519867</v>
      </c>
      <c r="G96" s="599">
        <v>1308419</v>
      </c>
    </row>
    <row r="97" spans="1:7" ht="28">
      <c r="A97" s="600"/>
      <c r="B97" s="208" t="s">
        <v>2</v>
      </c>
      <c r="C97" s="68">
        <f>'Long Term Debt'!F76</f>
        <v>895281</v>
      </c>
      <c r="D97" s="68">
        <f>'Long Term Debt'!G76</f>
        <v>999760</v>
      </c>
      <c r="E97" s="68">
        <f>'Long Term Debt'!H76</f>
        <v>1389459</v>
      </c>
      <c r="F97" s="68">
        <f>'Long Term Debt'!I76</f>
        <v>1268593</v>
      </c>
      <c r="G97" s="68">
        <f>'Long Term Debt'!J76</f>
        <v>374187</v>
      </c>
    </row>
    <row r="98" spans="1:7" ht="28">
      <c r="A98" s="600"/>
      <c r="B98" s="208" t="s">
        <v>3</v>
      </c>
      <c r="C98" s="68"/>
      <c r="D98" s="68"/>
      <c r="E98" s="68"/>
      <c r="F98" s="344"/>
      <c r="G98" s="601"/>
    </row>
    <row r="99" spans="1:7">
      <c r="A99" s="598" t="s">
        <v>422</v>
      </c>
      <c r="B99" s="206" t="s">
        <v>8</v>
      </c>
      <c r="C99" s="401">
        <v>1279699</v>
      </c>
      <c r="D99" s="401">
        <v>1480371</v>
      </c>
      <c r="E99" s="401">
        <v>1925125</v>
      </c>
      <c r="F99" s="402">
        <v>2134234</v>
      </c>
      <c r="G99" s="599">
        <v>754191</v>
      </c>
    </row>
    <row r="100" spans="1:7" ht="42">
      <c r="A100" s="598" t="s">
        <v>423</v>
      </c>
      <c r="B100" s="210" t="s">
        <v>12</v>
      </c>
      <c r="C100" s="401">
        <v>-7600</v>
      </c>
      <c r="D100" s="401">
        <v>165825</v>
      </c>
      <c r="E100" s="401">
        <v>417384</v>
      </c>
      <c r="F100" s="402">
        <v>470009</v>
      </c>
      <c r="G100" s="599">
        <v>372386</v>
      </c>
    </row>
    <row r="101" spans="1:7">
      <c r="A101" s="602" t="s">
        <v>138</v>
      </c>
      <c r="B101" s="417" t="s">
        <v>138</v>
      </c>
      <c r="C101" s="401">
        <v>3001507</v>
      </c>
      <c r="D101" s="401">
        <v>2929408</v>
      </c>
      <c r="E101" s="401">
        <v>3064805</v>
      </c>
      <c r="F101" s="402">
        <v>2874968</v>
      </c>
      <c r="G101" s="599">
        <v>1369336</v>
      </c>
    </row>
    <row r="102" spans="1:7">
      <c r="A102" s="600"/>
      <c r="B102" s="208"/>
      <c r="C102" s="68"/>
      <c r="D102" s="68"/>
      <c r="E102" s="68"/>
      <c r="F102" s="344"/>
      <c r="G102" s="601"/>
    </row>
    <row r="103" spans="1:7" ht="56">
      <c r="A103" s="600"/>
      <c r="B103" s="208" t="s">
        <v>15</v>
      </c>
      <c r="C103" s="68"/>
      <c r="D103" s="68"/>
      <c r="E103" s="68"/>
      <c r="F103" s="344"/>
      <c r="G103" s="601"/>
    </row>
    <row r="104" spans="1:7" ht="16" thickBot="1">
      <c r="A104" s="603" t="s">
        <v>424</v>
      </c>
      <c r="B104" s="604" t="s">
        <v>23</v>
      </c>
      <c r="C104" s="605">
        <v>1721800</v>
      </c>
      <c r="D104" s="605">
        <v>1449037</v>
      </c>
      <c r="E104" s="605">
        <v>1139680</v>
      </c>
      <c r="F104" s="606">
        <v>740734</v>
      </c>
      <c r="G104" s="607">
        <v>615145</v>
      </c>
    </row>
    <row r="105" spans="1:7">
      <c r="A105" s="16"/>
      <c r="B105" s="205"/>
      <c r="C105" s="68"/>
      <c r="D105" s="68"/>
      <c r="E105" s="68"/>
      <c r="F105" s="344"/>
      <c r="G105" s="68"/>
    </row>
    <row r="106" spans="1:7">
      <c r="A106" s="16"/>
      <c r="B106" s="205"/>
      <c r="C106" s="68"/>
      <c r="D106" s="68"/>
      <c r="E106" s="68"/>
      <c r="F106" s="344"/>
      <c r="G106" s="68"/>
    </row>
    <row r="107" spans="1:7">
      <c r="A107" s="336" t="s">
        <v>436</v>
      </c>
      <c r="B107" s="205"/>
      <c r="C107" s="403">
        <v>2010</v>
      </c>
      <c r="D107" s="403">
        <v>2009</v>
      </c>
      <c r="E107" s="403">
        <v>2008</v>
      </c>
      <c r="F107" s="346" t="s">
        <v>433</v>
      </c>
      <c r="G107" s="403">
        <v>2006</v>
      </c>
    </row>
    <row r="108" spans="1:7" ht="42">
      <c r="A108" s="335" t="s">
        <v>421</v>
      </c>
      <c r="B108" s="211" t="s">
        <v>11</v>
      </c>
      <c r="C108" s="401">
        <v>2616866</v>
      </c>
      <c r="D108" s="401">
        <v>2529383</v>
      </c>
      <c r="E108" s="401">
        <v>2249679</v>
      </c>
      <c r="F108" s="402">
        <v>2230328</v>
      </c>
      <c r="G108" s="401">
        <v>1883038</v>
      </c>
    </row>
    <row r="109" spans="1:7" ht="28">
      <c r="A109" s="209"/>
      <c r="B109" s="208" t="s">
        <v>2</v>
      </c>
      <c r="C109" s="587">
        <v>8693250</v>
      </c>
      <c r="D109" s="587">
        <v>6459840</v>
      </c>
      <c r="E109" s="587">
        <v>5113793</v>
      </c>
      <c r="F109" s="587">
        <v>4479587</v>
      </c>
      <c r="G109" s="587">
        <v>4218736</v>
      </c>
    </row>
    <row r="110" spans="1:7" ht="28">
      <c r="A110" s="209"/>
      <c r="B110" s="208" t="s">
        <v>3</v>
      </c>
      <c r="C110" s="68"/>
      <c r="D110" s="68"/>
      <c r="E110" s="68"/>
      <c r="F110" s="344"/>
      <c r="G110" s="68"/>
    </row>
    <row r="111" spans="1:7">
      <c r="A111" s="335" t="s">
        <v>422</v>
      </c>
      <c r="B111" s="206" t="s">
        <v>8</v>
      </c>
      <c r="C111" s="401">
        <v>10576960</v>
      </c>
      <c r="D111" s="401">
        <v>7636225</v>
      </c>
      <c r="E111" s="401">
        <v>6515734</v>
      </c>
      <c r="F111" s="402">
        <v>6597210</v>
      </c>
      <c r="G111" s="401">
        <v>5119931</v>
      </c>
    </row>
    <row r="112" spans="1:7" ht="42">
      <c r="A112" s="335" t="s">
        <v>423</v>
      </c>
      <c r="B112" s="210" t="s">
        <v>12</v>
      </c>
      <c r="C112" s="401">
        <v>48419</v>
      </c>
      <c r="D112" s="401">
        <v>1027458</v>
      </c>
      <c r="E112" s="401">
        <v>45561</v>
      </c>
      <c r="F112" s="402">
        <v>680329</v>
      </c>
      <c r="G112" s="401">
        <v>865958</v>
      </c>
    </row>
    <row r="113" spans="1:7">
      <c r="A113" s="418" t="s">
        <v>138</v>
      </c>
      <c r="B113" s="417" t="s">
        <v>138</v>
      </c>
      <c r="C113" s="401">
        <v>15566404</v>
      </c>
      <c r="D113" s="401">
        <v>12266546</v>
      </c>
      <c r="E113" s="401">
        <v>10213357</v>
      </c>
      <c r="F113" s="402">
        <v>10314671</v>
      </c>
      <c r="G113" s="401">
        <v>8293720</v>
      </c>
    </row>
    <row r="114" spans="1:7">
      <c r="A114" s="209"/>
      <c r="B114" s="208"/>
      <c r="C114" s="68"/>
      <c r="D114" s="68"/>
      <c r="E114" s="68"/>
      <c r="F114" s="344"/>
      <c r="G114" s="68"/>
    </row>
    <row r="115" spans="1:7" ht="56">
      <c r="A115" s="209"/>
      <c r="B115" s="208" t="s">
        <v>15</v>
      </c>
      <c r="C115" s="68"/>
      <c r="D115" s="68"/>
      <c r="E115" s="68"/>
      <c r="F115" s="344"/>
      <c r="G115" s="68"/>
    </row>
    <row r="116" spans="1:7">
      <c r="A116" s="335" t="s">
        <v>424</v>
      </c>
      <c r="B116" s="203" t="s">
        <v>23</v>
      </c>
      <c r="C116" s="401">
        <v>4989443</v>
      </c>
      <c r="D116" s="401">
        <v>4630320</v>
      </c>
      <c r="E116" s="401">
        <v>3697624</v>
      </c>
      <c r="F116" s="402">
        <v>3717458</v>
      </c>
      <c r="G116" s="401">
        <v>3173789</v>
      </c>
    </row>
    <row r="117" spans="1:7">
      <c r="A117" s="16"/>
      <c r="B117" s="205"/>
      <c r="C117" s="68"/>
      <c r="D117" s="68"/>
      <c r="E117" s="68"/>
      <c r="F117" s="344"/>
      <c r="G117" s="68"/>
    </row>
    <row r="118" spans="1:7" ht="16" thickBot="1">
      <c r="A118" s="16"/>
      <c r="B118" s="205"/>
      <c r="C118" s="68"/>
      <c r="D118" s="68"/>
      <c r="E118" s="68"/>
      <c r="F118" s="344"/>
      <c r="G118" s="68"/>
    </row>
    <row r="119" spans="1:7">
      <c r="A119" s="593" t="s">
        <v>437</v>
      </c>
      <c r="B119" s="594" t="s">
        <v>435</v>
      </c>
      <c r="C119" s="595">
        <v>2010</v>
      </c>
      <c r="D119" s="595">
        <v>2009</v>
      </c>
      <c r="E119" s="595">
        <v>2008</v>
      </c>
      <c r="F119" s="596" t="s">
        <v>433</v>
      </c>
      <c r="G119" s="597">
        <v>2006</v>
      </c>
    </row>
    <row r="120" spans="1:7" ht="42">
      <c r="A120" s="598" t="s">
        <v>421</v>
      </c>
      <c r="B120" s="211" t="s">
        <v>11</v>
      </c>
      <c r="C120" s="401">
        <v>568263</v>
      </c>
      <c r="D120" s="401">
        <v>477695</v>
      </c>
      <c r="E120" s="401">
        <v>582431</v>
      </c>
      <c r="F120" s="402">
        <v>452754</v>
      </c>
      <c r="G120" s="599">
        <v>395852</v>
      </c>
    </row>
    <row r="121" spans="1:7" ht="28">
      <c r="A121" s="600"/>
      <c r="B121" s="208" t="s">
        <v>2</v>
      </c>
      <c r="C121" s="68">
        <f>'Long Term Debt'!F77</f>
        <v>100402</v>
      </c>
      <c r="D121" s="68">
        <f>'Long Term Debt'!G77</f>
        <v>72790</v>
      </c>
      <c r="E121" s="68">
        <f>'Long Term Debt'!H77</f>
        <v>55735</v>
      </c>
      <c r="F121" s="68">
        <f>'Long Term Debt'!I77</f>
        <v>93672</v>
      </c>
      <c r="G121" s="68">
        <f>'Long Term Debt'!J77</f>
        <v>85221</v>
      </c>
    </row>
    <row r="122" spans="1:7" ht="28">
      <c r="A122" s="600"/>
      <c r="B122" s="208" t="s">
        <v>3</v>
      </c>
      <c r="C122" s="68"/>
      <c r="D122" s="68"/>
      <c r="E122" s="68"/>
      <c r="F122" s="344"/>
      <c r="G122" s="601"/>
    </row>
    <row r="123" spans="1:7">
      <c r="A123" s="598" t="s">
        <v>422</v>
      </c>
      <c r="B123" s="206" t="s">
        <v>8</v>
      </c>
      <c r="C123" s="401">
        <v>308145</v>
      </c>
      <c r="D123" s="401">
        <v>304423</v>
      </c>
      <c r="E123" s="401">
        <v>293254</v>
      </c>
      <c r="F123" s="402">
        <v>284808</v>
      </c>
      <c r="G123" s="599">
        <v>199193</v>
      </c>
    </row>
    <row r="124" spans="1:7" ht="42">
      <c r="A124" s="598" t="s">
        <v>423</v>
      </c>
      <c r="B124" s="210" t="s">
        <v>12</v>
      </c>
      <c r="C124" s="401">
        <v>155783</v>
      </c>
      <c r="D124" s="401">
        <v>162470</v>
      </c>
      <c r="E124" s="401">
        <v>113791</v>
      </c>
      <c r="F124" s="402">
        <v>135014</v>
      </c>
      <c r="G124" s="599">
        <v>150890</v>
      </c>
    </row>
    <row r="125" spans="1:7">
      <c r="A125" s="602" t="s">
        <v>138</v>
      </c>
      <c r="B125" s="417" t="s">
        <v>138</v>
      </c>
      <c r="C125" s="401">
        <v>1216917</v>
      </c>
      <c r="D125" s="401">
        <v>1144278</v>
      </c>
      <c r="E125" s="401">
        <v>954317</v>
      </c>
      <c r="F125" s="402">
        <v>852640</v>
      </c>
      <c r="G125" s="599">
        <v>676234</v>
      </c>
    </row>
    <row r="126" spans="1:7">
      <c r="A126" s="600"/>
      <c r="B126" s="208"/>
      <c r="C126" s="68"/>
      <c r="D126" s="68"/>
      <c r="E126" s="68"/>
      <c r="F126" s="344"/>
      <c r="G126" s="601"/>
    </row>
    <row r="127" spans="1:7" ht="56">
      <c r="A127" s="600"/>
      <c r="B127" s="208" t="s">
        <v>15</v>
      </c>
      <c r="C127" s="68"/>
      <c r="D127" s="68"/>
      <c r="E127" s="68"/>
      <c r="F127" s="344"/>
      <c r="G127" s="601"/>
    </row>
    <row r="128" spans="1:7" ht="16" thickBot="1">
      <c r="A128" s="603" t="s">
        <v>424</v>
      </c>
      <c r="B128" s="604" t="s">
        <v>23</v>
      </c>
      <c r="C128" s="605">
        <v>908771</v>
      </c>
      <c r="D128" s="605">
        <v>839856</v>
      </c>
      <c r="E128" s="605">
        <v>661063</v>
      </c>
      <c r="F128" s="606">
        <v>567834</v>
      </c>
      <c r="G128" s="607">
        <v>477038</v>
      </c>
    </row>
    <row r="129" spans="1:7">
      <c r="A129" s="16"/>
      <c r="B129" s="205"/>
      <c r="C129" s="68"/>
      <c r="D129" s="68"/>
      <c r="E129" s="68"/>
      <c r="F129" s="344"/>
      <c r="G129" s="68"/>
    </row>
    <row r="130" spans="1:7">
      <c r="A130" s="16"/>
      <c r="B130" s="205"/>
      <c r="C130" s="68"/>
      <c r="D130" s="68"/>
      <c r="E130" s="68"/>
      <c r="F130" s="344"/>
      <c r="G130" s="68"/>
    </row>
    <row r="131" spans="1:7">
      <c r="A131" s="163"/>
      <c r="B131" s="404"/>
      <c r="C131" s="405"/>
      <c r="D131" s="405"/>
      <c r="E131" s="405"/>
      <c r="F131" s="406"/>
      <c r="G131" s="405"/>
    </row>
    <row r="132" spans="1:7">
      <c r="A132" s="16"/>
      <c r="B132" s="205"/>
      <c r="C132" s="68"/>
      <c r="D132" s="68"/>
      <c r="E132" s="68"/>
      <c r="F132" s="344"/>
      <c r="G132" s="68"/>
    </row>
    <row r="133" spans="1:7">
      <c r="A133" s="50" t="s">
        <v>212</v>
      </c>
      <c r="B133" s="205"/>
      <c r="C133" s="68"/>
      <c r="D133" s="68"/>
      <c r="E133" s="68"/>
      <c r="F133" s="344"/>
      <c r="G133" s="68"/>
    </row>
    <row r="134" spans="1:7">
      <c r="A134" s="336" t="s">
        <v>439</v>
      </c>
      <c r="B134" s="205"/>
      <c r="C134" s="403">
        <v>2007</v>
      </c>
      <c r="D134" s="403">
        <v>2006</v>
      </c>
      <c r="E134" s="403">
        <v>2005</v>
      </c>
      <c r="F134" s="346" t="s">
        <v>438</v>
      </c>
      <c r="G134" s="403">
        <v>2003</v>
      </c>
    </row>
    <row r="135" spans="1:7" ht="42">
      <c r="A135" s="335" t="s">
        <v>421</v>
      </c>
      <c r="B135" s="211" t="s">
        <v>11</v>
      </c>
      <c r="C135" s="401">
        <v>114181</v>
      </c>
      <c r="D135" s="401">
        <v>109851</v>
      </c>
      <c r="E135" s="401">
        <v>100834</v>
      </c>
      <c r="F135" s="402">
        <v>91555</v>
      </c>
      <c r="G135" s="401">
        <v>192220</v>
      </c>
    </row>
    <row r="136" spans="1:7" ht="28">
      <c r="A136" s="209"/>
      <c r="B136" s="208" t="s">
        <v>2</v>
      </c>
      <c r="C136" s="587">
        <v>155577</v>
      </c>
      <c r="D136" s="587">
        <v>186018</v>
      </c>
      <c r="E136" s="587">
        <v>102215</v>
      </c>
      <c r="F136" s="587">
        <v>102033</v>
      </c>
      <c r="G136" s="587">
        <v>2520781</v>
      </c>
    </row>
    <row r="137" spans="1:7" ht="28">
      <c r="A137" s="209"/>
      <c r="B137" s="208" t="s">
        <v>3</v>
      </c>
      <c r="C137" s="68"/>
      <c r="D137" s="68"/>
      <c r="E137" s="68"/>
      <c r="F137" s="344"/>
      <c r="G137" s="68"/>
    </row>
    <row r="138" spans="1:7">
      <c r="A138" s="335" t="s">
        <v>422</v>
      </c>
      <c r="B138" s="206" t="s">
        <v>8</v>
      </c>
      <c r="C138" s="401">
        <v>5010006</v>
      </c>
      <c r="D138" s="401">
        <v>4392926</v>
      </c>
      <c r="E138" s="401">
        <v>3638286</v>
      </c>
      <c r="F138" s="402">
        <v>3145725</v>
      </c>
      <c r="G138" s="401">
        <v>2557197</v>
      </c>
    </row>
    <row r="139" spans="1:7" ht="42">
      <c r="A139" s="335" t="s">
        <v>423</v>
      </c>
      <c r="B139" s="210" t="s">
        <v>12</v>
      </c>
      <c r="C139" s="401">
        <v>34893</v>
      </c>
      <c r="D139" s="401">
        <v>38056</v>
      </c>
      <c r="E139" s="401">
        <v>34507</v>
      </c>
      <c r="F139" s="402">
        <v>31736</v>
      </c>
      <c r="G139" s="401">
        <v>24146</v>
      </c>
    </row>
    <row r="140" spans="1:7">
      <c r="A140" s="418" t="s">
        <v>138</v>
      </c>
      <c r="B140" s="417" t="s">
        <v>138</v>
      </c>
      <c r="C140" s="401">
        <v>5340399</v>
      </c>
      <c r="D140" s="401">
        <v>4696834</v>
      </c>
      <c r="E140" s="401">
        <v>3917881</v>
      </c>
      <c r="F140" s="402">
        <v>3401453</v>
      </c>
      <c r="G140" s="401">
        <v>2791058</v>
      </c>
    </row>
    <row r="141" spans="1:7">
      <c r="A141" s="209"/>
      <c r="B141" s="208"/>
      <c r="C141" s="68"/>
      <c r="D141" s="68"/>
      <c r="E141" s="68"/>
      <c r="F141" s="344"/>
      <c r="G141" s="68"/>
    </row>
    <row r="142" spans="1:7" ht="56">
      <c r="A142" s="209"/>
      <c r="B142" s="208" t="s">
        <v>15</v>
      </c>
      <c r="C142" s="68"/>
      <c r="D142" s="68"/>
      <c r="E142" s="68"/>
      <c r="F142" s="344"/>
      <c r="G142" s="68"/>
    </row>
    <row r="143" spans="1:7">
      <c r="A143" s="335" t="s">
        <v>424</v>
      </c>
      <c r="B143" s="203" t="s">
        <v>23</v>
      </c>
      <c r="C143" s="401">
        <v>330393</v>
      </c>
      <c r="D143" s="401">
        <v>303908</v>
      </c>
      <c r="E143" s="401">
        <v>279595</v>
      </c>
      <c r="F143" s="402">
        <v>255728</v>
      </c>
      <c r="G143" s="401">
        <v>233861</v>
      </c>
    </row>
    <row r="144" spans="1:7">
      <c r="A144" s="16"/>
      <c r="B144" s="205"/>
      <c r="C144" s="68"/>
      <c r="D144" s="68"/>
      <c r="E144" s="68"/>
      <c r="F144" s="344"/>
      <c r="G144" s="68"/>
    </row>
    <row r="145" spans="1:7">
      <c r="A145" s="16"/>
      <c r="B145" s="205"/>
      <c r="C145" s="68"/>
      <c r="D145" s="68"/>
      <c r="E145" s="68"/>
      <c r="F145" s="344"/>
      <c r="G145" s="68"/>
    </row>
    <row r="146" spans="1:7">
      <c r="A146" s="336" t="s">
        <v>440</v>
      </c>
      <c r="B146" s="205"/>
      <c r="C146" s="403">
        <v>2007</v>
      </c>
      <c r="D146" s="403">
        <v>2006</v>
      </c>
      <c r="E146" s="403">
        <v>2005</v>
      </c>
      <c r="F146" s="346" t="s">
        <v>438</v>
      </c>
      <c r="G146" s="403">
        <v>2003</v>
      </c>
    </row>
    <row r="147" spans="1:7" ht="42">
      <c r="A147" s="335" t="s">
        <v>421</v>
      </c>
      <c r="B147" s="211" t="s">
        <v>11</v>
      </c>
      <c r="C147" s="401">
        <v>95</v>
      </c>
      <c r="D147" s="401">
        <v>88467</v>
      </c>
      <c r="E147" s="401">
        <v>84505</v>
      </c>
      <c r="F147" s="402">
        <v>70892</v>
      </c>
      <c r="G147" s="401">
        <v>64013</v>
      </c>
    </row>
    <row r="148" spans="1:7" ht="28">
      <c r="A148" s="209"/>
      <c r="B148" s="208" t="s">
        <v>2</v>
      </c>
      <c r="C148" s="587">
        <v>118</v>
      </c>
      <c r="D148" s="587">
        <v>97408</v>
      </c>
      <c r="E148" s="587">
        <v>97279</v>
      </c>
      <c r="F148" s="587">
        <v>44881</v>
      </c>
      <c r="G148" s="587">
        <v>0</v>
      </c>
    </row>
    <row r="149" spans="1:7" ht="28">
      <c r="A149" s="209"/>
      <c r="B149" s="208" t="s">
        <v>3</v>
      </c>
      <c r="C149" s="68"/>
      <c r="D149" s="68"/>
      <c r="E149" s="68"/>
      <c r="F149" s="344"/>
      <c r="G149" s="68"/>
    </row>
    <row r="150" spans="1:7">
      <c r="A150" s="335" t="s">
        <v>422</v>
      </c>
      <c r="B150" s="206" t="s">
        <v>8</v>
      </c>
      <c r="C150" s="401">
        <v>3135</v>
      </c>
      <c r="D150" s="401">
        <v>2935317</v>
      </c>
      <c r="E150" s="401">
        <v>2665103</v>
      </c>
      <c r="F150" s="402">
        <v>2396727</v>
      </c>
      <c r="G150" s="401">
        <v>2083957</v>
      </c>
    </row>
    <row r="151" spans="1:7" ht="42">
      <c r="A151" s="335" t="s">
        <v>423</v>
      </c>
      <c r="B151" s="210" t="s">
        <v>12</v>
      </c>
      <c r="C151" s="401">
        <v>24</v>
      </c>
      <c r="D151" s="401">
        <v>26540</v>
      </c>
      <c r="E151" s="401">
        <v>23482</v>
      </c>
      <c r="F151" s="402">
        <v>18436</v>
      </c>
      <c r="G151" s="401">
        <v>18055</v>
      </c>
    </row>
    <row r="152" spans="1:7">
      <c r="A152" s="418" t="s">
        <v>138</v>
      </c>
      <c r="B152" s="417" t="s">
        <v>138</v>
      </c>
      <c r="C152" s="401">
        <v>3414</v>
      </c>
      <c r="D152" s="401">
        <v>3200064</v>
      </c>
      <c r="E152" s="401">
        <v>2908593</v>
      </c>
      <c r="F152" s="402">
        <v>2609443</v>
      </c>
      <c r="G152" s="401">
        <v>2287603</v>
      </c>
    </row>
    <row r="153" spans="1:7">
      <c r="A153" s="209"/>
      <c r="B153" s="208"/>
      <c r="C153" s="68"/>
      <c r="D153" s="68"/>
      <c r="E153" s="68"/>
      <c r="F153" s="344"/>
      <c r="G153" s="68"/>
    </row>
    <row r="154" spans="1:7" ht="56">
      <c r="A154" s="209"/>
      <c r="B154" s="208" t="s">
        <v>15</v>
      </c>
      <c r="C154" s="68"/>
      <c r="D154" s="68"/>
      <c r="E154" s="68"/>
      <c r="F154" s="344"/>
      <c r="G154" s="68"/>
    </row>
    <row r="155" spans="1:7">
      <c r="A155" s="335" t="s">
        <v>424</v>
      </c>
      <c r="B155" s="203" t="s">
        <v>23</v>
      </c>
      <c r="C155" s="401">
        <v>279</v>
      </c>
      <c r="D155" s="401">
        <v>264747</v>
      </c>
      <c r="E155" s="401">
        <v>243489</v>
      </c>
      <c r="F155" s="402">
        <v>212470</v>
      </c>
      <c r="G155" s="401">
        <v>203646</v>
      </c>
    </row>
    <row r="156" spans="1:7">
      <c r="A156" s="16"/>
      <c r="B156" s="205"/>
      <c r="C156" s="68"/>
      <c r="D156" s="68"/>
      <c r="E156" s="68"/>
      <c r="F156" s="344"/>
      <c r="G156" s="68"/>
    </row>
    <row r="157" spans="1:7">
      <c r="A157" s="16"/>
      <c r="B157" s="205"/>
      <c r="C157" s="68"/>
      <c r="D157" s="68"/>
      <c r="E157" s="68"/>
      <c r="F157" s="344"/>
      <c r="G157" s="68"/>
    </row>
    <row r="158" spans="1:7">
      <c r="A158" s="336" t="s">
        <v>442</v>
      </c>
      <c r="B158" s="205"/>
      <c r="C158" s="403">
        <v>2007</v>
      </c>
      <c r="D158" s="403">
        <v>2006</v>
      </c>
      <c r="E158" s="403">
        <v>2005</v>
      </c>
      <c r="F158" s="346" t="s">
        <v>438</v>
      </c>
      <c r="G158" s="403">
        <v>2003</v>
      </c>
    </row>
    <row r="159" spans="1:7" ht="42">
      <c r="A159" s="335" t="s">
        <v>421</v>
      </c>
      <c r="B159" s="211" t="s">
        <v>11</v>
      </c>
      <c r="C159" s="401">
        <v>1041000</v>
      </c>
      <c r="D159" s="401">
        <v>936000</v>
      </c>
      <c r="E159" s="401">
        <v>921000</v>
      </c>
      <c r="F159" s="402">
        <v>857000</v>
      </c>
      <c r="G159" s="401">
        <v>803000</v>
      </c>
    </row>
    <row r="160" spans="1:7" ht="28">
      <c r="A160" s="209"/>
      <c r="B160" s="208" t="s">
        <v>2</v>
      </c>
      <c r="C160" s="587">
        <v>475000</v>
      </c>
      <c r="D160" s="587">
        <v>123000</v>
      </c>
      <c r="E160" s="587">
        <v>112000</v>
      </c>
      <c r="F160" s="587">
        <v>112000</v>
      </c>
      <c r="G160" s="575">
        <v>107000</v>
      </c>
    </row>
    <row r="161" spans="1:7" ht="28">
      <c r="A161" s="209"/>
      <c r="B161" s="208" t="s">
        <v>3</v>
      </c>
      <c r="C161" s="68"/>
      <c r="D161" s="68"/>
      <c r="E161" s="68"/>
      <c r="F161" s="344"/>
      <c r="G161" s="68"/>
    </row>
    <row r="162" spans="1:7">
      <c r="A162" s="335" t="s">
        <v>422</v>
      </c>
      <c r="B162" s="206" t="s">
        <v>8</v>
      </c>
      <c r="C162" s="401">
        <v>34169000</v>
      </c>
      <c r="D162" s="401">
        <v>31818000</v>
      </c>
      <c r="E162" s="401">
        <v>27029000</v>
      </c>
      <c r="F162" s="402">
        <v>23786000</v>
      </c>
      <c r="G162" s="401">
        <v>20757000</v>
      </c>
    </row>
    <row r="163" spans="1:7" ht="42">
      <c r="A163" s="335" t="s">
        <v>423</v>
      </c>
      <c r="B163" s="210" t="s">
        <v>12</v>
      </c>
      <c r="C163" s="401">
        <v>349000</v>
      </c>
      <c r="D163" s="401">
        <v>309000</v>
      </c>
      <c r="E163" s="401">
        <v>321000</v>
      </c>
      <c r="F163" s="402">
        <v>270000</v>
      </c>
      <c r="G163" s="401">
        <v>214000</v>
      </c>
    </row>
    <row r="164" spans="1:7">
      <c r="A164" s="418" t="s">
        <v>138</v>
      </c>
      <c r="B164" s="417" t="s">
        <v>138</v>
      </c>
      <c r="C164" s="401">
        <v>38009000</v>
      </c>
      <c r="D164" s="401">
        <v>35478000</v>
      </c>
      <c r="E164" s="401">
        <v>30292000</v>
      </c>
      <c r="F164" s="402">
        <v>26733000</v>
      </c>
      <c r="G164" s="401">
        <v>23438000</v>
      </c>
    </row>
    <row r="165" spans="1:7">
      <c r="A165" s="209"/>
      <c r="B165" s="208"/>
      <c r="C165" s="68"/>
      <c r="D165" s="68"/>
      <c r="E165" s="68"/>
      <c r="F165" s="344"/>
      <c r="G165" s="68"/>
    </row>
    <row r="166" spans="1:7" ht="56">
      <c r="A166" s="209"/>
      <c r="B166" s="208" t="s">
        <v>15</v>
      </c>
      <c r="C166" s="68"/>
      <c r="D166" s="68"/>
      <c r="E166" s="68"/>
      <c r="F166" s="344"/>
      <c r="G166" s="68"/>
    </row>
    <row r="167" spans="1:7">
      <c r="A167" s="335" t="s">
        <v>424</v>
      </c>
      <c r="B167" s="203" t="s">
        <v>23</v>
      </c>
      <c r="C167" s="401">
        <v>3840000</v>
      </c>
      <c r="D167" s="401">
        <v>3660000</v>
      </c>
      <c r="E167" s="401">
        <v>3263000</v>
      </c>
      <c r="F167" s="402">
        <v>2947000</v>
      </c>
      <c r="G167" s="401">
        <v>2681000</v>
      </c>
    </row>
    <row r="168" spans="1:7">
      <c r="A168" s="16"/>
      <c r="B168" s="205"/>
      <c r="C168" s="68"/>
      <c r="D168" s="68"/>
      <c r="E168" s="68"/>
      <c r="F168" s="344"/>
      <c r="G168" s="68"/>
    </row>
    <row r="169" spans="1:7">
      <c r="A169" s="16"/>
      <c r="B169" s="205"/>
      <c r="C169" s="68"/>
      <c r="D169" s="68"/>
      <c r="E169" s="68"/>
      <c r="F169" s="344"/>
      <c r="G169" s="68"/>
    </row>
    <row r="170" spans="1:7">
      <c r="A170" s="336" t="s">
        <v>443</v>
      </c>
      <c r="B170" s="205"/>
      <c r="C170" s="403">
        <v>2007</v>
      </c>
      <c r="D170" s="403">
        <v>2006</v>
      </c>
      <c r="E170" s="403">
        <v>2005</v>
      </c>
      <c r="F170" s="346" t="s">
        <v>438</v>
      </c>
      <c r="G170" s="403">
        <v>2003</v>
      </c>
    </row>
    <row r="171" spans="1:7" ht="42">
      <c r="A171" s="335" t="s">
        <v>421</v>
      </c>
      <c r="B171" s="211" t="s">
        <v>11</v>
      </c>
      <c r="C171" s="401">
        <v>1872000</v>
      </c>
      <c r="D171" s="401">
        <v>1807000</v>
      </c>
      <c r="E171" s="401">
        <v>1667000</v>
      </c>
      <c r="F171" s="402">
        <v>1524000</v>
      </c>
      <c r="G171" s="401">
        <v>1405000</v>
      </c>
    </row>
    <row r="172" spans="1:7" ht="28">
      <c r="A172" s="209"/>
      <c r="B172" s="208" t="s">
        <v>2</v>
      </c>
      <c r="C172" s="587">
        <v>1379000</v>
      </c>
      <c r="D172" s="587">
        <v>1540000</v>
      </c>
      <c r="E172" s="587">
        <v>1493000</v>
      </c>
      <c r="F172" s="587">
        <v>1202000</v>
      </c>
      <c r="G172" s="587">
        <v>1508000</v>
      </c>
    </row>
    <row r="173" spans="1:7" ht="28">
      <c r="A173" s="209"/>
      <c r="B173" s="208" t="s">
        <v>3</v>
      </c>
      <c r="C173" s="68"/>
      <c r="D173" s="68"/>
      <c r="E173" s="68"/>
      <c r="F173" s="344"/>
      <c r="G173" s="68"/>
    </row>
    <row r="174" spans="1:7">
      <c r="A174" s="335" t="s">
        <v>422</v>
      </c>
      <c r="B174" s="206" t="s">
        <v>8</v>
      </c>
      <c r="C174" s="401">
        <v>56715000</v>
      </c>
      <c r="D174" s="401">
        <v>51438000</v>
      </c>
      <c r="E174" s="401">
        <v>45683000</v>
      </c>
      <c r="F174" s="402">
        <v>39653000</v>
      </c>
      <c r="G174" s="401">
        <v>38534000</v>
      </c>
    </row>
    <row r="175" spans="1:7" ht="42">
      <c r="A175" s="335" t="s">
        <v>423</v>
      </c>
      <c r="B175" s="210" t="s">
        <v>12</v>
      </c>
      <c r="C175" s="401">
        <v>703000</v>
      </c>
      <c r="D175" s="401">
        <v>762000</v>
      </c>
      <c r="E175" s="401">
        <v>555000</v>
      </c>
      <c r="F175" s="402">
        <v>364000</v>
      </c>
      <c r="G175" s="401">
        <v>210000</v>
      </c>
    </row>
    <row r="176" spans="1:7">
      <c r="A176" s="418" t="s">
        <v>138</v>
      </c>
      <c r="B176" s="417" t="s">
        <v>138</v>
      </c>
      <c r="C176" s="401">
        <v>60819000</v>
      </c>
      <c r="D176" s="401">
        <v>54962000</v>
      </c>
      <c r="E176" s="401">
        <v>48630000</v>
      </c>
      <c r="F176" s="402">
        <v>42245000</v>
      </c>
      <c r="G176" s="401">
        <v>40892000</v>
      </c>
    </row>
    <row r="177" spans="1:7">
      <c r="A177" s="209"/>
      <c r="B177" s="208"/>
      <c r="C177" s="68"/>
      <c r="D177" s="68"/>
      <c r="E177" s="68"/>
      <c r="F177" s="344"/>
      <c r="G177" s="68"/>
    </row>
    <row r="178" spans="1:7" ht="56">
      <c r="A178" s="209"/>
      <c r="B178" s="208" t="s">
        <v>15</v>
      </c>
      <c r="C178" s="68"/>
      <c r="D178" s="68"/>
      <c r="E178" s="68"/>
      <c r="F178" s="344"/>
      <c r="G178" s="68"/>
    </row>
    <row r="179" spans="1:7">
      <c r="A179" s="335" t="s">
        <v>424</v>
      </c>
      <c r="B179" s="203" t="s">
        <v>23</v>
      </c>
      <c r="C179" s="401">
        <v>4104000</v>
      </c>
      <c r="D179" s="401">
        <v>3524000</v>
      </c>
      <c r="E179" s="401">
        <v>2947000</v>
      </c>
      <c r="F179" s="402">
        <v>2587000</v>
      </c>
      <c r="G179" s="401">
        <v>2355000</v>
      </c>
    </row>
    <row r="180" spans="1:7">
      <c r="A180" s="16"/>
      <c r="B180" s="205"/>
      <c r="C180" s="68"/>
      <c r="D180" s="68"/>
      <c r="E180" s="68"/>
      <c r="F180" s="344"/>
      <c r="G180" s="68"/>
    </row>
    <row r="181" spans="1:7">
      <c r="A181" s="16"/>
      <c r="B181" s="205"/>
      <c r="C181" s="68"/>
      <c r="D181" s="68"/>
      <c r="E181" s="68"/>
      <c r="F181" s="344"/>
      <c r="G181" s="68"/>
    </row>
    <row r="182" spans="1:7">
      <c r="A182" s="163"/>
      <c r="B182" s="404"/>
      <c r="C182" s="405"/>
      <c r="D182" s="405"/>
      <c r="E182" s="405"/>
      <c r="F182" s="406"/>
      <c r="G182" s="405"/>
    </row>
    <row r="183" spans="1:7" ht="16" thickBot="1">
      <c r="A183" s="16"/>
      <c r="B183" s="205"/>
      <c r="C183" s="68"/>
      <c r="D183" s="68"/>
      <c r="E183" s="68"/>
      <c r="F183" s="344"/>
      <c r="G183" s="68"/>
    </row>
    <row r="184" spans="1:7">
      <c r="A184" s="608" t="s">
        <v>244</v>
      </c>
      <c r="B184" s="609"/>
      <c r="C184" s="610"/>
      <c r="D184" s="610"/>
      <c r="E184" s="610"/>
      <c r="F184" s="611"/>
      <c r="G184" s="612"/>
    </row>
    <row r="185" spans="1:7">
      <c r="A185" s="613" t="s">
        <v>437</v>
      </c>
      <c r="B185" s="408" t="s">
        <v>435</v>
      </c>
      <c r="C185" s="403">
        <v>2012</v>
      </c>
      <c r="D185" s="403">
        <v>2011</v>
      </c>
      <c r="E185" s="403">
        <v>2010</v>
      </c>
      <c r="F185" s="346" t="s">
        <v>444</v>
      </c>
      <c r="G185" s="614">
        <v>2008</v>
      </c>
    </row>
    <row r="186" spans="1:7" ht="42">
      <c r="A186" s="598" t="s">
        <v>421</v>
      </c>
      <c r="B186" s="211" t="s">
        <v>11</v>
      </c>
      <c r="C186" s="401">
        <v>932239</v>
      </c>
      <c r="D186" s="401">
        <v>608568</v>
      </c>
      <c r="E186" s="401">
        <v>568263</v>
      </c>
      <c r="F186" s="402">
        <v>477695</v>
      </c>
      <c r="G186" s="599">
        <v>582431</v>
      </c>
    </row>
    <row r="187" spans="1:7" ht="28">
      <c r="A187" s="600"/>
      <c r="B187" s="208" t="s">
        <v>2</v>
      </c>
      <c r="C187" s="68">
        <f>'Long Term Debt'!D77</f>
        <v>117836</v>
      </c>
      <c r="D187" s="68">
        <f>'Long Term Debt'!E77</f>
        <v>142300</v>
      </c>
      <c r="E187" s="68">
        <f>'Long Term Debt'!F77</f>
        <v>100402</v>
      </c>
      <c r="F187" s="68">
        <f>'Long Term Debt'!G77</f>
        <v>72790</v>
      </c>
      <c r="G187" s="68">
        <f>'Long Term Debt'!H77</f>
        <v>55735</v>
      </c>
    </row>
    <row r="188" spans="1:7" ht="28">
      <c r="A188" s="600"/>
      <c r="B188" s="208" t="s">
        <v>3</v>
      </c>
      <c r="C188" s="68"/>
      <c r="D188" s="68"/>
      <c r="E188" s="68"/>
      <c r="F188" s="344"/>
      <c r="G188" s="601"/>
    </row>
    <row r="189" spans="1:7">
      <c r="A189" s="598" t="s">
        <v>422</v>
      </c>
      <c r="B189" s="206" t="s">
        <v>8</v>
      </c>
      <c r="C189" s="401">
        <v>492361</v>
      </c>
      <c r="D189" s="401">
        <v>360161</v>
      </c>
      <c r="E189" s="401">
        <v>308145</v>
      </c>
      <c r="F189" s="402">
        <v>304423</v>
      </c>
      <c r="G189" s="599">
        <v>293254</v>
      </c>
    </row>
    <row r="190" spans="1:7" ht="42">
      <c r="A190" s="598" t="s">
        <v>423</v>
      </c>
      <c r="B190" s="210" t="s">
        <v>12</v>
      </c>
      <c r="C190" s="401">
        <v>284534</v>
      </c>
      <c r="D190" s="401">
        <v>170688</v>
      </c>
      <c r="E190" s="401">
        <v>155783</v>
      </c>
      <c r="F190" s="402">
        <v>162470</v>
      </c>
      <c r="G190" s="599">
        <v>113791</v>
      </c>
    </row>
    <row r="191" spans="1:7">
      <c r="A191" s="602" t="s">
        <v>138</v>
      </c>
      <c r="B191" s="417" t="s">
        <v>138</v>
      </c>
      <c r="C191" s="401">
        <v>1660722</v>
      </c>
      <c r="D191" s="401">
        <v>1333183</v>
      </c>
      <c r="E191" s="401">
        <v>1216917</v>
      </c>
      <c r="F191" s="402">
        <v>1144278</v>
      </c>
      <c r="G191" s="599">
        <v>954317</v>
      </c>
    </row>
    <row r="192" spans="1:7">
      <c r="A192" s="600"/>
      <c r="B192" s="208"/>
      <c r="C192" s="68"/>
      <c r="D192" s="68"/>
      <c r="E192" s="68"/>
      <c r="F192" s="344"/>
      <c r="G192" s="601"/>
    </row>
    <row r="193" spans="1:7" ht="56">
      <c r="A193" s="600"/>
      <c r="B193" s="208" t="s">
        <v>15</v>
      </c>
      <c r="C193" s="68"/>
      <c r="D193" s="68"/>
      <c r="E193" s="68"/>
      <c r="F193" s="344"/>
      <c r="G193" s="601"/>
    </row>
    <row r="194" spans="1:7" ht="16" thickBot="1">
      <c r="A194" s="603" t="s">
        <v>424</v>
      </c>
      <c r="B194" s="604" t="s">
        <v>23</v>
      </c>
      <c r="C194" s="605">
        <v>1168361</v>
      </c>
      <c r="D194" s="605">
        <v>973021</v>
      </c>
      <c r="E194" s="605">
        <v>908771</v>
      </c>
      <c r="F194" s="606">
        <v>839856</v>
      </c>
      <c r="G194" s="607">
        <v>661063</v>
      </c>
    </row>
    <row r="195" spans="1:7">
      <c r="A195" s="16"/>
      <c r="B195" s="205"/>
      <c r="C195" s="68"/>
      <c r="D195" s="68"/>
      <c r="E195" s="68"/>
      <c r="F195" s="344"/>
      <c r="G195" s="68"/>
    </row>
    <row r="196" spans="1:7" ht="16" thickBot="1">
      <c r="A196" s="16"/>
      <c r="B196" s="205"/>
      <c r="C196" s="68"/>
      <c r="D196" s="68"/>
      <c r="E196" s="68"/>
      <c r="F196" s="344"/>
      <c r="G196" s="68"/>
    </row>
    <row r="197" spans="1:7">
      <c r="A197" s="593" t="s">
        <v>434</v>
      </c>
      <c r="B197" s="594" t="s">
        <v>435</v>
      </c>
      <c r="C197" s="595">
        <v>2012</v>
      </c>
      <c r="D197" s="595">
        <v>2011</v>
      </c>
      <c r="E197" s="595">
        <v>2010</v>
      </c>
      <c r="F197" s="596" t="s">
        <v>444</v>
      </c>
      <c r="G197" s="597">
        <v>2008</v>
      </c>
    </row>
    <row r="198" spans="1:7" ht="42">
      <c r="A198" s="598" t="s">
        <v>421</v>
      </c>
      <c r="B198" s="211" t="s">
        <v>11</v>
      </c>
      <c r="C198" s="401">
        <v>1519368</v>
      </c>
      <c r="D198" s="401">
        <v>1253300</v>
      </c>
      <c r="E198" s="401">
        <v>1135100</v>
      </c>
      <c r="F198" s="402">
        <v>1350202</v>
      </c>
      <c r="G198" s="599">
        <v>1917502</v>
      </c>
    </row>
    <row r="199" spans="1:7" ht="28">
      <c r="A199" s="600"/>
      <c r="B199" s="208" t="s">
        <v>2</v>
      </c>
      <c r="C199" s="68">
        <f>'Long Term Debt'!D76</f>
        <v>983332</v>
      </c>
      <c r="D199" s="68">
        <f>'Long Term Debt'!E76</f>
        <v>833348</v>
      </c>
      <c r="E199" s="68">
        <f>'Long Term Debt'!F76</f>
        <v>895281</v>
      </c>
      <c r="F199" s="68">
        <f>'Long Term Debt'!G76</f>
        <v>999760</v>
      </c>
      <c r="G199" s="68">
        <f>'Long Term Debt'!H76</f>
        <v>1389459</v>
      </c>
    </row>
    <row r="200" spans="1:7" ht="28">
      <c r="A200" s="600"/>
      <c r="B200" s="208" t="s">
        <v>3</v>
      </c>
      <c r="C200" s="68"/>
      <c r="D200" s="68"/>
      <c r="E200" s="68"/>
      <c r="F200" s="344"/>
      <c r="G200" s="601"/>
    </row>
    <row r="201" spans="1:7">
      <c r="A201" s="598" t="s">
        <v>422</v>
      </c>
      <c r="B201" s="206" t="s">
        <v>8</v>
      </c>
      <c r="C201" s="401">
        <v>1352224</v>
      </c>
      <c r="D201" s="401">
        <f>532141+833348</f>
        <v>1365489</v>
      </c>
      <c r="E201" s="401">
        <v>1279699</v>
      </c>
      <c r="F201" s="402">
        <v>1480371</v>
      </c>
      <c r="G201" s="599">
        <v>1925125</v>
      </c>
    </row>
    <row r="202" spans="1:7" ht="42">
      <c r="A202" s="598" t="s">
        <v>423</v>
      </c>
      <c r="B202" s="210" t="s">
        <v>12</v>
      </c>
      <c r="C202" s="401">
        <v>185539</v>
      </c>
      <c r="D202" s="401">
        <v>33700</v>
      </c>
      <c r="E202" s="401">
        <v>-7600</v>
      </c>
      <c r="F202" s="402">
        <v>165825</v>
      </c>
      <c r="G202" s="599">
        <v>417384</v>
      </c>
    </row>
    <row r="203" spans="1:7">
      <c r="A203" s="602" t="s">
        <v>138</v>
      </c>
      <c r="B203" s="417" t="s">
        <v>138</v>
      </c>
      <c r="C203" s="401">
        <v>3273983</v>
      </c>
      <c r="D203" s="401">
        <v>3137179</v>
      </c>
      <c r="E203" s="401">
        <v>3001507</v>
      </c>
      <c r="F203" s="402">
        <v>2929408</v>
      </c>
      <c r="G203" s="599">
        <v>3064805</v>
      </c>
    </row>
    <row r="204" spans="1:7">
      <c r="A204" s="600"/>
      <c r="B204" s="208"/>
      <c r="C204" s="68"/>
      <c r="D204" s="68"/>
      <c r="E204" s="68"/>
      <c r="F204" s="344"/>
      <c r="G204" s="601"/>
    </row>
    <row r="205" spans="1:7" ht="56">
      <c r="A205" s="600"/>
      <c r="B205" s="208" t="s">
        <v>15</v>
      </c>
      <c r="C205" s="68"/>
      <c r="D205" s="68"/>
      <c r="E205" s="68"/>
      <c r="F205" s="344"/>
      <c r="G205" s="601"/>
    </row>
    <row r="206" spans="1:7" ht="16" thickBot="1">
      <c r="A206" s="603" t="s">
        <v>424</v>
      </c>
      <c r="B206" s="604" t="s">
        <v>23</v>
      </c>
      <c r="C206" s="605">
        <v>1921759</v>
      </c>
      <c r="D206" s="605">
        <v>1771690</v>
      </c>
      <c r="E206" s="605">
        <v>1721800</v>
      </c>
      <c r="F206" s="606">
        <v>1449037</v>
      </c>
      <c r="G206" s="607">
        <v>1139680</v>
      </c>
    </row>
    <row r="207" spans="1:7">
      <c r="A207" s="335"/>
      <c r="B207" s="203"/>
      <c r="C207" s="401"/>
      <c r="D207" s="401"/>
      <c r="E207" s="401"/>
      <c r="F207" s="402"/>
      <c r="G207" s="401"/>
    </row>
    <row r="208" spans="1:7">
      <c r="A208" s="420"/>
      <c r="B208" s="421"/>
      <c r="C208" s="422"/>
      <c r="D208" s="422"/>
      <c r="E208" s="422"/>
      <c r="F208" s="423"/>
      <c r="G208" s="422"/>
    </row>
    <row r="209" spans="1:7">
      <c r="A209" s="335"/>
      <c r="B209" s="203"/>
      <c r="C209" s="401"/>
      <c r="D209" s="401"/>
      <c r="E209" s="401"/>
      <c r="F209" s="402"/>
      <c r="G209" s="401"/>
    </row>
    <row r="210" spans="1:7">
      <c r="A210" s="16"/>
      <c r="B210" s="205"/>
      <c r="C210" s="68"/>
      <c r="D210" s="68"/>
      <c r="E210" s="68"/>
      <c r="F210" s="344"/>
      <c r="G210" s="68"/>
    </row>
    <row r="211" spans="1:7" ht="16" thickBot="1">
      <c r="A211" s="16"/>
      <c r="B211" s="205"/>
      <c r="C211" s="68"/>
      <c r="D211" s="68"/>
      <c r="E211" s="68"/>
      <c r="F211" s="344"/>
      <c r="G211" s="68"/>
    </row>
    <row r="212" spans="1:7">
      <c r="A212" s="608" t="s">
        <v>245</v>
      </c>
      <c r="B212" s="609"/>
      <c r="C212" s="610"/>
      <c r="D212" s="610"/>
      <c r="E212" s="610"/>
      <c r="F212" s="611"/>
      <c r="G212" s="612"/>
    </row>
    <row r="213" spans="1:7">
      <c r="A213" s="613" t="s">
        <v>437</v>
      </c>
      <c r="B213" s="408" t="s">
        <v>435</v>
      </c>
      <c r="C213" s="403">
        <v>2011</v>
      </c>
      <c r="D213" s="403">
        <v>2010</v>
      </c>
      <c r="E213" s="425">
        <v>2009</v>
      </c>
      <c r="F213" s="424" t="s">
        <v>475</v>
      </c>
      <c r="G213" s="614">
        <v>2007</v>
      </c>
    </row>
    <row r="214" spans="1:7" ht="42">
      <c r="A214" s="598" t="s">
        <v>421</v>
      </c>
      <c r="B214" s="211" t="s">
        <v>11</v>
      </c>
      <c r="C214" s="401">
        <v>608568</v>
      </c>
      <c r="D214" s="401">
        <v>568263</v>
      </c>
      <c r="E214" s="415">
        <v>477695</v>
      </c>
      <c r="F214" s="99">
        <v>582431</v>
      </c>
      <c r="G214" s="599">
        <v>452754</v>
      </c>
    </row>
    <row r="215" spans="1:7" ht="28">
      <c r="A215" s="600"/>
      <c r="B215" s="208" t="s">
        <v>2</v>
      </c>
      <c r="C215" s="68">
        <f>'Long Term Debt'!E77</f>
        <v>142300</v>
      </c>
      <c r="D215" s="68">
        <f>'Long Term Debt'!F77</f>
        <v>100402</v>
      </c>
      <c r="E215" s="68">
        <f>'Long Term Debt'!G77</f>
        <v>72790</v>
      </c>
      <c r="F215" s="68">
        <f>'Long Term Debt'!H77</f>
        <v>55735</v>
      </c>
      <c r="G215" s="68">
        <f>'Long Term Debt'!I77</f>
        <v>93672</v>
      </c>
    </row>
    <row r="216" spans="1:7" ht="28">
      <c r="A216" s="600"/>
      <c r="B216" s="208" t="s">
        <v>3</v>
      </c>
      <c r="C216" s="68"/>
      <c r="D216" s="68"/>
      <c r="E216" s="416"/>
      <c r="F216" s="94"/>
      <c r="G216" s="601"/>
    </row>
    <row r="217" spans="1:7">
      <c r="A217" s="598" t="s">
        <v>422</v>
      </c>
      <c r="B217" s="206" t="s">
        <v>8</v>
      </c>
      <c r="C217" s="401">
        <v>360161</v>
      </c>
      <c r="D217" s="401">
        <v>308145</v>
      </c>
      <c r="E217" s="415">
        <v>304423</v>
      </c>
      <c r="F217" s="99">
        <v>293254</v>
      </c>
      <c r="G217" s="599">
        <v>284808</v>
      </c>
    </row>
    <row r="218" spans="1:7" ht="42">
      <c r="A218" s="598" t="s">
        <v>423</v>
      </c>
      <c r="B218" s="210" t="s">
        <v>12</v>
      </c>
      <c r="C218" s="401">
        <v>170688</v>
      </c>
      <c r="D218" s="401">
        <v>155783</v>
      </c>
      <c r="E218" s="415">
        <v>162470</v>
      </c>
      <c r="F218" s="99">
        <v>113791</v>
      </c>
      <c r="G218" s="599">
        <v>135014</v>
      </c>
    </row>
    <row r="219" spans="1:7">
      <c r="A219" s="602" t="s">
        <v>138</v>
      </c>
      <c r="B219" s="417" t="s">
        <v>138</v>
      </c>
      <c r="C219" s="401">
        <v>1333183</v>
      </c>
      <c r="D219" s="401">
        <v>1216917</v>
      </c>
      <c r="E219" s="415">
        <v>1144278</v>
      </c>
      <c r="F219" s="99">
        <v>954317</v>
      </c>
      <c r="G219" s="599">
        <v>852640</v>
      </c>
    </row>
    <row r="220" spans="1:7">
      <c r="A220" s="600"/>
      <c r="B220" s="208"/>
      <c r="C220" s="68"/>
      <c r="D220" s="68"/>
      <c r="E220" s="416"/>
      <c r="F220" s="94"/>
      <c r="G220" s="601"/>
    </row>
    <row r="221" spans="1:7" ht="56">
      <c r="A221" s="600"/>
      <c r="B221" s="208" t="s">
        <v>15</v>
      </c>
      <c r="C221" s="68"/>
      <c r="D221" s="68"/>
      <c r="E221" s="416"/>
      <c r="F221" s="94"/>
      <c r="G221" s="601"/>
    </row>
    <row r="222" spans="1:7" ht="16" thickBot="1">
      <c r="A222" s="603" t="s">
        <v>424</v>
      </c>
      <c r="B222" s="604" t="s">
        <v>23</v>
      </c>
      <c r="C222" s="605">
        <v>973021</v>
      </c>
      <c r="D222" s="605">
        <v>908771</v>
      </c>
      <c r="E222" s="615">
        <v>839856</v>
      </c>
      <c r="F222" s="616">
        <v>661063</v>
      </c>
      <c r="G222" s="607">
        <v>567834</v>
      </c>
    </row>
    <row r="223" spans="1:7">
      <c r="A223" s="16"/>
      <c r="B223" s="205"/>
      <c r="C223" s="68"/>
      <c r="D223" s="68"/>
      <c r="E223" s="68"/>
      <c r="F223" s="344"/>
      <c r="G223" s="68"/>
    </row>
    <row r="224" spans="1:7" ht="16" thickBot="1">
      <c r="A224" s="16"/>
      <c r="B224" s="205"/>
      <c r="C224" s="68"/>
      <c r="D224" s="68"/>
      <c r="E224" s="68"/>
      <c r="F224" s="344"/>
      <c r="G224" s="68"/>
    </row>
    <row r="225" spans="1:7">
      <c r="A225" s="593" t="s">
        <v>434</v>
      </c>
      <c r="B225" s="594" t="s">
        <v>435</v>
      </c>
      <c r="C225" s="595">
        <v>2011</v>
      </c>
      <c r="D225" s="595">
        <v>2010</v>
      </c>
      <c r="E225" s="595">
        <v>2009</v>
      </c>
      <c r="F225" s="596" t="s">
        <v>445</v>
      </c>
      <c r="G225" s="597">
        <v>2007</v>
      </c>
    </row>
    <row r="226" spans="1:7" ht="42">
      <c r="A226" s="598" t="s">
        <v>421</v>
      </c>
      <c r="B226" s="211" t="s">
        <v>11</v>
      </c>
      <c r="C226" s="401">
        <v>1253300</v>
      </c>
      <c r="D226" s="401">
        <v>1135100</v>
      </c>
      <c r="E226" s="415">
        <v>1350202</v>
      </c>
      <c r="F226" s="99">
        <v>1917502</v>
      </c>
      <c r="G226" s="599">
        <v>1519867</v>
      </c>
    </row>
    <row r="227" spans="1:7" ht="28">
      <c r="A227" s="600"/>
      <c r="B227" s="208" t="s">
        <v>2</v>
      </c>
      <c r="C227" s="68">
        <f>'Long Term Debt'!E76</f>
        <v>833348</v>
      </c>
      <c r="D227" s="68">
        <f>'Long Term Debt'!F76</f>
        <v>895281</v>
      </c>
      <c r="E227" s="68">
        <f>'Long Term Debt'!G76</f>
        <v>999760</v>
      </c>
      <c r="F227" s="68">
        <f>'Long Term Debt'!H76</f>
        <v>1389459</v>
      </c>
      <c r="G227" s="68">
        <f>'Long Term Debt'!I76</f>
        <v>1268593</v>
      </c>
    </row>
    <row r="228" spans="1:7" ht="28">
      <c r="A228" s="600"/>
      <c r="B228" s="208" t="s">
        <v>3</v>
      </c>
      <c r="C228" s="68"/>
      <c r="D228" s="68"/>
      <c r="E228" s="416"/>
      <c r="F228" s="94"/>
      <c r="G228" s="601"/>
    </row>
    <row r="229" spans="1:7">
      <c r="A229" s="598" t="s">
        <v>422</v>
      </c>
      <c r="B229" s="206" t="s">
        <v>8</v>
      </c>
      <c r="C229" s="401">
        <f>532141+833348</f>
        <v>1365489</v>
      </c>
      <c r="D229" s="401">
        <v>1279699</v>
      </c>
      <c r="E229" s="415">
        <v>1480371</v>
      </c>
      <c r="F229" s="99">
        <v>1925125</v>
      </c>
      <c r="G229" s="599">
        <v>2134234</v>
      </c>
    </row>
    <row r="230" spans="1:7" ht="42">
      <c r="A230" s="598" t="s">
        <v>423</v>
      </c>
      <c r="B230" s="210" t="s">
        <v>12</v>
      </c>
      <c r="C230" s="401">
        <v>33700</v>
      </c>
      <c r="D230" s="401">
        <v>-7600</v>
      </c>
      <c r="E230" s="415">
        <v>165825</v>
      </c>
      <c r="F230" s="99">
        <v>417384</v>
      </c>
      <c r="G230" s="599">
        <v>470009</v>
      </c>
    </row>
    <row r="231" spans="1:7">
      <c r="A231" s="602" t="s">
        <v>138</v>
      </c>
      <c r="B231" s="417" t="s">
        <v>138</v>
      </c>
      <c r="C231" s="401">
        <v>3137179</v>
      </c>
      <c r="D231" s="401">
        <v>3001507</v>
      </c>
      <c r="E231" s="415">
        <v>2929408</v>
      </c>
      <c r="F231" s="99">
        <v>3064805</v>
      </c>
      <c r="G231" s="599">
        <v>2874968</v>
      </c>
    </row>
    <row r="232" spans="1:7">
      <c r="A232" s="600"/>
      <c r="B232" s="208"/>
      <c r="C232" s="68"/>
      <c r="D232" s="68"/>
      <c r="E232" s="416"/>
      <c r="F232" s="94"/>
      <c r="G232" s="601"/>
    </row>
    <row r="233" spans="1:7" ht="56">
      <c r="A233" s="600"/>
      <c r="B233" s="208" t="s">
        <v>15</v>
      </c>
      <c r="C233" s="68"/>
      <c r="D233" s="68"/>
      <c r="E233" s="416"/>
      <c r="F233" s="94"/>
      <c r="G233" s="601"/>
    </row>
    <row r="234" spans="1:7" ht="16" thickBot="1">
      <c r="A234" s="603" t="s">
        <v>424</v>
      </c>
      <c r="B234" s="604" t="s">
        <v>23</v>
      </c>
      <c r="C234" s="605">
        <v>1771690</v>
      </c>
      <c r="D234" s="605">
        <v>1721800</v>
      </c>
      <c r="E234" s="615">
        <v>1449037</v>
      </c>
      <c r="F234" s="616">
        <v>1139680</v>
      </c>
      <c r="G234" s="607">
        <v>740734</v>
      </c>
    </row>
    <row r="235" spans="1:7">
      <c r="A235" s="16"/>
      <c r="B235" s="205"/>
      <c r="C235" s="68"/>
      <c r="D235" s="68"/>
      <c r="E235" s="68"/>
      <c r="F235" s="344"/>
      <c r="G235" s="68"/>
    </row>
    <row r="236" spans="1:7">
      <c r="A236" s="16"/>
      <c r="B236" s="205"/>
      <c r="C236" s="68"/>
      <c r="D236" s="68"/>
      <c r="E236" s="68"/>
      <c r="F236" s="344"/>
      <c r="G236" s="68"/>
    </row>
    <row r="237" spans="1:7">
      <c r="A237" s="336" t="s">
        <v>446</v>
      </c>
      <c r="B237" s="205"/>
      <c r="C237" s="403">
        <v>2011</v>
      </c>
      <c r="D237" s="403">
        <v>2010</v>
      </c>
      <c r="E237" s="403">
        <v>2009</v>
      </c>
      <c r="F237" s="346" t="s">
        <v>445</v>
      </c>
      <c r="G237" s="403">
        <v>2007</v>
      </c>
    </row>
    <row r="238" spans="1:7" ht="42">
      <c r="A238" s="335" t="s">
        <v>421</v>
      </c>
      <c r="B238" s="211" t="s">
        <v>11</v>
      </c>
      <c r="C238" s="401">
        <v>762649</v>
      </c>
      <c r="D238" s="401">
        <v>422606</v>
      </c>
      <c r="E238" s="401">
        <v>366700</v>
      </c>
      <c r="F238" s="402">
        <v>636931</v>
      </c>
      <c r="G238" s="401">
        <v>757026</v>
      </c>
    </row>
    <row r="239" spans="1:7" ht="28">
      <c r="A239" s="209"/>
      <c r="B239" s="208" t="s">
        <v>2</v>
      </c>
      <c r="C239" s="587">
        <v>288075</v>
      </c>
      <c r="D239" s="587">
        <v>164413</v>
      </c>
      <c r="E239" s="587">
        <v>56179</v>
      </c>
      <c r="F239" s="587">
        <v>50196</v>
      </c>
      <c r="G239" s="575">
        <v>19335</v>
      </c>
    </row>
    <row r="240" spans="1:7" ht="28">
      <c r="A240" s="209"/>
      <c r="B240" s="208" t="s">
        <v>3</v>
      </c>
      <c r="C240" s="68"/>
      <c r="D240" s="68"/>
      <c r="E240" s="68"/>
      <c r="F240" s="344"/>
      <c r="G240" s="68"/>
    </row>
    <row r="241" spans="1:7">
      <c r="A241" s="335" t="s">
        <v>422</v>
      </c>
      <c r="B241" s="206" t="s">
        <v>8</v>
      </c>
      <c r="C241" s="401">
        <v>461073</v>
      </c>
      <c r="D241" s="401">
        <v>477578</v>
      </c>
      <c r="E241" s="401">
        <v>418204</v>
      </c>
      <c r="F241" s="402">
        <v>306030</v>
      </c>
      <c r="G241" s="401">
        <v>338757</v>
      </c>
    </row>
    <row r="242" spans="1:7" ht="42">
      <c r="A242" s="335" t="s">
        <v>423</v>
      </c>
      <c r="B242" s="210" t="s">
        <v>12</v>
      </c>
      <c r="C242" s="401">
        <v>-34338</v>
      </c>
      <c r="D242" s="401">
        <v>-203942</v>
      </c>
      <c r="E242" s="401">
        <v>-472508</v>
      </c>
      <c r="F242" s="402">
        <v>-376758</v>
      </c>
      <c r="G242" s="401">
        <v>-270016</v>
      </c>
    </row>
    <row r="243" spans="1:7">
      <c r="A243" s="418" t="s">
        <v>138</v>
      </c>
      <c r="B243" s="417" t="s">
        <v>138</v>
      </c>
      <c r="C243" s="401">
        <v>902945</v>
      </c>
      <c r="D243" s="401">
        <v>675545</v>
      </c>
      <c r="E243" s="401">
        <v>611130</v>
      </c>
      <c r="F243" s="402">
        <v>786456</v>
      </c>
      <c r="G243" s="401">
        <v>930161</v>
      </c>
    </row>
    <row r="244" spans="1:7">
      <c r="A244" s="209"/>
      <c r="B244" s="208"/>
      <c r="C244" s="68"/>
      <c r="D244" s="68"/>
      <c r="E244" s="68"/>
      <c r="F244" s="344"/>
      <c r="G244" s="68"/>
    </row>
    <row r="245" spans="1:7" ht="56">
      <c r="A245" s="209"/>
      <c r="B245" s="208" t="s">
        <v>15</v>
      </c>
      <c r="C245" s="68"/>
      <c r="D245" s="68"/>
      <c r="E245" s="68"/>
      <c r="F245" s="344"/>
      <c r="G245" s="68"/>
    </row>
    <row r="246" spans="1:7">
      <c r="A246" s="335" t="s">
        <v>424</v>
      </c>
      <c r="B246" s="203" t="s">
        <v>23</v>
      </c>
      <c r="C246" s="401">
        <v>441872</v>
      </c>
      <c r="D246" s="401">
        <v>197967</v>
      </c>
      <c r="E246" s="401">
        <v>192926</v>
      </c>
      <c r="F246" s="402">
        <v>480426</v>
      </c>
      <c r="G246" s="401">
        <v>591404</v>
      </c>
    </row>
    <row r="247" spans="1:7">
      <c r="A247" s="16"/>
      <c r="B247" s="205"/>
      <c r="C247" s="68"/>
      <c r="D247" s="68"/>
      <c r="E247" s="68"/>
      <c r="F247" s="344"/>
      <c r="G247" s="68"/>
    </row>
    <row r="248" spans="1:7">
      <c r="A248" s="16"/>
      <c r="B248" s="205"/>
      <c r="C248" s="68"/>
      <c r="D248" s="68"/>
      <c r="E248" s="68"/>
      <c r="F248" s="344"/>
      <c r="G248" s="68"/>
    </row>
    <row r="249" spans="1:7">
      <c r="A249" s="163"/>
      <c r="B249" s="404"/>
      <c r="C249" s="405"/>
      <c r="D249" s="405"/>
      <c r="E249" s="405"/>
      <c r="F249" s="406"/>
      <c r="G249" s="405"/>
    </row>
    <row r="250" spans="1:7" ht="16" thickBot="1">
      <c r="A250" s="413"/>
      <c r="B250" s="205"/>
      <c r="C250" s="68"/>
      <c r="D250" s="68"/>
      <c r="E250" s="68"/>
      <c r="F250" s="344"/>
      <c r="G250" s="68"/>
    </row>
    <row r="251" spans="1:7">
      <c r="A251" s="608" t="s">
        <v>256</v>
      </c>
      <c r="B251" s="609"/>
      <c r="C251" s="610"/>
      <c r="D251" s="610"/>
      <c r="E251" s="610"/>
      <c r="F251" s="611"/>
      <c r="G251" s="612"/>
    </row>
    <row r="252" spans="1:7">
      <c r="A252" s="613" t="s">
        <v>434</v>
      </c>
      <c r="B252" s="408" t="s">
        <v>435</v>
      </c>
      <c r="C252" s="403">
        <v>2011</v>
      </c>
      <c r="D252" s="403">
        <v>2010</v>
      </c>
      <c r="E252" s="403">
        <v>2009</v>
      </c>
      <c r="F252" s="346" t="s">
        <v>445</v>
      </c>
      <c r="G252" s="614">
        <v>2007</v>
      </c>
    </row>
    <row r="253" spans="1:7" ht="42">
      <c r="A253" s="598" t="s">
        <v>421</v>
      </c>
      <c r="B253" s="211" t="s">
        <v>11</v>
      </c>
      <c r="C253" s="401">
        <v>1253300</v>
      </c>
      <c r="D253" s="401">
        <v>1135100</v>
      </c>
      <c r="E253" s="415">
        <v>1350202</v>
      </c>
      <c r="F253" s="99">
        <v>1917502</v>
      </c>
      <c r="G253" s="599">
        <v>1519867</v>
      </c>
    </row>
    <row r="254" spans="1:7" ht="28">
      <c r="A254" s="600"/>
      <c r="B254" s="208" t="s">
        <v>2</v>
      </c>
      <c r="C254" s="68">
        <f>'Long Term Debt'!E76</f>
        <v>833348</v>
      </c>
      <c r="D254" s="68">
        <f>'Long Term Debt'!F76</f>
        <v>895281</v>
      </c>
      <c r="E254" s="68">
        <f>'Long Term Debt'!G76</f>
        <v>999760</v>
      </c>
      <c r="F254" s="68">
        <f>'Long Term Debt'!H76</f>
        <v>1389459</v>
      </c>
      <c r="G254" s="68">
        <f>'Long Term Debt'!I76</f>
        <v>1268593</v>
      </c>
    </row>
    <row r="255" spans="1:7" ht="28">
      <c r="A255" s="600"/>
      <c r="B255" s="208" t="s">
        <v>3</v>
      </c>
      <c r="C255" s="68"/>
      <c r="D255" s="68"/>
      <c r="E255" s="416"/>
      <c r="F255" s="94"/>
      <c r="G255" s="601"/>
    </row>
    <row r="256" spans="1:7">
      <c r="A256" s="598" t="s">
        <v>422</v>
      </c>
      <c r="B256" s="206" t="s">
        <v>8</v>
      </c>
      <c r="C256" s="401">
        <f>532141+833348</f>
        <v>1365489</v>
      </c>
      <c r="D256" s="401">
        <v>1279699</v>
      </c>
      <c r="E256" s="415">
        <v>1480371</v>
      </c>
      <c r="F256" s="99">
        <v>1925125</v>
      </c>
      <c r="G256" s="599">
        <v>2134234</v>
      </c>
    </row>
    <row r="257" spans="1:7" ht="42">
      <c r="A257" s="598" t="s">
        <v>423</v>
      </c>
      <c r="B257" s="210" t="s">
        <v>12</v>
      </c>
      <c r="C257" s="401">
        <v>33700</v>
      </c>
      <c r="D257" s="401">
        <v>-7600</v>
      </c>
      <c r="E257" s="415">
        <v>165825</v>
      </c>
      <c r="F257" s="99">
        <v>417384</v>
      </c>
      <c r="G257" s="599">
        <v>470009</v>
      </c>
    </row>
    <row r="258" spans="1:7">
      <c r="A258" s="602" t="s">
        <v>138</v>
      </c>
      <c r="B258" s="417" t="s">
        <v>138</v>
      </c>
      <c r="C258" s="401">
        <v>3137179</v>
      </c>
      <c r="D258" s="401">
        <v>3001507</v>
      </c>
      <c r="E258" s="415">
        <v>2929408</v>
      </c>
      <c r="F258" s="99">
        <v>3064805</v>
      </c>
      <c r="G258" s="599">
        <v>2874968</v>
      </c>
    </row>
    <row r="259" spans="1:7">
      <c r="A259" s="600"/>
      <c r="B259" s="208"/>
      <c r="C259" s="68"/>
      <c r="D259" s="68"/>
      <c r="E259" s="416"/>
      <c r="F259" s="94"/>
      <c r="G259" s="601"/>
    </row>
    <row r="260" spans="1:7" ht="56">
      <c r="A260" s="600"/>
      <c r="B260" s="208" t="s">
        <v>15</v>
      </c>
      <c r="C260" s="68"/>
      <c r="D260" s="68"/>
      <c r="E260" s="416"/>
      <c r="F260" s="94"/>
      <c r="G260" s="601"/>
    </row>
    <row r="261" spans="1:7" ht="16" thickBot="1">
      <c r="A261" s="603" t="s">
        <v>424</v>
      </c>
      <c r="B261" s="604" t="s">
        <v>23</v>
      </c>
      <c r="C261" s="605">
        <v>1771690</v>
      </c>
      <c r="D261" s="605">
        <v>1721800</v>
      </c>
      <c r="E261" s="615">
        <v>1449037</v>
      </c>
      <c r="F261" s="616">
        <v>1139680</v>
      </c>
      <c r="G261" s="607">
        <v>740734</v>
      </c>
    </row>
    <row r="262" spans="1:7">
      <c r="A262" s="16"/>
      <c r="B262" s="205"/>
      <c r="C262" s="68"/>
      <c r="D262" s="68"/>
      <c r="E262" s="68"/>
      <c r="F262" s="344"/>
      <c r="G262" s="68"/>
    </row>
    <row r="263" spans="1:7" ht="16" thickBot="1">
      <c r="A263" s="16"/>
      <c r="B263" s="205"/>
      <c r="C263" s="68"/>
      <c r="D263" s="68"/>
      <c r="E263" s="68"/>
      <c r="F263" s="344"/>
      <c r="G263" s="68"/>
    </row>
    <row r="264" spans="1:7">
      <c r="A264" s="593" t="s">
        <v>437</v>
      </c>
      <c r="B264" s="594" t="s">
        <v>435</v>
      </c>
      <c r="C264" s="595">
        <v>2011</v>
      </c>
      <c r="D264" s="595">
        <v>2010</v>
      </c>
      <c r="E264" s="595">
        <v>2009</v>
      </c>
      <c r="F264" s="596" t="s">
        <v>445</v>
      </c>
      <c r="G264" s="597">
        <v>2007</v>
      </c>
    </row>
    <row r="265" spans="1:7" ht="42">
      <c r="A265" s="598" t="s">
        <v>421</v>
      </c>
      <c r="B265" s="211" t="s">
        <v>11</v>
      </c>
      <c r="C265" s="401">
        <v>608568</v>
      </c>
      <c r="D265" s="401">
        <v>568263</v>
      </c>
      <c r="E265" s="415">
        <v>477695</v>
      </c>
      <c r="F265" s="99">
        <v>582431</v>
      </c>
      <c r="G265" s="599">
        <v>452754</v>
      </c>
    </row>
    <row r="266" spans="1:7" ht="28">
      <c r="A266" s="600"/>
      <c r="B266" s="208" t="s">
        <v>2</v>
      </c>
      <c r="C266" s="68">
        <f>'Long Term Debt'!E77</f>
        <v>142300</v>
      </c>
      <c r="D266" s="68">
        <f>'Long Term Debt'!F77</f>
        <v>100402</v>
      </c>
      <c r="E266" s="68">
        <f>'Long Term Debt'!G77</f>
        <v>72790</v>
      </c>
      <c r="F266" s="68">
        <f>'Long Term Debt'!H77</f>
        <v>55735</v>
      </c>
      <c r="G266" s="68">
        <f>'Long Term Debt'!I77</f>
        <v>93672</v>
      </c>
    </row>
    <row r="267" spans="1:7" ht="28">
      <c r="A267" s="600"/>
      <c r="B267" s="208" t="s">
        <v>3</v>
      </c>
      <c r="C267" s="68"/>
      <c r="D267" s="68"/>
      <c r="E267" s="416"/>
      <c r="F267" s="94"/>
      <c r="G267" s="601"/>
    </row>
    <row r="268" spans="1:7">
      <c r="A268" s="598" t="s">
        <v>422</v>
      </c>
      <c r="B268" s="206" t="s">
        <v>8</v>
      </c>
      <c r="C268" s="401">
        <v>360161</v>
      </c>
      <c r="D268" s="401">
        <v>308145</v>
      </c>
      <c r="E268" s="415">
        <v>304423</v>
      </c>
      <c r="F268" s="99">
        <v>293254</v>
      </c>
      <c r="G268" s="599">
        <v>284808</v>
      </c>
    </row>
    <row r="269" spans="1:7" ht="42">
      <c r="A269" s="598" t="s">
        <v>423</v>
      </c>
      <c r="B269" s="210" t="s">
        <v>12</v>
      </c>
      <c r="C269" s="401">
        <v>170688</v>
      </c>
      <c r="D269" s="401">
        <v>155783</v>
      </c>
      <c r="E269" s="415">
        <v>162470</v>
      </c>
      <c r="F269" s="99">
        <v>113791</v>
      </c>
      <c r="G269" s="599">
        <v>135014</v>
      </c>
    </row>
    <row r="270" spans="1:7">
      <c r="A270" s="602" t="s">
        <v>138</v>
      </c>
      <c r="B270" s="417" t="s">
        <v>138</v>
      </c>
      <c r="C270" s="401">
        <v>1333183</v>
      </c>
      <c r="D270" s="401">
        <v>1216917</v>
      </c>
      <c r="E270" s="415">
        <v>1144278</v>
      </c>
      <c r="F270" s="99">
        <v>954317</v>
      </c>
      <c r="G270" s="599">
        <v>852640</v>
      </c>
    </row>
    <row r="271" spans="1:7">
      <c r="A271" s="600"/>
      <c r="B271" s="208"/>
      <c r="C271" s="68"/>
      <c r="D271" s="68"/>
      <c r="E271" s="416"/>
      <c r="F271" s="94"/>
      <c r="G271" s="601"/>
    </row>
    <row r="272" spans="1:7" ht="56">
      <c r="A272" s="600"/>
      <c r="B272" s="208" t="s">
        <v>15</v>
      </c>
      <c r="C272" s="68"/>
      <c r="D272" s="68"/>
      <c r="E272" s="416"/>
      <c r="F272" s="94"/>
      <c r="G272" s="601"/>
    </row>
    <row r="273" spans="1:7" ht="16" thickBot="1">
      <c r="A273" s="603" t="s">
        <v>424</v>
      </c>
      <c r="B273" s="604" t="s">
        <v>23</v>
      </c>
      <c r="C273" s="605">
        <v>973021</v>
      </c>
      <c r="D273" s="605">
        <v>908771</v>
      </c>
      <c r="E273" s="615">
        <v>839856</v>
      </c>
      <c r="F273" s="616">
        <v>661063</v>
      </c>
      <c r="G273" s="607">
        <v>567834</v>
      </c>
    </row>
    <row r="274" spans="1:7">
      <c r="A274" s="16"/>
      <c r="B274" s="205"/>
      <c r="C274" s="68"/>
      <c r="D274" s="68"/>
      <c r="E274" s="68"/>
      <c r="F274" s="344"/>
      <c r="G274" s="68"/>
    </row>
    <row r="275" spans="1:7">
      <c r="A275" s="16"/>
      <c r="B275" s="205"/>
      <c r="C275" s="68"/>
      <c r="D275" s="68"/>
      <c r="E275" s="68"/>
      <c r="F275" s="344"/>
      <c r="G275" s="68"/>
    </row>
    <row r="276" spans="1:7">
      <c r="A276" s="16"/>
      <c r="B276" s="205"/>
      <c r="C276" s="68"/>
      <c r="D276" s="68"/>
      <c r="E276" s="68"/>
      <c r="F276" s="344"/>
      <c r="G276" s="68"/>
    </row>
    <row r="277" spans="1:7">
      <c r="A277" s="336" t="s">
        <v>446</v>
      </c>
      <c r="B277" s="205"/>
      <c r="C277" s="403">
        <v>2011</v>
      </c>
      <c r="D277" s="403">
        <v>2010</v>
      </c>
      <c r="E277" s="403">
        <v>2009</v>
      </c>
      <c r="F277" s="346" t="s">
        <v>445</v>
      </c>
      <c r="G277" s="403">
        <v>2007</v>
      </c>
    </row>
    <row r="278" spans="1:7" ht="42">
      <c r="A278" s="335" t="s">
        <v>421</v>
      </c>
      <c r="B278" s="211" t="s">
        <v>11</v>
      </c>
      <c r="C278" s="401">
        <v>762649</v>
      </c>
      <c r="D278" s="401">
        <v>422606</v>
      </c>
      <c r="E278" s="401">
        <v>366700</v>
      </c>
      <c r="F278" s="402">
        <v>636931</v>
      </c>
      <c r="G278" s="401">
        <v>757026</v>
      </c>
    </row>
    <row r="279" spans="1:7" ht="28">
      <c r="A279" s="209"/>
      <c r="B279" s="208" t="s">
        <v>2</v>
      </c>
      <c r="C279" s="587">
        <v>288075</v>
      </c>
      <c r="D279" s="587">
        <v>164413</v>
      </c>
      <c r="E279" s="587">
        <v>56179</v>
      </c>
      <c r="F279" s="587">
        <v>50196</v>
      </c>
      <c r="G279" s="575">
        <v>19335</v>
      </c>
    </row>
    <row r="280" spans="1:7" ht="28">
      <c r="A280" s="209"/>
      <c r="B280" s="208" t="s">
        <v>3</v>
      </c>
      <c r="C280" s="68"/>
      <c r="D280" s="68"/>
      <c r="E280" s="68"/>
      <c r="F280" s="344"/>
      <c r="G280" s="68"/>
    </row>
    <row r="281" spans="1:7">
      <c r="A281" s="335" t="s">
        <v>422</v>
      </c>
      <c r="B281" s="206" t="s">
        <v>8</v>
      </c>
      <c r="C281" s="401">
        <v>461073</v>
      </c>
      <c r="D281" s="401">
        <v>477578</v>
      </c>
      <c r="E281" s="401">
        <v>418204</v>
      </c>
      <c r="F281" s="402">
        <v>306030</v>
      </c>
      <c r="G281" s="401">
        <v>338757</v>
      </c>
    </row>
    <row r="282" spans="1:7" ht="42">
      <c r="A282" s="335" t="s">
        <v>423</v>
      </c>
      <c r="B282" s="210" t="s">
        <v>12</v>
      </c>
      <c r="C282" s="401">
        <v>-34338</v>
      </c>
      <c r="D282" s="401">
        <v>-203942</v>
      </c>
      <c r="E282" s="401">
        <v>-472508</v>
      </c>
      <c r="F282" s="402">
        <v>-376758</v>
      </c>
      <c r="G282" s="401">
        <v>-270016</v>
      </c>
    </row>
    <row r="283" spans="1:7">
      <c r="A283" s="418" t="s">
        <v>138</v>
      </c>
      <c r="B283" s="417" t="s">
        <v>138</v>
      </c>
      <c r="C283" s="401">
        <v>902945</v>
      </c>
      <c r="D283" s="401">
        <v>675545</v>
      </c>
      <c r="E283" s="401">
        <v>611130</v>
      </c>
      <c r="F283" s="402">
        <v>786456</v>
      </c>
      <c r="G283" s="401">
        <v>930161</v>
      </c>
    </row>
    <row r="284" spans="1:7">
      <c r="A284" s="209"/>
      <c r="B284" s="208"/>
      <c r="C284" s="68"/>
      <c r="D284" s="68"/>
      <c r="E284" s="68"/>
      <c r="F284" s="344"/>
      <c r="G284" s="68"/>
    </row>
    <row r="285" spans="1:7" ht="56">
      <c r="A285" s="209"/>
      <c r="B285" s="208" t="s">
        <v>15</v>
      </c>
      <c r="C285" s="68"/>
      <c r="D285" s="68"/>
      <c r="E285" s="68"/>
      <c r="F285" s="344"/>
      <c r="G285" s="68"/>
    </row>
    <row r="286" spans="1:7">
      <c r="A286" s="335" t="s">
        <v>424</v>
      </c>
      <c r="B286" s="203" t="s">
        <v>23</v>
      </c>
      <c r="C286" s="401">
        <v>441872</v>
      </c>
      <c r="D286" s="401">
        <v>197967</v>
      </c>
      <c r="E286" s="401">
        <v>192926</v>
      </c>
      <c r="F286" s="402">
        <v>480426</v>
      </c>
      <c r="G286" s="401">
        <v>591404</v>
      </c>
    </row>
    <row r="287" spans="1:7">
      <c r="A287" s="16"/>
      <c r="B287" s="205"/>
      <c r="C287" s="68"/>
      <c r="D287" s="68"/>
      <c r="E287" s="68"/>
      <c r="F287" s="344"/>
      <c r="G287" s="68"/>
    </row>
    <row r="288" spans="1:7">
      <c r="A288" s="16"/>
      <c r="B288" s="205"/>
      <c r="C288" s="68"/>
      <c r="D288" s="68"/>
      <c r="E288" s="68"/>
      <c r="F288" s="344"/>
      <c r="G288" s="68"/>
    </row>
    <row r="289" spans="1:7">
      <c r="A289" s="336" t="s">
        <v>447</v>
      </c>
      <c r="B289" s="205"/>
      <c r="C289" s="403">
        <v>2011</v>
      </c>
      <c r="D289" s="403">
        <v>2010</v>
      </c>
      <c r="E289" s="403">
        <v>2009</v>
      </c>
      <c r="F289" s="346" t="s">
        <v>445</v>
      </c>
      <c r="G289" s="403">
        <v>2007</v>
      </c>
    </row>
    <row r="290" spans="1:7" ht="42">
      <c r="A290" s="335" t="s">
        <v>421</v>
      </c>
      <c r="B290" s="211" t="s">
        <v>11</v>
      </c>
      <c r="C290" s="401">
        <v>459121</v>
      </c>
      <c r="D290" s="401">
        <v>322961</v>
      </c>
      <c r="E290" s="401">
        <v>222722</v>
      </c>
      <c r="F290" s="402">
        <v>168036</v>
      </c>
      <c r="G290" s="401">
        <v>131998</v>
      </c>
    </row>
    <row r="291" spans="1:7" ht="28">
      <c r="A291" s="209"/>
      <c r="B291" s="208" t="s">
        <v>2</v>
      </c>
      <c r="C291" s="587">
        <v>5513951</v>
      </c>
      <c r="D291" s="587">
        <v>4101727</v>
      </c>
      <c r="E291" s="587">
        <v>3331025</v>
      </c>
      <c r="F291" s="587">
        <v>2170504</v>
      </c>
      <c r="G291" s="587">
        <v>2266486</v>
      </c>
    </row>
    <row r="292" spans="1:7" ht="28">
      <c r="A292" s="209"/>
      <c r="B292" s="208" t="s">
        <v>3</v>
      </c>
      <c r="C292" s="68"/>
      <c r="D292" s="68"/>
      <c r="E292" s="68"/>
      <c r="F292" s="344"/>
      <c r="G292" s="68"/>
    </row>
    <row r="293" spans="1:7">
      <c r="A293" s="335" t="s">
        <v>422</v>
      </c>
      <c r="B293" s="206" t="s">
        <v>8</v>
      </c>
      <c r="C293" s="401">
        <v>1758328</v>
      </c>
      <c r="D293" s="401">
        <v>1484146</v>
      </c>
      <c r="E293" s="401">
        <v>614292</v>
      </c>
      <c r="F293" s="402">
        <v>507910</v>
      </c>
      <c r="G293" s="401">
        <v>801452</v>
      </c>
    </row>
    <row r="294" spans="1:7" ht="42">
      <c r="A294" s="335" t="s">
        <v>423</v>
      </c>
      <c r="B294" s="210" t="s">
        <v>12</v>
      </c>
      <c r="C294" s="401">
        <v>-18517</v>
      </c>
      <c r="D294" s="401">
        <v>424757</v>
      </c>
      <c r="E294" s="401">
        <v>76253</v>
      </c>
      <c r="F294" s="402">
        <v>-10523</v>
      </c>
      <c r="G294" s="401">
        <v>127101</v>
      </c>
    </row>
    <row r="295" spans="1:7">
      <c r="A295" s="418" t="s">
        <v>138</v>
      </c>
      <c r="B295" s="417" t="s">
        <v>138</v>
      </c>
      <c r="C295" s="401">
        <v>2806602</v>
      </c>
      <c r="D295" s="401">
        <v>2264632</v>
      </c>
      <c r="E295" s="401">
        <v>970021</v>
      </c>
      <c r="F295" s="402">
        <v>737492</v>
      </c>
      <c r="G295" s="401">
        <v>1033831</v>
      </c>
    </row>
    <row r="296" spans="1:7">
      <c r="A296" s="209"/>
      <c r="B296" s="208"/>
      <c r="C296" s="68"/>
      <c r="D296" s="68"/>
      <c r="E296" s="68"/>
      <c r="F296" s="344"/>
      <c r="G296" s="68"/>
    </row>
    <row r="297" spans="1:7" ht="56">
      <c r="A297" s="209"/>
      <c r="B297" s="208" t="s">
        <v>15</v>
      </c>
      <c r="C297" s="68"/>
      <c r="D297" s="68"/>
      <c r="E297" s="68"/>
      <c r="F297" s="344"/>
      <c r="G297" s="68"/>
    </row>
    <row r="298" spans="1:7">
      <c r="A298" s="335" t="s">
        <v>424</v>
      </c>
      <c r="B298" s="203" t="s">
        <v>23</v>
      </c>
      <c r="C298" s="401">
        <v>1048274</v>
      </c>
      <c r="D298" s="401">
        <v>780486</v>
      </c>
      <c r="E298" s="401">
        <v>355729</v>
      </c>
      <c r="F298" s="402">
        <v>229581</v>
      </c>
      <c r="G298" s="401">
        <v>232378</v>
      </c>
    </row>
    <row r="299" spans="1:7">
      <c r="A299" s="16"/>
      <c r="B299" s="205"/>
      <c r="C299" s="68"/>
      <c r="D299" s="68"/>
      <c r="E299" s="68"/>
      <c r="F299" s="344"/>
      <c r="G299" s="68"/>
    </row>
    <row r="300" spans="1:7">
      <c r="A300" s="16"/>
      <c r="B300" s="205"/>
      <c r="C300" s="68"/>
      <c r="D300" s="68"/>
      <c r="E300" s="68"/>
      <c r="F300" s="344"/>
      <c r="G300" s="68"/>
    </row>
    <row r="301" spans="1:7">
      <c r="A301" s="163"/>
      <c r="B301" s="404"/>
      <c r="C301" s="405"/>
      <c r="D301" s="405"/>
      <c r="E301" s="405"/>
      <c r="F301" s="406"/>
      <c r="G301" s="405"/>
    </row>
    <row r="302" spans="1:7">
      <c r="A302" s="16"/>
      <c r="B302" s="205"/>
      <c r="C302" s="68"/>
      <c r="D302" s="68"/>
      <c r="E302" s="68"/>
      <c r="F302" s="344"/>
      <c r="G302" s="68"/>
    </row>
    <row r="303" spans="1:7">
      <c r="A303" s="50" t="s">
        <v>257</v>
      </c>
      <c r="B303" s="205"/>
      <c r="C303" s="68"/>
      <c r="D303" s="68"/>
      <c r="E303" s="68"/>
      <c r="F303" s="344"/>
      <c r="G303" s="68"/>
    </row>
    <row r="304" spans="1:7">
      <c r="A304" s="336" t="s">
        <v>448</v>
      </c>
      <c r="B304" s="205"/>
      <c r="C304" s="403">
        <v>2009</v>
      </c>
      <c r="D304" s="403">
        <v>2008</v>
      </c>
      <c r="E304" s="403">
        <v>2007</v>
      </c>
      <c r="F304" s="346" t="s">
        <v>449</v>
      </c>
      <c r="G304" s="403">
        <v>2005</v>
      </c>
    </row>
    <row r="305" spans="1:7" ht="42">
      <c r="A305" s="335" t="s">
        <v>421</v>
      </c>
      <c r="B305" s="211" t="s">
        <v>11</v>
      </c>
      <c r="C305" s="401">
        <v>12745000</v>
      </c>
      <c r="D305" s="401">
        <v>14149000</v>
      </c>
      <c r="E305" s="401">
        <v>13836000</v>
      </c>
      <c r="F305" s="402">
        <v>13319000</v>
      </c>
      <c r="G305" s="401">
        <v>10214000</v>
      </c>
    </row>
    <row r="306" spans="1:7" ht="28">
      <c r="A306" s="209"/>
      <c r="B306" s="208" t="s">
        <v>2</v>
      </c>
      <c r="C306" s="587">
        <v>5635000</v>
      </c>
      <c r="D306" s="587">
        <v>7090000</v>
      </c>
      <c r="E306" s="587">
        <v>3566000</v>
      </c>
      <c r="F306" s="587">
        <v>3052000</v>
      </c>
      <c r="G306" s="587">
        <v>1950000</v>
      </c>
    </row>
    <row r="307" spans="1:7" ht="28">
      <c r="A307" s="209"/>
      <c r="B307" s="208" t="s">
        <v>3</v>
      </c>
      <c r="C307" s="68"/>
      <c r="D307" s="68"/>
      <c r="E307" s="68"/>
      <c r="F307" s="344"/>
      <c r="G307" s="68"/>
    </row>
    <row r="308" spans="1:7">
      <c r="A308" s="335" t="s">
        <v>422</v>
      </c>
      <c r="B308" s="206" t="s">
        <v>8</v>
      </c>
      <c r="C308" s="401">
        <v>9946000</v>
      </c>
      <c r="D308" s="401">
        <v>12650000</v>
      </c>
      <c r="E308" s="401">
        <v>11028000</v>
      </c>
      <c r="F308" s="402">
        <v>11380000</v>
      </c>
      <c r="G308" s="401">
        <v>4714000</v>
      </c>
    </row>
    <row r="309" spans="1:7" ht="42">
      <c r="A309" s="335" t="s">
        <v>423</v>
      </c>
      <c r="B309" s="210" t="s">
        <v>12</v>
      </c>
      <c r="C309" s="401">
        <v>395000</v>
      </c>
      <c r="D309" s="401">
        <v>-906000</v>
      </c>
      <c r="E309" s="401">
        <v>635000</v>
      </c>
      <c r="F309" s="402">
        <v>2143000</v>
      </c>
      <c r="G309" s="401">
        <v>874000</v>
      </c>
    </row>
    <row r="310" spans="1:7">
      <c r="A310" s="418" t="s">
        <v>138</v>
      </c>
      <c r="B310" s="417" t="s">
        <v>138</v>
      </c>
      <c r="C310" s="401">
        <v>15220000</v>
      </c>
      <c r="D310" s="401">
        <v>16391000</v>
      </c>
      <c r="E310" s="401">
        <v>15991000</v>
      </c>
      <c r="F310" s="402">
        <v>16549000</v>
      </c>
      <c r="G310" s="401">
        <v>7935000</v>
      </c>
    </row>
    <row r="311" spans="1:7">
      <c r="A311" s="209"/>
      <c r="B311" s="208"/>
      <c r="C311" s="68"/>
      <c r="D311" s="68"/>
      <c r="E311" s="68"/>
      <c r="F311" s="344"/>
      <c r="G311" s="68"/>
    </row>
    <row r="312" spans="1:7" ht="56">
      <c r="A312" s="209"/>
      <c r="B312" s="208" t="s">
        <v>15</v>
      </c>
      <c r="C312" s="68"/>
      <c r="D312" s="68"/>
      <c r="E312" s="68"/>
      <c r="F312" s="344"/>
      <c r="G312" s="68"/>
    </row>
    <row r="313" spans="1:7">
      <c r="A313" s="335" t="s">
        <v>424</v>
      </c>
      <c r="B313" s="203" t="s">
        <v>23</v>
      </c>
      <c r="C313" s="401">
        <v>5274000</v>
      </c>
      <c r="D313" s="401">
        <v>3741000</v>
      </c>
      <c r="E313" s="401">
        <v>4963000</v>
      </c>
      <c r="F313" s="402">
        <v>5169000</v>
      </c>
      <c r="G313" s="401">
        <v>3221000</v>
      </c>
    </row>
    <row r="314" spans="1:7">
      <c r="A314" s="16"/>
      <c r="B314" s="205"/>
      <c r="C314" s="68"/>
      <c r="D314" s="68"/>
      <c r="E314" s="68"/>
      <c r="F314" s="344"/>
      <c r="G314" s="68"/>
    </row>
    <row r="315" spans="1:7">
      <c r="A315" s="16"/>
      <c r="B315" s="205"/>
      <c r="C315" s="68"/>
      <c r="D315" s="68"/>
      <c r="E315" s="68"/>
      <c r="F315" s="344"/>
      <c r="G315" s="68"/>
    </row>
    <row r="316" spans="1:7">
      <c r="A316" s="336" t="s">
        <v>450</v>
      </c>
      <c r="B316" s="205"/>
      <c r="C316" s="403">
        <v>2009</v>
      </c>
      <c r="D316" s="403">
        <v>2008</v>
      </c>
      <c r="E316" s="403">
        <v>2007</v>
      </c>
      <c r="F316" s="346" t="s">
        <v>449</v>
      </c>
      <c r="G316" s="403">
        <v>2005</v>
      </c>
    </row>
    <row r="317" spans="1:7" ht="42">
      <c r="A317" s="335" t="s">
        <v>421</v>
      </c>
      <c r="B317" s="211" t="s">
        <v>11</v>
      </c>
      <c r="C317" s="401">
        <v>1741095</v>
      </c>
      <c r="D317" s="401">
        <v>1778112</v>
      </c>
      <c r="E317" s="401">
        <v>1855831</v>
      </c>
      <c r="F317" s="402">
        <v>1649716</v>
      </c>
      <c r="G317" s="401">
        <v>1514729</v>
      </c>
    </row>
    <row r="318" spans="1:7" ht="28">
      <c r="A318" s="209"/>
      <c r="B318" s="208" t="s">
        <v>2</v>
      </c>
      <c r="C318" s="587">
        <v>496500</v>
      </c>
      <c r="D318" s="587">
        <v>394617</v>
      </c>
      <c r="E318" s="587">
        <v>416886</v>
      </c>
      <c r="F318" s="587">
        <v>274580</v>
      </c>
      <c r="G318" s="587">
        <v>181774</v>
      </c>
    </row>
    <row r="319" spans="1:7" ht="28">
      <c r="A319" s="209"/>
      <c r="B319" s="208" t="s">
        <v>3</v>
      </c>
      <c r="C319" s="68"/>
      <c r="D319" s="68"/>
      <c r="E319" s="68"/>
      <c r="F319" s="344"/>
      <c r="G319" s="68"/>
    </row>
    <row r="320" spans="1:7">
      <c r="A320" s="335" t="s">
        <v>422</v>
      </c>
      <c r="B320" s="206" t="s">
        <v>8</v>
      </c>
      <c r="C320" s="401">
        <v>965521</v>
      </c>
      <c r="D320" s="401">
        <v>1056145</v>
      </c>
      <c r="E320" s="401">
        <v>1107585</v>
      </c>
      <c r="F320" s="402">
        <v>963209</v>
      </c>
      <c r="G320" s="401">
        <v>722567</v>
      </c>
    </row>
    <row r="321" spans="1:7" ht="42">
      <c r="A321" s="335" t="s">
        <v>423</v>
      </c>
      <c r="B321" s="210" t="s">
        <v>12</v>
      </c>
      <c r="C321" s="401">
        <v>37720</v>
      </c>
      <c r="D321" s="401">
        <v>9404</v>
      </c>
      <c r="E321" s="401">
        <v>9037</v>
      </c>
      <c r="F321" s="402">
        <v>20585</v>
      </c>
      <c r="G321" s="401">
        <v>44622</v>
      </c>
    </row>
    <row r="322" spans="1:7">
      <c r="A322" s="418" t="s">
        <v>138</v>
      </c>
      <c r="B322" s="417" t="s">
        <v>138</v>
      </c>
      <c r="C322" s="401">
        <v>1582580</v>
      </c>
      <c r="D322" s="401">
        <v>1644608</v>
      </c>
      <c r="E322" s="401">
        <v>1696914</v>
      </c>
      <c r="F322" s="402">
        <v>1550502</v>
      </c>
      <c r="G322" s="401">
        <v>1306964</v>
      </c>
    </row>
    <row r="323" spans="1:7">
      <c r="A323" s="209"/>
      <c r="B323" s="208"/>
      <c r="C323" s="68"/>
      <c r="D323" s="68"/>
      <c r="E323" s="68"/>
      <c r="F323" s="344"/>
      <c r="G323" s="68"/>
    </row>
    <row r="324" spans="1:7" ht="56">
      <c r="A324" s="209"/>
      <c r="B324" s="208" t="s">
        <v>15</v>
      </c>
      <c r="C324" s="68"/>
      <c r="D324" s="68"/>
      <c r="E324" s="68"/>
      <c r="F324" s="344"/>
      <c r="G324" s="68"/>
    </row>
    <row r="325" spans="1:7">
      <c r="A325" s="335" t="s">
        <v>424</v>
      </c>
      <c r="B325" s="203" t="s">
        <v>23</v>
      </c>
      <c r="C325" s="401">
        <v>617059</v>
      </c>
      <c r="D325" s="401">
        <v>588462</v>
      </c>
      <c r="E325" s="401">
        <v>589329</v>
      </c>
      <c r="F325" s="402">
        <v>587293</v>
      </c>
      <c r="G325" s="401">
        <v>584397</v>
      </c>
    </row>
    <row r="326" spans="1:7">
      <c r="A326" s="16"/>
      <c r="B326" s="205"/>
      <c r="C326" s="68"/>
      <c r="D326" s="68"/>
      <c r="E326" s="68"/>
      <c r="F326" s="344"/>
      <c r="G326" s="68"/>
    </row>
    <row r="327" spans="1:7">
      <c r="A327" s="16"/>
      <c r="B327" s="205"/>
      <c r="C327" s="68"/>
      <c r="D327" s="68"/>
      <c r="E327" s="68"/>
      <c r="F327" s="344"/>
      <c r="G327" s="68"/>
    </row>
    <row r="328" spans="1:7">
      <c r="A328" s="336" t="s">
        <v>470</v>
      </c>
      <c r="B328" s="205"/>
      <c r="C328" s="403">
        <v>2009</v>
      </c>
      <c r="D328" s="403">
        <v>2008</v>
      </c>
      <c r="E328" s="403">
        <v>2007</v>
      </c>
      <c r="F328" s="346" t="s">
        <v>449</v>
      </c>
      <c r="G328" s="403">
        <v>2005</v>
      </c>
    </row>
    <row r="329" spans="1:7" ht="42">
      <c r="A329" s="335" t="s">
        <v>421</v>
      </c>
      <c r="B329" s="211" t="s">
        <v>11</v>
      </c>
      <c r="C329" s="401">
        <v>612738</v>
      </c>
      <c r="D329" s="401">
        <v>497106</v>
      </c>
      <c r="E329" s="401">
        <v>315466</v>
      </c>
      <c r="F329" s="402">
        <v>213784</v>
      </c>
      <c r="G329" s="401">
        <v>153954</v>
      </c>
    </row>
    <row r="330" spans="1:7" ht="28">
      <c r="A330" s="209"/>
      <c r="B330" s="208" t="s">
        <v>2</v>
      </c>
      <c r="C330" s="587">
        <v>0</v>
      </c>
      <c r="D330" s="587">
        <v>0</v>
      </c>
      <c r="E330" s="587">
        <v>0</v>
      </c>
      <c r="F330" s="587">
        <v>355</v>
      </c>
      <c r="G330" s="587">
        <v>0</v>
      </c>
    </row>
    <row r="331" spans="1:7" ht="28">
      <c r="A331" s="209"/>
      <c r="B331" s="208" t="s">
        <v>3</v>
      </c>
      <c r="C331" s="68"/>
      <c r="D331" s="68"/>
      <c r="E331" s="68"/>
      <c r="F331" s="344"/>
      <c r="G331" s="68"/>
    </row>
    <row r="332" spans="1:7">
      <c r="A332" s="335" t="s">
        <v>422</v>
      </c>
      <c r="B332" s="206" t="s">
        <v>8</v>
      </c>
      <c r="C332" s="401">
        <v>218788</v>
      </c>
      <c r="D332" s="401">
        <v>205081</v>
      </c>
      <c r="E332" s="401">
        <v>81562</v>
      </c>
      <c r="F332" s="402">
        <v>62808</v>
      </c>
      <c r="G332" s="401">
        <v>35555</v>
      </c>
    </row>
    <row r="333" spans="1:7" ht="42">
      <c r="A333" s="335" t="s">
        <v>423</v>
      </c>
      <c r="B333" s="210" t="s">
        <v>12</v>
      </c>
      <c r="C333" s="401">
        <v>28457</v>
      </c>
      <c r="D333" s="401">
        <v>87704</v>
      </c>
      <c r="E333" s="401">
        <v>12468</v>
      </c>
      <c r="F333" s="402">
        <v>-18191</v>
      </c>
      <c r="G333" s="401">
        <v>2799</v>
      </c>
    </row>
    <row r="334" spans="1:7">
      <c r="A334" s="418" t="s">
        <v>138</v>
      </c>
      <c r="B334" s="417" t="s">
        <v>138</v>
      </c>
      <c r="C334" s="401">
        <v>821716</v>
      </c>
      <c r="D334" s="401">
        <v>803294</v>
      </c>
      <c r="E334" s="401">
        <v>613730</v>
      </c>
      <c r="F334" s="402">
        <v>562278</v>
      </c>
      <c r="G334" s="401">
        <v>325505</v>
      </c>
    </row>
    <row r="335" spans="1:7">
      <c r="A335" s="209"/>
      <c r="B335" s="208"/>
      <c r="C335" s="68"/>
      <c r="D335" s="68"/>
      <c r="E335" s="68"/>
      <c r="F335" s="344"/>
      <c r="G335" s="68"/>
    </row>
    <row r="336" spans="1:7" ht="56">
      <c r="A336" s="209"/>
      <c r="B336" s="208" t="s">
        <v>15</v>
      </c>
      <c r="C336" s="68"/>
      <c r="D336" s="68"/>
      <c r="E336" s="68"/>
      <c r="F336" s="344"/>
      <c r="G336" s="68"/>
    </row>
    <row r="337" spans="1:7">
      <c r="A337" s="335" t="s">
        <v>424</v>
      </c>
      <c r="B337" s="203" t="s">
        <v>23</v>
      </c>
      <c r="C337" s="401">
        <v>602927</v>
      </c>
      <c r="D337" s="401">
        <v>598213</v>
      </c>
      <c r="E337" s="401">
        <v>532168</v>
      </c>
      <c r="F337" s="402">
        <v>499470</v>
      </c>
      <c r="G337" s="401">
        <v>289950</v>
      </c>
    </row>
    <row r="338" spans="1:7">
      <c r="A338" s="16"/>
      <c r="B338" s="205"/>
      <c r="C338" s="68"/>
      <c r="D338" s="68"/>
      <c r="E338" s="68"/>
      <c r="F338" s="344"/>
      <c r="G338" s="68"/>
    </row>
    <row r="339" spans="1:7">
      <c r="A339" s="16"/>
      <c r="B339" s="205"/>
      <c r="C339" s="68"/>
      <c r="D339" s="68"/>
      <c r="E339" s="68"/>
      <c r="F339" s="344"/>
      <c r="G339" s="68"/>
    </row>
    <row r="340" spans="1:7">
      <c r="A340" s="163"/>
      <c r="B340" s="404"/>
      <c r="C340" s="405"/>
      <c r="D340" s="405"/>
      <c r="E340" s="405"/>
      <c r="F340" s="406"/>
      <c r="G340" s="405"/>
    </row>
    <row r="341" spans="1:7">
      <c r="A341" s="16"/>
      <c r="B341" s="205"/>
      <c r="C341" s="68"/>
      <c r="D341" s="68"/>
      <c r="E341" s="68"/>
      <c r="F341" s="344"/>
      <c r="G341" s="68"/>
    </row>
    <row r="342" spans="1:7">
      <c r="A342" s="414" t="s">
        <v>258</v>
      </c>
      <c r="B342" s="205"/>
      <c r="C342" s="68"/>
      <c r="D342" s="68"/>
      <c r="E342" s="68"/>
      <c r="F342" s="344"/>
      <c r="G342" s="68"/>
    </row>
    <row r="343" spans="1:7">
      <c r="A343" s="336" t="s">
        <v>472</v>
      </c>
      <c r="B343" s="205"/>
      <c r="C343" s="403">
        <v>2008</v>
      </c>
      <c r="D343" s="403">
        <v>2007</v>
      </c>
      <c r="E343" s="403">
        <v>2006</v>
      </c>
      <c r="F343" s="346" t="s">
        <v>471</v>
      </c>
      <c r="G343" s="403">
        <v>2004</v>
      </c>
    </row>
    <row r="344" spans="1:7" ht="42">
      <c r="A344" s="335" t="s">
        <v>421</v>
      </c>
      <c r="B344" s="211" t="s">
        <v>11</v>
      </c>
      <c r="C344" s="401">
        <v>818496</v>
      </c>
      <c r="D344" s="401">
        <v>635047</v>
      </c>
      <c r="E344" s="415">
        <v>393043</v>
      </c>
      <c r="F344" s="99">
        <v>267156</v>
      </c>
      <c r="G344" s="415">
        <v>240406</v>
      </c>
    </row>
    <row r="345" spans="1:7" ht="28">
      <c r="A345" s="209"/>
      <c r="B345" s="208" t="s">
        <v>2</v>
      </c>
      <c r="C345" s="587">
        <v>39846</v>
      </c>
      <c r="D345" s="587">
        <v>53142</v>
      </c>
      <c r="E345" s="587">
        <v>42235</v>
      </c>
      <c r="F345" s="587">
        <v>16187</v>
      </c>
      <c r="G345" s="587">
        <v>0</v>
      </c>
    </row>
    <row r="346" spans="1:7" ht="28">
      <c r="A346" s="209"/>
      <c r="B346" s="208" t="s">
        <v>3</v>
      </c>
      <c r="C346" s="68"/>
      <c r="D346" s="68"/>
      <c r="E346" s="416"/>
      <c r="F346" s="94"/>
      <c r="G346" s="209"/>
    </row>
    <row r="347" spans="1:7">
      <c r="A347" s="335" t="s">
        <v>422</v>
      </c>
      <c r="B347" s="206" t="s">
        <v>8</v>
      </c>
      <c r="C347" s="401">
        <v>281883</v>
      </c>
      <c r="D347" s="401">
        <v>232620</v>
      </c>
      <c r="E347" s="415">
        <v>130727</v>
      </c>
      <c r="F347" s="99">
        <v>85430</v>
      </c>
      <c r="G347" s="415">
        <v>68417</v>
      </c>
    </row>
    <row r="348" spans="1:7" ht="42">
      <c r="A348" s="335" t="s">
        <v>423</v>
      </c>
      <c r="B348" s="210" t="s">
        <v>12</v>
      </c>
      <c r="C348" s="401">
        <v>39439</v>
      </c>
      <c r="D348" s="401">
        <v>32939</v>
      </c>
      <c r="E348" s="415">
        <v>38215</v>
      </c>
      <c r="F348" s="99">
        <v>8261</v>
      </c>
      <c r="G348" s="415">
        <v>7836</v>
      </c>
    </row>
    <row r="349" spans="1:7">
      <c r="A349" s="418" t="s">
        <v>138</v>
      </c>
      <c r="B349" s="417" t="s">
        <v>138</v>
      </c>
      <c r="C349" s="401">
        <v>689040</v>
      </c>
      <c r="D349" s="401">
        <v>503327</v>
      </c>
      <c r="E349" s="415">
        <v>366449</v>
      </c>
      <c r="F349" s="99">
        <v>237534</v>
      </c>
      <c r="G349" s="415">
        <v>178475</v>
      </c>
    </row>
    <row r="350" spans="1:7">
      <c r="A350" s="209"/>
      <c r="B350" s="208"/>
      <c r="C350" s="68"/>
      <c r="D350" s="68"/>
      <c r="E350" s="416"/>
      <c r="F350" s="94"/>
      <c r="G350" s="209"/>
    </row>
    <row r="351" spans="1:7" ht="56">
      <c r="A351" s="209"/>
      <c r="B351" s="208" t="s">
        <v>15</v>
      </c>
      <c r="C351" s="68"/>
      <c r="D351" s="68"/>
      <c r="E351" s="416"/>
      <c r="F351" s="94"/>
      <c r="G351" s="209"/>
    </row>
    <row r="352" spans="1:7">
      <c r="A352" s="335" t="s">
        <v>424</v>
      </c>
      <c r="B352" s="203" t="s">
        <v>23</v>
      </c>
      <c r="C352" s="401">
        <v>407157</v>
      </c>
      <c r="D352" s="401">
        <v>270705</v>
      </c>
      <c r="E352" s="415">
        <v>235722</v>
      </c>
      <c r="F352" s="99">
        <v>152104</v>
      </c>
      <c r="G352" s="415">
        <v>110058</v>
      </c>
    </row>
    <row r="353" spans="1:7">
      <c r="A353" s="16"/>
      <c r="B353" s="205"/>
      <c r="C353" s="68"/>
      <c r="D353" s="68"/>
      <c r="E353" s="68"/>
      <c r="F353" s="344"/>
      <c r="G353" s="68"/>
    </row>
    <row r="354" spans="1:7">
      <c r="A354" s="16"/>
      <c r="B354" s="205"/>
      <c r="C354" s="68"/>
      <c r="D354" s="68"/>
      <c r="E354" s="68"/>
      <c r="F354" s="344"/>
      <c r="G354" s="68"/>
    </row>
    <row r="355" spans="1:7">
      <c r="A355" s="336" t="s">
        <v>473</v>
      </c>
      <c r="B355" s="205"/>
      <c r="C355" s="403">
        <v>2008</v>
      </c>
      <c r="D355" s="403">
        <v>2007</v>
      </c>
      <c r="E355" s="403">
        <v>2006</v>
      </c>
      <c r="F355" s="346" t="s">
        <v>471</v>
      </c>
      <c r="G355" s="403">
        <v>2004</v>
      </c>
    </row>
    <row r="356" spans="1:7" ht="42">
      <c r="A356" s="335" t="s">
        <v>421</v>
      </c>
      <c r="B356" s="211" t="s">
        <v>11</v>
      </c>
      <c r="C356" s="401">
        <v>14767800</v>
      </c>
      <c r="D356" s="401">
        <v>13210300</v>
      </c>
      <c r="E356" s="401">
        <v>8747000</v>
      </c>
      <c r="F356" s="402">
        <v>3482500</v>
      </c>
      <c r="G356" s="401">
        <v>4568800</v>
      </c>
    </row>
    <row r="357" spans="1:7" ht="28">
      <c r="A357" s="209"/>
      <c r="B357" s="208" t="s">
        <v>2</v>
      </c>
      <c r="C357" s="587">
        <v>156500</v>
      </c>
      <c r="D357" s="587">
        <v>113200</v>
      </c>
      <c r="E357" s="587">
        <v>64700</v>
      </c>
      <c r="F357" s="587">
        <v>29000</v>
      </c>
      <c r="G357" s="587">
        <v>132700</v>
      </c>
    </row>
    <row r="358" spans="1:7" ht="28">
      <c r="A358" s="209"/>
      <c r="B358" s="208" t="s">
        <v>3</v>
      </c>
      <c r="C358" s="68"/>
      <c r="D358" s="68"/>
      <c r="E358" s="68"/>
      <c r="F358" s="344"/>
      <c r="G358" s="68"/>
    </row>
    <row r="359" spans="1:7">
      <c r="A359" s="335" t="s">
        <v>422</v>
      </c>
      <c r="B359" s="206" t="s">
        <v>8</v>
      </c>
      <c r="C359" s="401">
        <v>5423800</v>
      </c>
      <c r="D359" s="401">
        <v>4624200</v>
      </c>
      <c r="E359" s="401">
        <v>4691400</v>
      </c>
      <c r="F359" s="402">
        <v>1640700</v>
      </c>
      <c r="G359" s="401">
        <v>1787400</v>
      </c>
    </row>
    <row r="360" spans="1:7" ht="42">
      <c r="A360" s="335" t="s">
        <v>423</v>
      </c>
      <c r="B360" s="210" t="s">
        <v>12</v>
      </c>
      <c r="C360" s="401">
        <v>431100</v>
      </c>
      <c r="D360" s="401">
        <v>423200</v>
      </c>
      <c r="E360" s="401">
        <v>-43400</v>
      </c>
      <c r="F360" s="402">
        <v>-153000</v>
      </c>
      <c r="G360" s="401">
        <v>-215500</v>
      </c>
    </row>
    <row r="361" spans="1:7">
      <c r="A361" s="418" t="s">
        <v>138</v>
      </c>
      <c r="B361" s="417" t="s">
        <v>138</v>
      </c>
      <c r="C361" s="401">
        <v>8282100</v>
      </c>
      <c r="D361" s="401">
        <v>6724600</v>
      </c>
      <c r="E361" s="401">
        <v>6445400</v>
      </c>
      <c r="F361" s="402">
        <v>1727200</v>
      </c>
      <c r="G361" s="401">
        <v>2581400</v>
      </c>
    </row>
    <row r="362" spans="1:7">
      <c r="A362" s="209"/>
      <c r="B362" s="208"/>
      <c r="C362" s="68"/>
      <c r="D362" s="68"/>
      <c r="E362" s="68"/>
      <c r="F362" s="344"/>
      <c r="G362" s="68"/>
    </row>
    <row r="363" spans="1:7" ht="56">
      <c r="A363" s="209"/>
      <c r="B363" s="208" t="s">
        <v>15</v>
      </c>
      <c r="C363" s="68"/>
      <c r="D363" s="68"/>
      <c r="E363" s="68"/>
      <c r="F363" s="344"/>
      <c r="G363" s="68"/>
    </row>
    <row r="364" spans="1:7">
      <c r="A364" s="335" t="s">
        <v>424</v>
      </c>
      <c r="B364" s="203" t="s">
        <v>23</v>
      </c>
      <c r="C364" s="401">
        <v>2858300</v>
      </c>
      <c r="D364" s="401">
        <v>2100400</v>
      </c>
      <c r="E364" s="401">
        <v>1754000</v>
      </c>
      <c r="F364" s="402">
        <v>86500</v>
      </c>
      <c r="G364" s="401">
        <v>794000</v>
      </c>
    </row>
    <row r="365" spans="1:7">
      <c r="A365" s="16"/>
      <c r="B365" s="205"/>
      <c r="C365" s="68"/>
      <c r="D365" s="68"/>
      <c r="E365" s="68"/>
      <c r="F365" s="344"/>
      <c r="G365" s="68"/>
    </row>
    <row r="366" spans="1:7">
      <c r="A366" s="16"/>
      <c r="B366" s="205"/>
      <c r="C366" s="68"/>
      <c r="D366" s="68"/>
      <c r="E366" s="68"/>
      <c r="F366" s="344"/>
      <c r="G366" s="68"/>
    </row>
    <row r="367" spans="1:7">
      <c r="A367" s="163"/>
      <c r="B367" s="404"/>
      <c r="C367" s="405"/>
      <c r="D367" s="405"/>
      <c r="E367" s="405"/>
      <c r="F367" s="406"/>
      <c r="G367" s="405"/>
    </row>
    <row r="368" spans="1:7">
      <c r="A368" s="16"/>
      <c r="B368" s="205"/>
      <c r="C368" s="68"/>
      <c r="D368" s="68"/>
      <c r="E368" s="68"/>
      <c r="F368" s="344"/>
      <c r="G368" s="68"/>
    </row>
    <row r="369" spans="1:7">
      <c r="A369" s="50" t="s">
        <v>259</v>
      </c>
      <c r="B369" s="205"/>
      <c r="C369" s="68"/>
      <c r="D369" s="68"/>
      <c r="E369" s="68"/>
      <c r="F369" s="344"/>
      <c r="G369" s="68"/>
    </row>
    <row r="370" spans="1:7">
      <c r="A370" s="336" t="s">
        <v>473</v>
      </c>
      <c r="B370" s="205"/>
      <c r="C370" s="403">
        <v>2016</v>
      </c>
      <c r="D370" s="403">
        <v>2015</v>
      </c>
      <c r="E370" s="403">
        <v>2014</v>
      </c>
      <c r="F370" s="346" t="s">
        <v>474</v>
      </c>
      <c r="G370" s="403">
        <v>2012</v>
      </c>
    </row>
    <row r="371" spans="1:7" ht="42">
      <c r="A371" s="335" t="s">
        <v>421</v>
      </c>
      <c r="B371" s="211" t="s">
        <v>11</v>
      </c>
      <c r="C371" s="401">
        <v>31188000</v>
      </c>
      <c r="D371" s="401">
        <v>27904000</v>
      </c>
      <c r="E371" s="401">
        <v>24588000</v>
      </c>
      <c r="F371" s="402">
        <v>22095800</v>
      </c>
      <c r="G371" s="401">
        <v>20930300</v>
      </c>
    </row>
    <row r="372" spans="1:7" ht="28">
      <c r="A372" s="209"/>
      <c r="B372" s="208" t="s">
        <v>2</v>
      </c>
      <c r="C372" s="587">
        <v>1348000</v>
      </c>
      <c r="D372" s="587">
        <v>1461000</v>
      </c>
      <c r="E372" s="587">
        <v>1371000</v>
      </c>
      <c r="F372" s="587">
        <v>1249200</v>
      </c>
      <c r="G372" s="587">
        <v>289400</v>
      </c>
    </row>
    <row r="373" spans="1:7" ht="28">
      <c r="A373" s="209"/>
      <c r="B373" s="208" t="s">
        <v>3</v>
      </c>
      <c r="C373" s="68"/>
      <c r="D373" s="68"/>
      <c r="E373" s="68"/>
      <c r="F373" s="344"/>
      <c r="G373" s="68"/>
    </row>
    <row r="374" spans="1:7">
      <c r="A374" s="335" t="s">
        <v>422</v>
      </c>
      <c r="B374" s="206" t="s">
        <v>8</v>
      </c>
      <c r="C374" s="401">
        <v>10256000</v>
      </c>
      <c r="D374" s="401">
        <v>10251000</v>
      </c>
      <c r="E374" s="401">
        <v>9075000</v>
      </c>
      <c r="F374" s="402">
        <v>7654600</v>
      </c>
      <c r="G374" s="401">
        <v>5968000</v>
      </c>
    </row>
    <row r="375" spans="1:7" ht="42">
      <c r="A375" s="335" t="s">
        <v>423</v>
      </c>
      <c r="B375" s="210" t="s">
        <v>12</v>
      </c>
      <c r="C375" s="401">
        <v>512000</v>
      </c>
      <c r="D375" s="401">
        <v>393000</v>
      </c>
      <c r="E375" s="401">
        <v>429000</v>
      </c>
      <c r="F375" s="402">
        <v>339900</v>
      </c>
      <c r="G375" s="401">
        <v>508200</v>
      </c>
    </row>
    <row r="376" spans="1:7">
      <c r="A376" s="418" t="s">
        <v>138</v>
      </c>
      <c r="B376" s="417" t="s">
        <v>138</v>
      </c>
      <c r="C376" s="401">
        <v>13456000</v>
      </c>
      <c r="D376" s="401">
        <v>13731000</v>
      </c>
      <c r="E376" s="401">
        <v>12624000</v>
      </c>
      <c r="F376" s="402">
        <v>11187300</v>
      </c>
      <c r="G376" s="401">
        <v>9802700</v>
      </c>
    </row>
    <row r="377" spans="1:7">
      <c r="A377" s="209"/>
      <c r="B377" s="208"/>
      <c r="C377" s="68"/>
      <c r="D377" s="68"/>
      <c r="E377" s="68"/>
      <c r="F377" s="344"/>
      <c r="G377" s="68"/>
    </row>
    <row r="378" spans="1:7" ht="56">
      <c r="A378" s="209"/>
      <c r="B378" s="208" t="s">
        <v>15</v>
      </c>
      <c r="C378" s="68"/>
      <c r="D378" s="68"/>
      <c r="E378" s="68"/>
      <c r="F378" s="344"/>
      <c r="G378" s="68"/>
    </row>
    <row r="379" spans="1:7">
      <c r="A379" s="335" t="s">
        <v>424</v>
      </c>
      <c r="B379" s="203" t="s">
        <v>23</v>
      </c>
      <c r="C379" s="401">
        <v>3200000</v>
      </c>
      <c r="D379" s="401">
        <v>3480000</v>
      </c>
      <c r="E379" s="401">
        <v>3549000</v>
      </c>
      <c r="F379" s="402">
        <v>3532900</v>
      </c>
      <c r="G379" s="401">
        <v>3834800</v>
      </c>
    </row>
    <row r="380" spans="1:7">
      <c r="A380" s="16"/>
      <c r="B380" s="205"/>
      <c r="C380" s="68"/>
      <c r="D380" s="68"/>
      <c r="E380" s="68"/>
      <c r="F380" s="344"/>
      <c r="G380" s="68"/>
    </row>
    <row r="381" spans="1:7" ht="16" thickBot="1">
      <c r="A381" s="16"/>
      <c r="B381" s="205"/>
      <c r="C381" s="68"/>
      <c r="D381" s="68"/>
      <c r="E381" s="68"/>
      <c r="F381" s="344"/>
      <c r="G381" s="68"/>
    </row>
    <row r="382" spans="1:7">
      <c r="A382" s="593" t="s">
        <v>481</v>
      </c>
      <c r="B382" s="594" t="s">
        <v>435</v>
      </c>
      <c r="C382" s="595">
        <v>2016</v>
      </c>
      <c r="D382" s="595">
        <v>2015</v>
      </c>
      <c r="E382" s="595">
        <v>2014</v>
      </c>
      <c r="F382" s="596" t="s">
        <v>474</v>
      </c>
      <c r="G382" s="597">
        <v>2012</v>
      </c>
    </row>
    <row r="383" spans="1:7" ht="42">
      <c r="A383" s="598" t="s">
        <v>421</v>
      </c>
      <c r="B383" s="211" t="s">
        <v>11</v>
      </c>
      <c r="C383" s="401">
        <v>197698</v>
      </c>
      <c r="D383" s="401">
        <v>193068</v>
      </c>
      <c r="E383" s="401">
        <v>167029</v>
      </c>
      <c r="F383" s="402">
        <v>124390</v>
      </c>
      <c r="G383" s="599">
        <v>131819</v>
      </c>
    </row>
    <row r="384" spans="1:7" ht="28">
      <c r="A384" s="600"/>
      <c r="B384" s="208" t="s">
        <v>2</v>
      </c>
      <c r="C384" s="68">
        <f>'Long Term Debt'!C72</f>
        <v>20293</v>
      </c>
      <c r="D384" s="68">
        <f>'Long Term Debt'!D72</f>
        <v>707</v>
      </c>
      <c r="E384" s="68">
        <f>'Long Term Debt'!E72</f>
        <v>11455</v>
      </c>
      <c r="F384" s="68">
        <f>'Long Term Debt'!F72</f>
        <v>10090</v>
      </c>
      <c r="G384" s="68">
        <f>'Long Term Debt'!G72</f>
        <v>5224</v>
      </c>
    </row>
    <row r="385" spans="1:7" ht="28">
      <c r="A385" s="600"/>
      <c r="B385" s="208" t="s">
        <v>3</v>
      </c>
      <c r="C385" s="68"/>
      <c r="D385" s="68"/>
      <c r="E385" s="68"/>
      <c r="F385" s="344"/>
      <c r="G385" s="601"/>
    </row>
    <row r="386" spans="1:7">
      <c r="A386" s="598" t="s">
        <v>422</v>
      </c>
      <c r="B386" s="206" t="s">
        <v>8</v>
      </c>
      <c r="C386" s="401">
        <v>58414</v>
      </c>
      <c r="D386" s="401">
        <v>46041</v>
      </c>
      <c r="E386" s="401">
        <v>42014</v>
      </c>
      <c r="F386" s="402">
        <v>31588</v>
      </c>
      <c r="G386" s="599">
        <v>24263</v>
      </c>
    </row>
    <row r="387" spans="1:7" ht="42">
      <c r="A387" s="598" t="s">
        <v>423</v>
      </c>
      <c r="B387" s="210" t="s">
        <v>12</v>
      </c>
      <c r="C387" s="401">
        <v>6424</v>
      </c>
      <c r="D387" s="401">
        <v>24191</v>
      </c>
      <c r="E387" s="401">
        <v>18549</v>
      </c>
      <c r="F387" s="402">
        <v>9577</v>
      </c>
      <c r="G387" s="599">
        <v>17550</v>
      </c>
    </row>
    <row r="388" spans="1:7">
      <c r="A388" s="602" t="s">
        <v>138</v>
      </c>
      <c r="B388" s="417" t="s">
        <v>138</v>
      </c>
      <c r="C388" s="401">
        <v>174684</v>
      </c>
      <c r="D388" s="401">
        <v>158447</v>
      </c>
      <c r="E388" s="401">
        <v>130538</v>
      </c>
      <c r="F388" s="402">
        <v>103831</v>
      </c>
      <c r="G388" s="599">
        <v>92913</v>
      </c>
    </row>
    <row r="389" spans="1:7">
      <c r="A389" s="600"/>
      <c r="B389" s="208"/>
      <c r="C389" s="68"/>
      <c r="D389" s="68"/>
      <c r="E389" s="68"/>
      <c r="F389" s="344"/>
      <c r="G389" s="601"/>
    </row>
    <row r="390" spans="1:7" ht="56">
      <c r="A390" s="600"/>
      <c r="B390" s="208" t="s">
        <v>15</v>
      </c>
      <c r="C390" s="68"/>
      <c r="D390" s="68"/>
      <c r="E390" s="68"/>
      <c r="F390" s="344"/>
      <c r="G390" s="601"/>
    </row>
    <row r="391" spans="1:7" ht="16" thickBot="1">
      <c r="A391" s="603" t="s">
        <v>424</v>
      </c>
      <c r="B391" s="604" t="s">
        <v>23</v>
      </c>
      <c r="C391" s="605">
        <v>116270</v>
      </c>
      <c r="D391" s="605">
        <v>112405</v>
      </c>
      <c r="E391" s="605">
        <v>88522</v>
      </c>
      <c r="F391" s="606">
        <v>72243</v>
      </c>
      <c r="G391" s="607">
        <v>68650</v>
      </c>
    </row>
    <row r="392" spans="1:7">
      <c r="A392" s="16"/>
      <c r="B392" s="205"/>
      <c r="C392" s="68"/>
      <c r="D392" s="68"/>
      <c r="E392" s="68"/>
      <c r="F392" s="344"/>
      <c r="G392" s="68"/>
    </row>
    <row r="393" spans="1:7">
      <c r="A393" s="16"/>
      <c r="B393" s="205"/>
      <c r="C393" s="68"/>
      <c r="D393" s="68"/>
      <c r="E393" s="68"/>
      <c r="F393" s="344"/>
      <c r="G393" s="68"/>
    </row>
    <row r="394" spans="1:7">
      <c r="A394" s="336" t="s">
        <v>482</v>
      </c>
      <c r="B394" s="205"/>
      <c r="C394" s="403">
        <v>2016</v>
      </c>
      <c r="D394" s="403">
        <v>2015</v>
      </c>
      <c r="E394" s="403">
        <v>2014</v>
      </c>
      <c r="F394" s="346" t="s">
        <v>474</v>
      </c>
      <c r="G394" s="403">
        <v>2012</v>
      </c>
    </row>
    <row r="395" spans="1:7" ht="42">
      <c r="A395" s="335" t="s">
        <v>421</v>
      </c>
      <c r="B395" s="211" t="s">
        <v>11</v>
      </c>
      <c r="C395" s="401">
        <v>2093001</v>
      </c>
      <c r="D395" s="401">
        <v>1951818</v>
      </c>
      <c r="E395" s="401">
        <v>1751300</v>
      </c>
      <c r="F395" s="402">
        <v>1631929</v>
      </c>
      <c r="G395" s="401">
        <v>1698774</v>
      </c>
    </row>
    <row r="396" spans="1:7" ht="28">
      <c r="A396" s="209"/>
      <c r="B396" s="208" t="s">
        <v>2</v>
      </c>
      <c r="C396" s="587">
        <v>68749</v>
      </c>
      <c r="D396" s="587">
        <v>71740</v>
      </c>
      <c r="E396" s="587">
        <v>28599</v>
      </c>
      <c r="F396" s="587">
        <v>46590</v>
      </c>
      <c r="G396" s="587">
        <v>51202</v>
      </c>
    </row>
    <row r="397" spans="1:7" ht="28">
      <c r="A397" s="209"/>
      <c r="B397" s="208" t="s">
        <v>3</v>
      </c>
      <c r="C397" s="68"/>
      <c r="D397" s="68"/>
      <c r="E397" s="68"/>
      <c r="F397" s="344"/>
      <c r="G397" s="68"/>
    </row>
    <row r="398" spans="1:7">
      <c r="A398" s="335" t="s">
        <v>422</v>
      </c>
      <c r="B398" s="206" t="s">
        <v>8</v>
      </c>
      <c r="C398" s="401">
        <v>768206</v>
      </c>
      <c r="D398" s="401">
        <v>707466</v>
      </c>
      <c r="E398" s="401">
        <v>657311</v>
      </c>
      <c r="F398" s="402">
        <v>614951</v>
      </c>
      <c r="G398" s="401">
        <v>547918</v>
      </c>
    </row>
    <row r="399" spans="1:7" ht="42">
      <c r="A399" s="335" t="s">
        <v>423</v>
      </c>
      <c r="B399" s="210" t="s">
        <v>12</v>
      </c>
      <c r="C399" s="401">
        <v>74551</v>
      </c>
      <c r="D399" s="401">
        <v>72225</v>
      </c>
      <c r="E399" s="401">
        <v>24289</v>
      </c>
      <c r="F399" s="402">
        <v>8329</v>
      </c>
      <c r="G399" s="401">
        <v>46397</v>
      </c>
    </row>
    <row r="400" spans="1:7">
      <c r="A400" s="418" t="s">
        <v>138</v>
      </c>
      <c r="B400" s="417" t="s">
        <v>138</v>
      </c>
      <c r="C400" s="401">
        <v>1353004</v>
      </c>
      <c r="D400" s="401">
        <v>1273975</v>
      </c>
      <c r="E400" s="401">
        <v>1151994</v>
      </c>
      <c r="F400" s="402">
        <v>1088660</v>
      </c>
      <c r="G400" s="401">
        <v>1017838</v>
      </c>
    </row>
    <row r="401" spans="1:7">
      <c r="A401" s="209"/>
      <c r="B401" s="208"/>
      <c r="C401" s="68"/>
      <c r="D401" s="68"/>
      <c r="E401" s="68"/>
      <c r="F401" s="344"/>
      <c r="G401" s="68"/>
    </row>
    <row r="402" spans="1:7" ht="56">
      <c r="A402" s="209"/>
      <c r="B402" s="208" t="s">
        <v>15</v>
      </c>
      <c r="C402" s="68"/>
      <c r="D402" s="68"/>
      <c r="E402" s="68"/>
      <c r="F402" s="344"/>
      <c r="G402" s="68"/>
    </row>
    <row r="403" spans="1:7">
      <c r="A403" s="335" t="s">
        <v>424</v>
      </c>
      <c r="B403" s="203" t="s">
        <v>23</v>
      </c>
      <c r="C403" s="401">
        <v>584799</v>
      </c>
      <c r="D403" s="401">
        <v>566510</v>
      </c>
      <c r="E403" s="401">
        <v>494683</v>
      </c>
      <c r="F403" s="402">
        <v>473709</v>
      </c>
      <c r="G403" s="401">
        <v>469921</v>
      </c>
    </row>
    <row r="404" spans="1:7">
      <c r="A404" s="16"/>
      <c r="B404" s="205"/>
      <c r="C404" s="68"/>
      <c r="D404" s="68"/>
      <c r="E404" s="68"/>
      <c r="F404" s="344"/>
      <c r="G404" s="68"/>
    </row>
    <row r="405" spans="1:7">
      <c r="A405" s="16"/>
      <c r="B405" s="205"/>
      <c r="C405" s="68"/>
      <c r="D405" s="68"/>
      <c r="E405" s="68"/>
      <c r="F405" s="344"/>
      <c r="G405" s="68"/>
    </row>
    <row r="406" spans="1:7">
      <c r="A406" s="336" t="s">
        <v>483</v>
      </c>
      <c r="B406" s="205"/>
      <c r="C406" s="403">
        <v>2016</v>
      </c>
      <c r="D406" s="403">
        <v>2015</v>
      </c>
      <c r="E406" s="403">
        <v>2014</v>
      </c>
      <c r="F406" s="346" t="s">
        <v>474</v>
      </c>
      <c r="G406" s="403">
        <v>2012</v>
      </c>
    </row>
    <row r="407" spans="1:7" ht="42">
      <c r="A407" s="335" t="s">
        <v>421</v>
      </c>
      <c r="B407" s="211" t="s">
        <v>11</v>
      </c>
      <c r="C407" s="401">
        <v>310241</v>
      </c>
      <c r="D407" s="401">
        <v>380371</v>
      </c>
      <c r="E407" s="401">
        <v>291670</v>
      </c>
      <c r="F407" s="402">
        <v>361132</v>
      </c>
      <c r="G407" s="401">
        <v>138034</v>
      </c>
    </row>
    <row r="408" spans="1:7" ht="28">
      <c r="A408" s="209"/>
      <c r="B408" s="208" t="s">
        <v>2</v>
      </c>
      <c r="C408" s="587">
        <v>64086</v>
      </c>
      <c r="D408" s="587">
        <v>67598</v>
      </c>
      <c r="E408" s="587">
        <v>58471</v>
      </c>
      <c r="F408" s="587">
        <v>63007</v>
      </c>
      <c r="G408" s="587">
        <v>37394</v>
      </c>
    </row>
    <row r="409" spans="1:7" ht="28">
      <c r="A409" s="209"/>
      <c r="B409" s="208" t="s">
        <v>3</v>
      </c>
      <c r="C409" s="68"/>
      <c r="D409" s="68"/>
      <c r="E409" s="68"/>
      <c r="F409" s="344"/>
      <c r="G409" s="68"/>
    </row>
    <row r="410" spans="1:7">
      <c r="A410" s="335" t="s">
        <v>422</v>
      </c>
      <c r="B410" s="206" t="s">
        <v>8</v>
      </c>
      <c r="C410" s="401">
        <v>192741</v>
      </c>
      <c r="D410" s="401">
        <v>204831</v>
      </c>
      <c r="E410" s="401">
        <v>179643</v>
      </c>
      <c r="F410" s="402">
        <v>156111</v>
      </c>
      <c r="G410" s="401">
        <v>100796</v>
      </c>
    </row>
    <row r="411" spans="1:7" ht="42">
      <c r="A411" s="335" t="s">
        <v>423</v>
      </c>
      <c r="B411" s="210" t="s">
        <v>12</v>
      </c>
      <c r="C411" s="401">
        <v>-4577</v>
      </c>
      <c r="D411" s="401">
        <v>11156</v>
      </c>
      <c r="E411" s="401">
        <v>1848</v>
      </c>
      <c r="F411" s="402">
        <v>25043</v>
      </c>
      <c r="G411" s="401">
        <v>6079</v>
      </c>
    </row>
    <row r="412" spans="1:7">
      <c r="A412" s="418" t="s">
        <v>138</v>
      </c>
      <c r="B412" s="417" t="s">
        <v>138</v>
      </c>
      <c r="C412" s="401">
        <v>262006</v>
      </c>
      <c r="D412" s="401">
        <v>278173</v>
      </c>
      <c r="E412" s="401">
        <v>256814</v>
      </c>
      <c r="F412" s="402">
        <v>232256</v>
      </c>
      <c r="G412" s="401">
        <v>141288</v>
      </c>
    </row>
    <row r="413" spans="1:7">
      <c r="A413" s="209"/>
      <c r="B413" s="208"/>
      <c r="C413" s="68"/>
      <c r="D413" s="68"/>
      <c r="E413" s="68"/>
      <c r="F413" s="344"/>
      <c r="G413" s="68"/>
    </row>
    <row r="414" spans="1:7" ht="56">
      <c r="A414" s="209"/>
      <c r="B414" s="208" t="s">
        <v>15</v>
      </c>
      <c r="C414" s="68"/>
      <c r="D414" s="68"/>
      <c r="E414" s="68"/>
      <c r="F414" s="344"/>
      <c r="G414" s="68"/>
    </row>
    <row r="415" spans="1:7">
      <c r="A415" s="335" t="s">
        <v>424</v>
      </c>
      <c r="B415" s="203" t="s">
        <v>23</v>
      </c>
      <c r="C415" s="401">
        <v>69265</v>
      </c>
      <c r="D415" s="401">
        <v>73341</v>
      </c>
      <c r="E415" s="401">
        <v>77171</v>
      </c>
      <c r="F415" s="402">
        <v>76145</v>
      </c>
      <c r="G415" s="401">
        <v>40492</v>
      </c>
    </row>
    <row r="418" spans="1:27" ht="34">
      <c r="A418" s="490" t="s">
        <v>0</v>
      </c>
      <c r="B418" s="468"/>
      <c r="C418" s="491" t="s">
        <v>19</v>
      </c>
      <c r="D418" s="491" t="s">
        <v>18</v>
      </c>
      <c r="E418" s="491" t="s">
        <v>17</v>
      </c>
      <c r="F418" s="491" t="s">
        <v>492</v>
      </c>
      <c r="G418" s="491" t="s">
        <v>16</v>
      </c>
      <c r="H418" s="466"/>
      <c r="I418" s="466"/>
      <c r="J418" s="466"/>
      <c r="K418" s="466"/>
      <c r="L418" s="509" t="s">
        <v>493</v>
      </c>
      <c r="M418" s="466"/>
      <c r="N418" s="466"/>
      <c r="O418" s="466"/>
      <c r="P418" s="466"/>
      <c r="Q418" s="466"/>
      <c r="R418" s="466"/>
      <c r="S418" s="466"/>
      <c r="T418" s="509" t="s">
        <v>494</v>
      </c>
      <c r="U418" s="466"/>
      <c r="V418" s="466"/>
      <c r="W418" s="466"/>
      <c r="X418" s="466"/>
      <c r="Y418" s="466"/>
      <c r="Z418" s="466"/>
      <c r="AA418" s="466"/>
    </row>
    <row r="419" spans="1:27">
      <c r="A419" s="480"/>
      <c r="B419" s="471"/>
      <c r="C419" s="492">
        <v>2018</v>
      </c>
      <c r="D419" s="492">
        <v>2017</v>
      </c>
      <c r="E419" s="492">
        <v>2016</v>
      </c>
      <c r="F419" s="492">
        <v>2015</v>
      </c>
      <c r="G419" s="492">
        <v>2014</v>
      </c>
      <c r="H419" s="466"/>
      <c r="I419" s="466"/>
      <c r="J419" s="474" t="s">
        <v>5</v>
      </c>
      <c r="K419" s="466"/>
      <c r="L419" s="466"/>
      <c r="M419" s="467"/>
      <c r="N419" s="467">
        <v>2018</v>
      </c>
      <c r="O419" s="502" t="s">
        <v>495</v>
      </c>
      <c r="P419" s="502" t="s">
        <v>496</v>
      </c>
      <c r="Q419" s="502" t="s">
        <v>497</v>
      </c>
      <c r="R419" s="502" t="s">
        <v>498</v>
      </c>
      <c r="S419" s="466"/>
      <c r="T419" s="466"/>
      <c r="U419" s="466"/>
      <c r="V419" s="467"/>
      <c r="W419" s="467">
        <v>2018</v>
      </c>
      <c r="X419" s="502" t="s">
        <v>495</v>
      </c>
      <c r="Y419" s="502" t="s">
        <v>496</v>
      </c>
      <c r="Z419" s="502" t="s">
        <v>497</v>
      </c>
      <c r="AA419" s="502" t="s">
        <v>498</v>
      </c>
    </row>
    <row r="420" spans="1:27" ht="18">
      <c r="A420" s="480"/>
      <c r="B420" s="469" t="s">
        <v>1</v>
      </c>
      <c r="C420" s="470">
        <v>39123</v>
      </c>
      <c r="D420" s="470">
        <v>44614</v>
      </c>
      <c r="E420" s="470">
        <v>49376</v>
      </c>
      <c r="F420" s="470">
        <v>60642</v>
      </c>
      <c r="G420" s="470">
        <v>66469</v>
      </c>
      <c r="H420" s="466"/>
      <c r="I420" s="466"/>
      <c r="J420" s="474" t="s">
        <v>6</v>
      </c>
      <c r="K420" s="466"/>
      <c r="L420" s="474" t="s">
        <v>151</v>
      </c>
      <c r="M420" s="469" t="s">
        <v>246</v>
      </c>
      <c r="N420" s="505">
        <v>125057</v>
      </c>
      <c r="O420" s="505">
        <v>35258</v>
      </c>
      <c r="P420" s="505">
        <v>58722</v>
      </c>
      <c r="Q420" s="505">
        <v>115096</v>
      </c>
      <c r="R420" s="505">
        <v>153963</v>
      </c>
      <c r="S420" s="466"/>
      <c r="T420" s="466"/>
      <c r="U420" s="474" t="s">
        <v>151</v>
      </c>
      <c r="V420" s="469" t="s">
        <v>246</v>
      </c>
      <c r="W420" s="505">
        <v>1243244</v>
      </c>
      <c r="X420" s="505">
        <v>786258</v>
      </c>
      <c r="Y420" s="505">
        <v>704749</v>
      </c>
      <c r="Z420" s="505">
        <v>692814</v>
      </c>
      <c r="AA420" s="505">
        <v>709209</v>
      </c>
    </row>
    <row r="421" spans="1:27">
      <c r="A421" s="480"/>
      <c r="B421" s="467"/>
      <c r="C421" s="467"/>
      <c r="D421" s="467"/>
      <c r="E421" s="467"/>
      <c r="F421" s="467"/>
      <c r="G421" s="467"/>
      <c r="H421" s="466"/>
      <c r="I421" s="466"/>
      <c r="J421" s="474" t="s">
        <v>7</v>
      </c>
      <c r="K421" s="466"/>
      <c r="L421" s="466"/>
      <c r="M421" s="467"/>
      <c r="N421" s="507"/>
      <c r="O421" s="507"/>
      <c r="P421" s="507"/>
      <c r="Q421" s="507"/>
      <c r="R421" s="507"/>
      <c r="S421" s="466"/>
      <c r="T421" s="466"/>
      <c r="U421" s="466"/>
      <c r="V421" s="467"/>
      <c r="W421" s="507"/>
      <c r="X421" s="507"/>
      <c r="Y421" s="507"/>
      <c r="Z421" s="507"/>
      <c r="AA421" s="507"/>
    </row>
    <row r="422" spans="1:27" ht="42">
      <c r="A422" s="489" t="s">
        <v>11</v>
      </c>
      <c r="B422" s="484" t="s">
        <v>11</v>
      </c>
      <c r="C422" s="485">
        <v>23504</v>
      </c>
      <c r="D422" s="485">
        <v>16927</v>
      </c>
      <c r="E422" s="485">
        <v>15580</v>
      </c>
      <c r="F422" s="485">
        <v>20669</v>
      </c>
      <c r="G422" s="485">
        <v>79957</v>
      </c>
      <c r="H422" s="466"/>
      <c r="I422" s="466"/>
      <c r="J422" s="474" t="s">
        <v>9</v>
      </c>
      <c r="K422" s="466"/>
      <c r="L422" s="474" t="s">
        <v>499</v>
      </c>
      <c r="M422" s="484" t="s">
        <v>247</v>
      </c>
      <c r="N422" s="505">
        <v>12967</v>
      </c>
      <c r="O422" s="505">
        <v>6518</v>
      </c>
      <c r="P422" s="505">
        <v>5461</v>
      </c>
      <c r="Q422" s="505">
        <v>0</v>
      </c>
      <c r="R422" s="505">
        <v>0</v>
      </c>
      <c r="S422" s="466"/>
      <c r="T422" s="466"/>
      <c r="U422" s="474" t="s">
        <v>499</v>
      </c>
      <c r="V422" s="484" t="s">
        <v>247</v>
      </c>
      <c r="W422" s="505">
        <v>15185</v>
      </c>
      <c r="X422" s="505">
        <v>10707</v>
      </c>
      <c r="Y422" s="505">
        <v>6795</v>
      </c>
      <c r="Z422" s="505">
        <v>6079</v>
      </c>
      <c r="AA422" s="506">
        <v>30713</v>
      </c>
    </row>
    <row r="423" spans="1:27" ht="42">
      <c r="A423" s="478" t="s">
        <v>2</v>
      </c>
      <c r="B423" s="478" t="s">
        <v>2</v>
      </c>
      <c r="C423" s="479">
        <v>42791</v>
      </c>
      <c r="D423" s="479">
        <v>42995</v>
      </c>
      <c r="E423" s="479">
        <v>41491</v>
      </c>
      <c r="F423" s="479">
        <v>44854</v>
      </c>
      <c r="G423" s="479">
        <v>6224</v>
      </c>
      <c r="H423" s="466"/>
      <c r="I423" s="466"/>
      <c r="J423" s="474" t="s">
        <v>10</v>
      </c>
      <c r="K423" s="466"/>
      <c r="L423" s="466"/>
      <c r="M423" s="478" t="s">
        <v>248</v>
      </c>
      <c r="N423" s="508">
        <f>'Long Term Debt'!C73</f>
        <v>55925</v>
      </c>
      <c r="O423" s="577">
        <f>'Long Term Debt'!D73</f>
        <v>11128</v>
      </c>
      <c r="P423" s="577">
        <f>'Long Term Debt'!E73</f>
        <v>2013</v>
      </c>
      <c r="Q423" s="577">
        <f>'Long Term Debt'!F73</f>
        <v>6232</v>
      </c>
      <c r="R423" s="577">
        <f>'Long Term Debt'!G73</f>
        <v>4376</v>
      </c>
      <c r="S423" s="466"/>
      <c r="T423" s="466"/>
      <c r="U423" s="466"/>
      <c r="V423" s="478" t="s">
        <v>248</v>
      </c>
      <c r="W423" s="508">
        <f>'Long Term Debt'!C74</f>
        <v>644000</v>
      </c>
      <c r="X423" s="577">
        <f>'Long Term Debt'!D74</f>
        <v>419000</v>
      </c>
      <c r="Y423" s="577">
        <f>'Long Term Debt'!E74</f>
        <v>529000</v>
      </c>
      <c r="Z423" s="577">
        <f>'Long Term Debt'!F74</f>
        <v>448000</v>
      </c>
      <c r="AA423" s="577">
        <f>'Long Term Debt'!G74</f>
        <v>349000</v>
      </c>
    </row>
    <row r="424" spans="1:27" ht="28">
      <c r="A424" s="478" t="s">
        <v>3</v>
      </c>
      <c r="B424" s="478" t="s">
        <v>3</v>
      </c>
      <c r="C424" s="479">
        <v>10158</v>
      </c>
      <c r="D424" s="479">
        <v>8273</v>
      </c>
      <c r="E424" s="479">
        <v>8850</v>
      </c>
      <c r="F424" s="479">
        <v>12009</v>
      </c>
      <c r="G424" s="479">
        <v>69490</v>
      </c>
      <c r="H424" s="466"/>
      <c r="I424" s="466"/>
      <c r="J424" s="466"/>
      <c r="K424" s="466"/>
      <c r="L424" s="466"/>
      <c r="M424" s="478" t="s">
        <v>249</v>
      </c>
      <c r="N424" s="508"/>
      <c r="O424" s="508"/>
      <c r="P424" s="508"/>
      <c r="Q424" s="508"/>
      <c r="R424" s="508"/>
      <c r="S424" s="466"/>
      <c r="T424" s="466"/>
      <c r="U424" s="466"/>
      <c r="V424" s="478" t="s">
        <v>249</v>
      </c>
      <c r="W424" s="508"/>
      <c r="X424" s="508"/>
      <c r="Y424" s="508"/>
      <c r="Z424" s="508"/>
      <c r="AA424" s="508"/>
    </row>
    <row r="425" spans="1:27" ht="18">
      <c r="A425" s="476" t="s">
        <v>8</v>
      </c>
      <c r="B425" s="476" t="s">
        <v>8</v>
      </c>
      <c r="C425" s="477">
        <v>52949</v>
      </c>
      <c r="D425" s="477">
        <v>51268</v>
      </c>
      <c r="E425" s="477">
        <v>50341</v>
      </c>
      <c r="F425" s="477">
        <v>56863</v>
      </c>
      <c r="G425" s="477">
        <v>75714</v>
      </c>
      <c r="H425" s="466"/>
      <c r="I425" s="466"/>
      <c r="J425" s="466"/>
      <c r="K425" s="466"/>
      <c r="L425" s="474" t="s">
        <v>500</v>
      </c>
      <c r="M425" s="476" t="s">
        <v>250</v>
      </c>
      <c r="N425" s="505">
        <v>78745</v>
      </c>
      <c r="O425" s="505">
        <v>17938</v>
      </c>
      <c r="P425" s="505">
        <v>4394</v>
      </c>
      <c r="Q425" s="505">
        <v>6925</v>
      </c>
      <c r="R425" s="505">
        <v>5906</v>
      </c>
      <c r="S425" s="466"/>
      <c r="T425" s="466"/>
      <c r="U425" s="474" t="s">
        <v>500</v>
      </c>
      <c r="V425" s="476" t="s">
        <v>250</v>
      </c>
      <c r="W425" s="505">
        <v>643281</v>
      </c>
      <c r="X425" s="505">
        <v>564531</v>
      </c>
      <c r="Y425" s="505">
        <v>572987</v>
      </c>
      <c r="Z425" s="505">
        <v>439061</v>
      </c>
      <c r="AA425" s="505">
        <v>624343</v>
      </c>
    </row>
    <row r="426" spans="1:27" ht="42">
      <c r="A426" s="482" t="s">
        <v>12</v>
      </c>
      <c r="B426" s="482" t="s">
        <v>12</v>
      </c>
      <c r="C426" s="483">
        <v>-7172</v>
      </c>
      <c r="D426" s="483">
        <v>-5689</v>
      </c>
      <c r="E426" s="483">
        <v>-4744</v>
      </c>
      <c r="F426" s="483">
        <v>5522</v>
      </c>
      <c r="G426" s="483">
        <v>1443</v>
      </c>
      <c r="H426" s="466"/>
      <c r="I426" s="466"/>
      <c r="J426" s="466"/>
      <c r="K426" s="466"/>
      <c r="L426" s="474" t="s">
        <v>501</v>
      </c>
      <c r="M426" s="482" t="s">
        <v>251</v>
      </c>
      <c r="N426" s="505">
        <v>-7110</v>
      </c>
      <c r="O426" s="505">
        <v>-36312</v>
      </c>
      <c r="P426" s="505">
        <v>-61987</v>
      </c>
      <c r="Q426" s="505">
        <v>-39285</v>
      </c>
      <c r="R426" s="505">
        <v>-12029</v>
      </c>
      <c r="S426" s="466"/>
      <c r="T426" s="466"/>
      <c r="U426" s="474" t="s">
        <v>501</v>
      </c>
      <c r="V426" s="482" t="s">
        <v>251</v>
      </c>
      <c r="W426" s="505">
        <v>428209</v>
      </c>
      <c r="X426" s="505">
        <v>114036</v>
      </c>
      <c r="Y426" s="505">
        <v>-119925</v>
      </c>
      <c r="Z426" s="505">
        <v>53477</v>
      </c>
      <c r="AA426" s="506">
        <v>-154600</v>
      </c>
    </row>
    <row r="427" spans="1:27" ht="42">
      <c r="A427" s="478" t="s">
        <v>13</v>
      </c>
      <c r="B427" s="478" t="s">
        <v>13</v>
      </c>
      <c r="C427" s="486" t="s">
        <v>4</v>
      </c>
      <c r="D427" s="486" t="s">
        <v>4</v>
      </c>
      <c r="E427" s="486" t="s">
        <v>4</v>
      </c>
      <c r="F427" s="487">
        <v>146.75800000000001</v>
      </c>
      <c r="G427" s="486" t="s">
        <v>4</v>
      </c>
      <c r="H427" s="466"/>
      <c r="I427" s="466"/>
      <c r="J427" s="466"/>
      <c r="K427" s="466"/>
      <c r="L427" s="466"/>
      <c r="M427" s="478" t="s">
        <v>252</v>
      </c>
      <c r="N427" s="508" t="e">
        <v>#VALUE!</v>
      </c>
      <c r="O427" s="508" t="e">
        <v>#VALUE!</v>
      </c>
      <c r="P427" s="508">
        <v>-0.22863096939575284</v>
      </c>
      <c r="Q427" s="508">
        <v>13.341823739174732</v>
      </c>
      <c r="R427" s="508">
        <v>0.36205754875993257</v>
      </c>
      <c r="S427" s="466"/>
      <c r="T427" s="466"/>
      <c r="U427" s="466"/>
      <c r="V427" s="478" t="s">
        <v>252</v>
      </c>
      <c r="W427" s="508" t="e">
        <v>#DIV/0!</v>
      </c>
      <c r="X427" s="508" t="e">
        <v>#DIV/0!</v>
      </c>
      <c r="Y427" s="508" t="e">
        <v>#DIV/0!</v>
      </c>
      <c r="Z427" s="508" t="e">
        <v>#DIV/0!</v>
      </c>
      <c r="AA427" s="508" t="e">
        <v>#DIV/0!</v>
      </c>
    </row>
    <row r="428" spans="1:27" ht="42">
      <c r="A428" s="478" t="s">
        <v>14</v>
      </c>
      <c r="B428" s="478" t="s">
        <v>14</v>
      </c>
      <c r="C428" s="487">
        <v>-18.314</v>
      </c>
      <c r="D428" s="487">
        <v>-12.785</v>
      </c>
      <c r="E428" s="487">
        <v>-9.5429999999999993</v>
      </c>
      <c r="F428" s="487">
        <v>9.1449999999999996</v>
      </c>
      <c r="G428" s="487">
        <v>2.3450000000000002</v>
      </c>
      <c r="H428" s="466"/>
      <c r="I428" s="466"/>
      <c r="J428" s="466"/>
      <c r="K428" s="466"/>
      <c r="L428" s="466"/>
      <c r="M428" s="478" t="s">
        <v>253</v>
      </c>
      <c r="N428" s="508">
        <v>-8.8700371144309634E-2</v>
      </c>
      <c r="O428" s="508">
        <v>-0.77276016173653972</v>
      </c>
      <c r="P428" s="508">
        <v>-0.71324028581619858</v>
      </c>
      <c r="Q428" s="508">
        <v>-0.29201773588692442</v>
      </c>
      <c r="R428" s="508">
        <v>-0.1562583218045894</v>
      </c>
      <c r="S428" s="466"/>
      <c r="T428" s="466"/>
      <c r="U428" s="466"/>
      <c r="V428" s="478" t="s">
        <v>253</v>
      </c>
      <c r="W428" s="508">
        <v>0.42198430945128412</v>
      </c>
      <c r="X428" s="508">
        <v>0.15296507662271203</v>
      </c>
      <c r="Y428" s="508">
        <v>-0.17162017025350557</v>
      </c>
      <c r="Z428" s="508">
        <v>7.6285481764564483E-2</v>
      </c>
      <c r="AA428" s="508">
        <v>-0.43597867483351171</v>
      </c>
    </row>
    <row r="429" spans="1:27" ht="56">
      <c r="A429" s="478" t="s">
        <v>15</v>
      </c>
      <c r="B429" s="478" t="s">
        <v>15</v>
      </c>
      <c r="C429" s="488">
        <v>500.085106</v>
      </c>
      <c r="D429" s="488">
        <v>313.462963</v>
      </c>
      <c r="E429" s="488">
        <v>216.38888900000001</v>
      </c>
      <c r="F429" s="488">
        <v>232.23595499999999</v>
      </c>
      <c r="G429" s="488">
        <v>768.81730800000003</v>
      </c>
      <c r="H429" s="466"/>
      <c r="I429" s="466"/>
      <c r="J429" s="466"/>
      <c r="K429" s="466"/>
      <c r="L429" s="466"/>
      <c r="M429" s="478" t="s">
        <v>254</v>
      </c>
      <c r="N429" s="508"/>
      <c r="O429" s="508"/>
      <c r="P429" s="508"/>
      <c r="Q429" s="508"/>
      <c r="R429" s="508"/>
      <c r="S429" s="466"/>
      <c r="T429" s="466"/>
      <c r="U429" s="466"/>
      <c r="V429" s="478" t="s">
        <v>254</v>
      </c>
      <c r="W429" s="508"/>
      <c r="X429" s="508"/>
      <c r="Y429" s="508"/>
      <c r="Z429" s="508"/>
      <c r="AA429" s="508"/>
    </row>
    <row r="430" spans="1:27" ht="18">
      <c r="A430" s="471"/>
      <c r="B430" s="472" t="s">
        <v>23</v>
      </c>
      <c r="C430" s="493">
        <v>-13826</v>
      </c>
      <c r="D430" s="493">
        <v>-6654</v>
      </c>
      <c r="E430" s="493">
        <v>-965</v>
      </c>
      <c r="F430" s="493">
        <v>3779</v>
      </c>
      <c r="G430" s="493">
        <v>-9245</v>
      </c>
      <c r="H430" s="466"/>
      <c r="I430" s="466"/>
      <c r="J430" s="466"/>
      <c r="K430" s="466"/>
      <c r="L430" s="474" t="s">
        <v>502</v>
      </c>
      <c r="M430" s="472" t="s">
        <v>255</v>
      </c>
      <c r="N430" s="505">
        <v>46312</v>
      </c>
      <c r="O430" s="505">
        <v>17320</v>
      </c>
      <c r="P430" s="505">
        <v>54328</v>
      </c>
      <c r="Q430" s="505">
        <v>108171</v>
      </c>
      <c r="R430" s="505">
        <v>148057</v>
      </c>
      <c r="S430" s="466"/>
      <c r="T430" s="466"/>
      <c r="U430" s="474" t="s">
        <v>502</v>
      </c>
      <c r="V430" s="472" t="s">
        <v>255</v>
      </c>
      <c r="W430" s="505">
        <v>599963</v>
      </c>
      <c r="X430" s="505">
        <v>221727</v>
      </c>
      <c r="Y430" s="505">
        <v>131762</v>
      </c>
      <c r="Z430" s="505">
        <v>253753</v>
      </c>
      <c r="AA430" s="505">
        <v>84866</v>
      </c>
    </row>
    <row r="431" spans="1:27" ht="16">
      <c r="A431" s="905"/>
      <c r="B431" s="906"/>
      <c r="C431" s="906"/>
      <c r="D431" s="906"/>
      <c r="E431" s="906"/>
      <c r="F431" s="906"/>
      <c r="G431" s="906"/>
      <c r="H431" s="906"/>
      <c r="I431" s="906"/>
      <c r="J431" s="906"/>
      <c r="K431" s="906"/>
      <c r="L431" s="466"/>
      <c r="M431" s="466"/>
      <c r="N431" s="466"/>
      <c r="O431" s="466"/>
      <c r="P431" s="466"/>
      <c r="Q431" s="466"/>
      <c r="R431" s="466"/>
      <c r="S431" s="466"/>
      <c r="T431" s="466"/>
      <c r="U431" s="466"/>
      <c r="V431" s="466"/>
      <c r="W431" s="466"/>
      <c r="X431" s="466"/>
      <c r="Y431" s="466"/>
      <c r="Z431" s="466"/>
      <c r="AA431" s="466"/>
    </row>
    <row r="432" spans="1:27">
      <c r="A432" s="471" t="s">
        <v>32</v>
      </c>
      <c r="B432" s="480"/>
      <c r="C432" s="472">
        <v>2017</v>
      </c>
      <c r="D432" s="472">
        <v>2016</v>
      </c>
      <c r="E432" s="472">
        <v>2015</v>
      </c>
      <c r="F432" s="480" t="s">
        <v>20</v>
      </c>
      <c r="G432" s="466" t="s">
        <v>21</v>
      </c>
      <c r="H432" s="466"/>
      <c r="I432" s="466"/>
      <c r="J432" s="466"/>
      <c r="K432" s="466"/>
      <c r="L432" s="466"/>
      <c r="M432" s="467"/>
      <c r="N432" s="467">
        <v>2017</v>
      </c>
      <c r="O432" s="502" t="s">
        <v>503</v>
      </c>
      <c r="P432" s="502" t="s">
        <v>504</v>
      </c>
      <c r="Q432" s="502" t="s">
        <v>505</v>
      </c>
      <c r="R432" s="502" t="s">
        <v>506</v>
      </c>
      <c r="S432" s="466"/>
      <c r="T432" s="466"/>
      <c r="U432" s="466"/>
      <c r="V432" s="466"/>
      <c r="W432" s="466"/>
      <c r="X432" s="466"/>
      <c r="Y432" s="466"/>
      <c r="Z432" s="466"/>
      <c r="AA432" s="466"/>
    </row>
    <row r="433" spans="1:27" ht="42">
      <c r="A433" s="480"/>
      <c r="B433" s="484" t="s">
        <v>11</v>
      </c>
      <c r="C433" s="493">
        <v>258983.070565976</v>
      </c>
      <c r="D433" s="493">
        <v>260412.52752775</v>
      </c>
      <c r="E433" s="493">
        <v>277798.744423047</v>
      </c>
      <c r="F433" s="493">
        <v>261098.935228363</v>
      </c>
      <c r="G433" s="493">
        <v>313850.16148057597</v>
      </c>
      <c r="H433" s="466"/>
      <c r="I433" s="466"/>
      <c r="J433" s="466"/>
      <c r="K433" s="510" t="s">
        <v>507</v>
      </c>
      <c r="L433" s="474" t="s">
        <v>151</v>
      </c>
      <c r="M433" s="469" t="s">
        <v>246</v>
      </c>
      <c r="N433" s="505">
        <v>926815</v>
      </c>
      <c r="O433" s="505">
        <v>834975</v>
      </c>
      <c r="P433" s="505">
        <v>728054</v>
      </c>
      <c r="Q433" s="505">
        <v>747683</v>
      </c>
      <c r="R433" s="505">
        <v>735804</v>
      </c>
      <c r="S433" s="466"/>
      <c r="T433" s="509" t="s">
        <v>508</v>
      </c>
      <c r="U433" s="466"/>
      <c r="V433" s="467"/>
      <c r="W433" s="467">
        <v>2017</v>
      </c>
      <c r="X433" s="502" t="s">
        <v>503</v>
      </c>
      <c r="Y433" s="502" t="s">
        <v>504</v>
      </c>
      <c r="Z433" s="502" t="s">
        <v>505</v>
      </c>
      <c r="AA433" s="502" t="s">
        <v>506</v>
      </c>
    </row>
    <row r="434" spans="1:27" ht="28">
      <c r="A434" s="480"/>
      <c r="B434" s="478" t="s">
        <v>2</v>
      </c>
      <c r="C434" s="493">
        <v>8047.86848848313</v>
      </c>
      <c r="D434" s="493">
        <v>7355.5684038251602</v>
      </c>
      <c r="E434" s="493">
        <v>0</v>
      </c>
      <c r="F434" s="493">
        <v>7.9407809823751396</v>
      </c>
      <c r="G434" s="493">
        <v>59.374999433755903</v>
      </c>
      <c r="H434" s="466"/>
      <c r="I434" s="466"/>
      <c r="J434" s="466"/>
      <c r="K434" s="493"/>
      <c r="L434" s="466"/>
      <c r="M434" s="467"/>
      <c r="N434" s="507"/>
      <c r="O434" s="507"/>
      <c r="P434" s="507"/>
      <c r="Q434" s="507"/>
      <c r="R434" s="507"/>
      <c r="S434" s="466"/>
      <c r="T434" s="466"/>
      <c r="U434" s="474" t="s">
        <v>151</v>
      </c>
      <c r="V434" s="469" t="s">
        <v>246</v>
      </c>
      <c r="W434" s="505">
        <v>5084000</v>
      </c>
      <c r="X434" s="505">
        <v>4347000</v>
      </c>
      <c r="Y434" s="505">
        <v>4406000</v>
      </c>
      <c r="Z434" s="505">
        <v>4294500</v>
      </c>
      <c r="AA434" s="505">
        <v>3900500</v>
      </c>
    </row>
    <row r="435" spans="1:27" ht="28">
      <c r="A435" s="480"/>
      <c r="B435" s="478" t="s">
        <v>3</v>
      </c>
      <c r="C435" s="493">
        <v>170582.70476934299</v>
      </c>
      <c r="D435" s="493">
        <v>192489.32605621201</v>
      </c>
      <c r="E435" s="493">
        <v>214593.86519747999</v>
      </c>
      <c r="F435" s="493">
        <v>100551.417789653</v>
      </c>
      <c r="G435" s="493">
        <v>98761.512216031595</v>
      </c>
      <c r="H435" s="466"/>
      <c r="I435" s="466"/>
      <c r="J435" s="466"/>
      <c r="K435" s="493"/>
      <c r="L435" s="474" t="s">
        <v>499</v>
      </c>
      <c r="M435" s="484" t="s">
        <v>247</v>
      </c>
      <c r="N435" s="505">
        <v>496103</v>
      </c>
      <c r="O435" s="505">
        <v>419985</v>
      </c>
      <c r="P435" s="505">
        <v>352679</v>
      </c>
      <c r="Q435" s="505">
        <v>362435</v>
      </c>
      <c r="R435" s="505">
        <v>320363</v>
      </c>
      <c r="S435" s="466"/>
      <c r="T435" s="466"/>
      <c r="U435" s="466"/>
      <c r="V435" s="467"/>
      <c r="W435" s="507"/>
      <c r="X435" s="507"/>
      <c r="Y435" s="507"/>
      <c r="Z435" s="507"/>
      <c r="AA435" s="507"/>
    </row>
    <row r="436" spans="1:27" ht="42">
      <c r="A436" s="480"/>
      <c r="B436" s="476" t="s">
        <v>8</v>
      </c>
      <c r="C436" s="494">
        <v>178630.57325782612</v>
      </c>
      <c r="D436" s="494">
        <v>199844.89446003718</v>
      </c>
      <c r="E436" s="494">
        <v>214593.86519747999</v>
      </c>
      <c r="F436" s="494">
        <v>100559.35857063538</v>
      </c>
      <c r="G436" s="494">
        <v>98820.887215465351</v>
      </c>
      <c r="H436" s="494"/>
      <c r="I436" s="494"/>
      <c r="J436" s="494">
        <v>0</v>
      </c>
      <c r="K436" s="494"/>
      <c r="L436" s="466"/>
      <c r="M436" s="478" t="s">
        <v>248</v>
      </c>
      <c r="N436" s="587">
        <v>215942</v>
      </c>
      <c r="O436" s="587">
        <v>281693</v>
      </c>
      <c r="P436" s="587">
        <v>167299</v>
      </c>
      <c r="Q436" s="587">
        <v>192561</v>
      </c>
      <c r="R436" s="587">
        <v>19882</v>
      </c>
      <c r="S436" s="466"/>
      <c r="T436" s="466"/>
      <c r="U436" s="474" t="s">
        <v>499</v>
      </c>
      <c r="V436" s="484" t="s">
        <v>247</v>
      </c>
      <c r="W436" s="505">
        <v>1347000</v>
      </c>
      <c r="X436" s="505">
        <v>1485000</v>
      </c>
      <c r="Y436" s="505">
        <v>1611000</v>
      </c>
      <c r="Z436" s="505">
        <v>892200</v>
      </c>
      <c r="AA436" s="505">
        <v>862800</v>
      </c>
    </row>
    <row r="437" spans="1:27" ht="42">
      <c r="A437" s="480"/>
      <c r="B437" s="482" t="s">
        <v>12</v>
      </c>
      <c r="C437" s="493">
        <v>30923.629855789201</v>
      </c>
      <c r="D437" s="493">
        <v>948.95591109991096</v>
      </c>
      <c r="E437" s="493">
        <v>25845.402300328002</v>
      </c>
      <c r="F437" s="493">
        <v>21129.610657051198</v>
      </c>
      <c r="G437" s="493">
        <v>10074.342009186699</v>
      </c>
      <c r="H437" s="466"/>
      <c r="I437" s="466"/>
      <c r="J437" s="466"/>
      <c r="K437" s="493"/>
      <c r="L437" s="466"/>
      <c r="M437" s="478" t="s">
        <v>249</v>
      </c>
      <c r="N437" s="508"/>
      <c r="O437" s="508"/>
      <c r="P437" s="508"/>
      <c r="Q437" s="508"/>
      <c r="R437" s="508"/>
      <c r="S437" s="466"/>
      <c r="T437" s="466"/>
      <c r="U437" s="466"/>
      <c r="V437" s="478" t="s">
        <v>248</v>
      </c>
      <c r="W437" s="587">
        <v>1655000</v>
      </c>
      <c r="X437" s="587">
        <v>1014000</v>
      </c>
      <c r="Y437" s="587">
        <v>1480000</v>
      </c>
      <c r="Z437" s="587">
        <v>1816500</v>
      </c>
      <c r="AA437" s="587">
        <v>1171400</v>
      </c>
    </row>
    <row r="438" spans="1:27" ht="42">
      <c r="A438" s="480"/>
      <c r="B438" s="478" t="s">
        <v>13</v>
      </c>
      <c r="C438" s="495">
        <v>23.35</v>
      </c>
      <c r="D438" s="495">
        <v>0.97799999999999998</v>
      </c>
      <c r="E438" s="495">
        <v>40.841000000000001</v>
      </c>
      <c r="F438" s="495">
        <v>10.612</v>
      </c>
      <c r="G438" s="495">
        <v>4.2409999999999997</v>
      </c>
      <c r="H438" s="466"/>
      <c r="I438" s="466"/>
      <c r="J438" s="466"/>
      <c r="K438" s="466"/>
      <c r="L438" s="474" t="s">
        <v>500</v>
      </c>
      <c r="M438" s="476" t="s">
        <v>250</v>
      </c>
      <c r="N438" s="505">
        <v>461071</v>
      </c>
      <c r="O438" s="505">
        <v>348589</v>
      </c>
      <c r="P438" s="505">
        <v>360288</v>
      </c>
      <c r="Q438" s="505">
        <v>323723</v>
      </c>
      <c r="R438" s="505">
        <v>303356</v>
      </c>
      <c r="S438" s="466"/>
      <c r="T438" s="466"/>
      <c r="U438" s="466"/>
      <c r="V438" s="478" t="s">
        <v>249</v>
      </c>
      <c r="W438" s="508"/>
      <c r="X438" s="508"/>
      <c r="Y438" s="508"/>
      <c r="Z438" s="508"/>
      <c r="AA438" s="508"/>
    </row>
    <row r="439" spans="1:27" ht="42">
      <c r="A439" s="480"/>
      <c r="B439" s="478" t="s">
        <v>14</v>
      </c>
      <c r="C439" s="495">
        <v>9.9410000000000007</v>
      </c>
      <c r="D439" s="495">
        <v>0.32</v>
      </c>
      <c r="E439" s="495">
        <v>9.3010000000000002</v>
      </c>
      <c r="F439" s="495">
        <v>7.0510000000000002</v>
      </c>
      <c r="G439" s="495">
        <v>2.9950000000000001</v>
      </c>
      <c r="H439" s="466"/>
      <c r="I439" s="466"/>
      <c r="J439" s="466"/>
      <c r="K439" s="466"/>
      <c r="L439" s="474" t="s">
        <v>501</v>
      </c>
      <c r="M439" s="482" t="s">
        <v>251</v>
      </c>
      <c r="N439" s="505">
        <v>-20732</v>
      </c>
      <c r="O439" s="505">
        <v>-19608</v>
      </c>
      <c r="P439" s="505">
        <v>-105788</v>
      </c>
      <c r="Q439" s="505">
        <v>-11782</v>
      </c>
      <c r="R439" s="505">
        <v>-132888</v>
      </c>
      <c r="S439" s="466"/>
      <c r="T439" s="466"/>
      <c r="U439" s="474" t="s">
        <v>500</v>
      </c>
      <c r="V439" s="476" t="s">
        <v>250</v>
      </c>
      <c r="W439" s="505">
        <v>3268000</v>
      </c>
      <c r="X439" s="505">
        <v>2597000</v>
      </c>
      <c r="Y439" s="505">
        <v>2950000</v>
      </c>
      <c r="Z439" s="505">
        <v>2907300</v>
      </c>
      <c r="AA439" s="505">
        <v>2236100</v>
      </c>
    </row>
    <row r="440" spans="1:27" ht="56">
      <c r="A440" s="471"/>
      <c r="B440" s="478" t="s">
        <v>15</v>
      </c>
      <c r="C440" s="496">
        <v>1321.3421967950101</v>
      </c>
      <c r="D440" s="496">
        <v>1356.3152475403599</v>
      </c>
      <c r="E440" s="496">
        <v>1403.02396171651</v>
      </c>
      <c r="F440" s="497" t="s">
        <v>22</v>
      </c>
      <c r="G440" s="497" t="s">
        <v>22</v>
      </c>
      <c r="H440" s="466"/>
      <c r="I440" s="466"/>
      <c r="J440" s="466"/>
      <c r="K440" s="466"/>
      <c r="L440" s="466"/>
      <c r="M440" s="478" t="s">
        <v>252</v>
      </c>
      <c r="N440" s="508" t="e">
        <v>#VALUE!</v>
      </c>
      <c r="O440" s="508" t="e">
        <v>#VALUE!</v>
      </c>
      <c r="P440" s="508">
        <v>-0.20285330776605945</v>
      </c>
      <c r="Q440" s="508">
        <v>-2.4520291363163371E-2</v>
      </c>
      <c r="R440" s="508">
        <v>-0.91836903939184522</v>
      </c>
      <c r="S440" s="466"/>
      <c r="T440" s="466"/>
      <c r="U440" s="474" t="s">
        <v>501</v>
      </c>
      <c r="V440" s="482" t="s">
        <v>251</v>
      </c>
      <c r="W440" s="505">
        <v>426000</v>
      </c>
      <c r="X440" s="505">
        <v>617000</v>
      </c>
      <c r="Y440" s="505">
        <v>344000</v>
      </c>
      <c r="Z440" s="505">
        <v>-54600</v>
      </c>
      <c r="AA440" s="505">
        <v>110200</v>
      </c>
    </row>
    <row r="441" spans="1:27" ht="28">
      <c r="A441" s="467"/>
      <c r="B441" s="467" t="s">
        <v>23</v>
      </c>
      <c r="C441" s="493">
        <v>132434.836148545</v>
      </c>
      <c r="D441" s="493">
        <v>97065.3126754314</v>
      </c>
      <c r="E441" s="493">
        <v>63282.631777524897</v>
      </c>
      <c r="F441" s="493">
        <v>199103.50843535399</v>
      </c>
      <c r="G441" s="493">
        <v>237529.76747158199</v>
      </c>
      <c r="H441" s="466"/>
      <c r="I441" s="466"/>
      <c r="J441" s="466"/>
      <c r="K441" s="466"/>
      <c r="L441" s="466"/>
      <c r="M441" s="478" t="s">
        <v>253</v>
      </c>
      <c r="N441" s="508">
        <v>-2.3535154587096079E-2</v>
      </c>
      <c r="O441" s="508">
        <v>-2.508974561572434E-2</v>
      </c>
      <c r="P441" s="508">
        <v>-0.14336971967227222</v>
      </c>
      <c r="Q441" s="508">
        <v>-1.588419716519255E-2</v>
      </c>
      <c r="R441" s="508">
        <v>-0.36120488608379403</v>
      </c>
      <c r="S441" s="466"/>
      <c r="T441" s="466"/>
      <c r="U441" s="466"/>
      <c r="V441" s="478" t="s">
        <v>252</v>
      </c>
      <c r="W441" s="508" t="e">
        <v>#DIV/0!</v>
      </c>
      <c r="X441" s="508" t="e">
        <v>#DIV/0!</v>
      </c>
      <c r="Y441" s="508" t="e">
        <v>#DIV/0!</v>
      </c>
      <c r="Z441" s="508" t="e">
        <v>#DIV/0!</v>
      </c>
      <c r="AA441" s="508" t="e">
        <v>#DIV/0!</v>
      </c>
    </row>
    <row r="442" spans="1:27" ht="28">
      <c r="A442" s="467"/>
      <c r="B442" s="467"/>
      <c r="C442" s="467"/>
      <c r="D442" s="467"/>
      <c r="E442" s="467"/>
      <c r="F442" s="467"/>
      <c r="G442" s="467"/>
      <c r="H442" s="466"/>
      <c r="I442" s="466"/>
      <c r="J442" s="466"/>
      <c r="K442" s="466"/>
      <c r="L442" s="466"/>
      <c r="M442" s="478" t="s">
        <v>254</v>
      </c>
      <c r="N442" s="508"/>
      <c r="O442" s="508"/>
      <c r="P442" s="508"/>
      <c r="Q442" s="508"/>
      <c r="R442" s="508"/>
      <c r="S442" s="466"/>
      <c r="T442" s="466"/>
      <c r="U442" s="466"/>
      <c r="V442" s="478" t="s">
        <v>253</v>
      </c>
      <c r="W442" s="508">
        <v>9.0340366875198808E-2</v>
      </c>
      <c r="X442" s="508">
        <v>0.14098023534788073</v>
      </c>
      <c r="Y442" s="508">
        <v>7.9075915177288666E-2</v>
      </c>
      <c r="Z442" s="508">
        <v>-1.3325198291641244E-2</v>
      </c>
      <c r="AA442" s="508">
        <v>5.6505576208178442E-2</v>
      </c>
    </row>
    <row r="443" spans="1:27" ht="42">
      <c r="A443" s="467" t="s">
        <v>24</v>
      </c>
      <c r="B443" s="467"/>
      <c r="C443" s="467">
        <v>2017</v>
      </c>
      <c r="D443" s="467">
        <v>2016</v>
      </c>
      <c r="E443" s="467" t="s">
        <v>26</v>
      </c>
      <c r="F443" s="467" t="s">
        <v>25</v>
      </c>
      <c r="G443" s="467" t="s">
        <v>21</v>
      </c>
      <c r="H443" s="466"/>
      <c r="I443" s="466"/>
      <c r="J443" s="466"/>
      <c r="K443" s="466"/>
      <c r="L443" s="474" t="s">
        <v>502</v>
      </c>
      <c r="M443" s="472" t="s">
        <v>255</v>
      </c>
      <c r="N443" s="505">
        <v>465744</v>
      </c>
      <c r="O443" s="505">
        <v>486386</v>
      </c>
      <c r="P443" s="505">
        <v>367766</v>
      </c>
      <c r="Q443" s="505">
        <v>423960</v>
      </c>
      <c r="R443" s="506">
        <v>432448</v>
      </c>
      <c r="S443" s="466"/>
      <c r="T443" s="466"/>
      <c r="U443" s="466"/>
      <c r="V443" s="478" t="s">
        <v>254</v>
      </c>
      <c r="W443" s="508"/>
      <c r="X443" s="508"/>
      <c r="Y443" s="508"/>
      <c r="Z443" s="508"/>
      <c r="AA443" s="508"/>
    </row>
    <row r="444" spans="1:27" ht="18">
      <c r="A444" s="471"/>
      <c r="B444" s="469" t="s">
        <v>1</v>
      </c>
      <c r="C444" s="498">
        <v>459800489.231929</v>
      </c>
      <c r="D444" s="498">
        <v>452920879.105896</v>
      </c>
      <c r="E444" s="498">
        <v>473128364.929721</v>
      </c>
      <c r="F444" s="498">
        <v>607718197.38379097</v>
      </c>
      <c r="G444" s="498">
        <v>672849006.74110699</v>
      </c>
      <c r="H444" s="466"/>
      <c r="I444" s="466"/>
      <c r="J444" s="466"/>
      <c r="K444" s="466"/>
      <c r="L444" s="481"/>
      <c r="M444" s="481"/>
      <c r="N444" s="481"/>
      <c r="O444" s="481"/>
      <c r="P444" s="481"/>
      <c r="Q444" s="481"/>
      <c r="R444" s="481"/>
      <c r="S444" s="466"/>
      <c r="T444" s="466"/>
      <c r="U444" s="474" t="s">
        <v>502</v>
      </c>
      <c r="V444" s="472" t="s">
        <v>255</v>
      </c>
      <c r="W444" s="505">
        <v>1816000</v>
      </c>
      <c r="X444" s="505">
        <v>1750000</v>
      </c>
      <c r="Y444" s="505">
        <v>1456000</v>
      </c>
      <c r="Z444" s="505">
        <v>1387200</v>
      </c>
      <c r="AA444" s="505">
        <v>1664400</v>
      </c>
    </row>
    <row r="445" spans="1:27">
      <c r="A445" s="467"/>
      <c r="B445" s="467"/>
      <c r="C445" s="467"/>
      <c r="D445" s="467"/>
      <c r="E445" s="467"/>
      <c r="F445" s="467"/>
      <c r="G445" s="467"/>
      <c r="H445" s="466"/>
      <c r="I445" s="466"/>
      <c r="J445" s="466"/>
      <c r="K445" s="509" t="s">
        <v>509</v>
      </c>
      <c r="L445" s="466"/>
      <c r="M445" s="467"/>
      <c r="N445" s="467">
        <v>2017</v>
      </c>
      <c r="O445" s="502" t="s">
        <v>503</v>
      </c>
      <c r="P445" s="502" t="s">
        <v>504</v>
      </c>
      <c r="Q445" s="502" t="s">
        <v>505</v>
      </c>
      <c r="R445" s="502" t="s">
        <v>506</v>
      </c>
      <c r="S445" s="466"/>
      <c r="T445" s="466"/>
      <c r="U445" s="466"/>
      <c r="V445" s="466"/>
      <c r="W445" s="466"/>
      <c r="X445" s="466"/>
      <c r="Y445" s="466"/>
      <c r="Z445" s="466"/>
      <c r="AA445" s="466"/>
    </row>
    <row r="446" spans="1:27" ht="42">
      <c r="A446" s="471"/>
      <c r="B446" s="484" t="s">
        <v>11</v>
      </c>
      <c r="C446" s="493">
        <v>131357491.44222599</v>
      </c>
      <c r="D446" s="493">
        <v>87087122.476711899</v>
      </c>
      <c r="E446" s="493">
        <v>88488306.511670396</v>
      </c>
      <c r="F446" s="493">
        <v>65058549.409583203</v>
      </c>
      <c r="G446" s="493">
        <v>22389473.4706879</v>
      </c>
      <c r="H446" s="466"/>
      <c r="I446" s="466"/>
      <c r="J446" s="466"/>
      <c r="K446" s="466"/>
      <c r="L446" s="474" t="s">
        <v>151</v>
      </c>
      <c r="M446" s="469" t="s">
        <v>246</v>
      </c>
      <c r="N446" s="505">
        <v>463738</v>
      </c>
      <c r="O446" s="505">
        <v>484583</v>
      </c>
      <c r="P446" s="505">
        <v>720156</v>
      </c>
      <c r="Q446" s="505">
        <v>589937</v>
      </c>
      <c r="R446" s="505">
        <v>406872</v>
      </c>
      <c r="S446" s="505"/>
      <c r="T446" s="509" t="s">
        <v>510</v>
      </c>
      <c r="U446" s="466"/>
      <c r="V446" s="467"/>
      <c r="W446" s="467">
        <v>2017</v>
      </c>
      <c r="X446" s="502" t="s">
        <v>503</v>
      </c>
      <c r="Y446" s="502" t="s">
        <v>504</v>
      </c>
      <c r="Z446" s="502" t="s">
        <v>505</v>
      </c>
      <c r="AA446" s="502" t="s">
        <v>506</v>
      </c>
    </row>
    <row r="447" spans="1:27" ht="28">
      <c r="A447" s="471"/>
      <c r="B447" s="478" t="s">
        <v>2</v>
      </c>
      <c r="C447" s="493">
        <v>392935.44630706299</v>
      </c>
      <c r="D447" s="493">
        <v>339791.18137061602</v>
      </c>
      <c r="E447" s="493">
        <v>331215542.16979402</v>
      </c>
      <c r="F447" s="493">
        <v>337466233.47291398</v>
      </c>
      <c r="G447" s="493">
        <v>469905752.09757698</v>
      </c>
      <c r="H447" s="466"/>
      <c r="I447" s="466"/>
      <c r="J447" s="466"/>
      <c r="K447" s="466"/>
      <c r="L447" s="466"/>
      <c r="M447" s="467"/>
      <c r="N447" s="507"/>
      <c r="O447" s="507"/>
      <c r="P447" s="507"/>
      <c r="Q447" s="507"/>
      <c r="R447" s="507"/>
      <c r="S447" s="466"/>
      <c r="T447" s="466"/>
      <c r="U447" s="474" t="s">
        <v>151</v>
      </c>
      <c r="V447" s="469" t="s">
        <v>246</v>
      </c>
      <c r="W447" s="505">
        <v>1457625</v>
      </c>
      <c r="X447" s="505">
        <v>734148</v>
      </c>
      <c r="Y447" s="505">
        <v>742233</v>
      </c>
      <c r="Z447" s="505">
        <v>212851</v>
      </c>
      <c r="AA447" s="505">
        <v>15224</v>
      </c>
    </row>
    <row r="448" spans="1:27" ht="28">
      <c r="A448" s="471"/>
      <c r="B448" s="478" t="s">
        <v>3</v>
      </c>
      <c r="C448" s="493">
        <v>24052497.060664002</v>
      </c>
      <c r="D448" s="493">
        <v>19249651.863157701</v>
      </c>
      <c r="E448" s="493">
        <v>17467649.957388598</v>
      </c>
      <c r="F448" s="493">
        <v>54446032.100409299</v>
      </c>
      <c r="G448" s="493">
        <v>18611512.980401501</v>
      </c>
      <c r="H448" s="466"/>
      <c r="I448" s="466"/>
      <c r="J448" s="466"/>
      <c r="K448" s="466"/>
      <c r="L448" s="474" t="s">
        <v>499</v>
      </c>
      <c r="M448" s="484" t="s">
        <v>247</v>
      </c>
      <c r="N448" s="505">
        <v>7008</v>
      </c>
      <c r="O448" s="505">
        <v>7233</v>
      </c>
      <c r="P448" s="505">
        <v>8809</v>
      </c>
      <c r="Q448" s="505">
        <v>11749</v>
      </c>
      <c r="R448" s="506">
        <v>10852</v>
      </c>
      <c r="S448" s="466"/>
      <c r="T448" s="466"/>
      <c r="U448" s="466"/>
      <c r="V448" s="467"/>
      <c r="W448" s="507"/>
      <c r="X448" s="507"/>
      <c r="Y448" s="507"/>
      <c r="Z448" s="507"/>
      <c r="AA448" s="507"/>
    </row>
    <row r="449" spans="1:27" ht="42">
      <c r="A449" s="475"/>
      <c r="B449" s="476" t="s">
        <v>8</v>
      </c>
      <c r="C449" s="477">
        <v>24445432.506971065</v>
      </c>
      <c r="D449" s="477">
        <v>19589443.044528317</v>
      </c>
      <c r="E449" s="477">
        <v>348683192.1271826</v>
      </c>
      <c r="F449" s="477">
        <v>391912265.57332325</v>
      </c>
      <c r="G449" s="477">
        <v>488517265.07797849</v>
      </c>
      <c r="H449" s="466"/>
      <c r="I449" s="466"/>
      <c r="J449" s="466"/>
      <c r="K449" s="466"/>
      <c r="L449" s="466"/>
      <c r="M449" s="478" t="s">
        <v>248</v>
      </c>
      <c r="N449" s="508"/>
      <c r="O449" s="508"/>
      <c r="P449" s="508"/>
      <c r="Q449" s="508"/>
      <c r="R449" s="508"/>
      <c r="S449" s="466"/>
      <c r="T449" s="466"/>
      <c r="U449" s="474" t="s">
        <v>499</v>
      </c>
      <c r="V449" s="484" t="s">
        <v>247</v>
      </c>
      <c r="W449" s="505">
        <v>6301</v>
      </c>
      <c r="X449" s="505">
        <v>3184</v>
      </c>
      <c r="Y449" s="505">
        <v>2400</v>
      </c>
      <c r="Z449" s="505">
        <v>200</v>
      </c>
      <c r="AA449" s="505">
        <v>157</v>
      </c>
    </row>
    <row r="450" spans="1:27" ht="42">
      <c r="A450" s="467"/>
      <c r="B450" s="482" t="s">
        <v>12</v>
      </c>
      <c r="C450" s="493">
        <v>-18751522.6159245</v>
      </c>
      <c r="D450" s="493">
        <v>-25795127.4641454</v>
      </c>
      <c r="E450" s="493">
        <v>-57097955.429300703</v>
      </c>
      <c r="F450" s="493">
        <v>-93981834.716573402</v>
      </c>
      <c r="G450" s="493">
        <v>-101304439.823359</v>
      </c>
      <c r="H450" s="466"/>
      <c r="I450" s="466"/>
      <c r="J450" s="466"/>
      <c r="K450" s="466"/>
      <c r="L450" s="466"/>
      <c r="M450" s="478" t="s">
        <v>249</v>
      </c>
      <c r="N450" s="508"/>
      <c r="O450" s="508"/>
      <c r="P450" s="508"/>
      <c r="Q450" s="508"/>
      <c r="R450" s="508"/>
      <c r="S450" s="466"/>
      <c r="T450" s="466"/>
      <c r="U450" s="466"/>
      <c r="V450" s="478" t="s">
        <v>248</v>
      </c>
      <c r="W450" s="508">
        <f>'Long Term Debt'!C69</f>
        <v>102396</v>
      </c>
      <c r="X450" s="577">
        <f>'Long Term Debt'!D69</f>
        <v>26102</v>
      </c>
      <c r="Y450" s="577">
        <f>'Long Term Debt'!E69</f>
        <v>35668</v>
      </c>
      <c r="Z450" s="577">
        <f>'Long Term Debt'!F69</f>
        <v>23562</v>
      </c>
      <c r="AA450" s="577">
        <f>'Long Term Debt'!G69</f>
        <v>0</v>
      </c>
    </row>
    <row r="451" spans="1:27" ht="42">
      <c r="A451" s="471"/>
      <c r="B451" s="478" t="s">
        <v>13</v>
      </c>
      <c r="C451" s="495">
        <v>-4.3070000000000004</v>
      </c>
      <c r="D451" s="495">
        <v>-5.9530000000000003</v>
      </c>
      <c r="E451" s="495">
        <v>-45.881999999999998</v>
      </c>
      <c r="F451" s="495">
        <v>-43.548999999999999</v>
      </c>
      <c r="G451" s="495">
        <v>-54.957999999999998</v>
      </c>
      <c r="H451" s="466"/>
      <c r="I451" s="466"/>
      <c r="J451" s="466"/>
      <c r="K451" s="466"/>
      <c r="L451" s="474" t="s">
        <v>500</v>
      </c>
      <c r="M451" s="476" t="s">
        <v>250</v>
      </c>
      <c r="N451" s="505">
        <v>21082</v>
      </c>
      <c r="O451" s="505">
        <v>26653</v>
      </c>
      <c r="P451" s="505">
        <v>108811</v>
      </c>
      <c r="Q451" s="505">
        <v>82605</v>
      </c>
      <c r="R451" s="505">
        <v>2833</v>
      </c>
      <c r="S451" s="466"/>
      <c r="T451" s="466"/>
      <c r="U451" s="466"/>
      <c r="V451" s="478" t="s">
        <v>249</v>
      </c>
      <c r="W451" s="508"/>
      <c r="X451" s="508"/>
      <c r="Y451" s="508"/>
      <c r="Z451" s="508"/>
      <c r="AA451" s="508"/>
    </row>
    <row r="452" spans="1:27" ht="42">
      <c r="A452" s="471"/>
      <c r="B452" s="478" t="s">
        <v>14</v>
      </c>
      <c r="C452" s="495">
        <v>-4.0780000000000003</v>
      </c>
      <c r="D452" s="495">
        <v>-5.6950000000000003</v>
      </c>
      <c r="E452" s="495">
        <v>-12.068</v>
      </c>
      <c r="F452" s="495">
        <v>-15.465</v>
      </c>
      <c r="G452" s="495">
        <v>-15.055999999999999</v>
      </c>
      <c r="H452" s="466"/>
      <c r="I452" s="466"/>
      <c r="J452" s="466"/>
      <c r="K452" s="466"/>
      <c r="L452" s="474" t="s">
        <v>501</v>
      </c>
      <c r="M452" s="482" t="s">
        <v>251</v>
      </c>
      <c r="N452" s="505">
        <v>-11668</v>
      </c>
      <c r="O452" s="505">
        <v>-80492</v>
      </c>
      <c r="P452" s="505">
        <v>294013</v>
      </c>
      <c r="Q452" s="505">
        <v>192070</v>
      </c>
      <c r="R452" s="506">
        <v>-52454</v>
      </c>
      <c r="S452" s="466"/>
      <c r="T452" s="466"/>
      <c r="U452" s="474" t="s">
        <v>500</v>
      </c>
      <c r="V452" s="476" t="s">
        <v>250</v>
      </c>
      <c r="W452" s="505">
        <v>6399</v>
      </c>
      <c r="X452" s="505">
        <v>3171</v>
      </c>
      <c r="Y452" s="505">
        <v>6135</v>
      </c>
      <c r="Z452" s="505">
        <v>1996</v>
      </c>
      <c r="AA452" s="505">
        <v>6549</v>
      </c>
    </row>
    <row r="453" spans="1:27" ht="56">
      <c r="A453" s="471"/>
      <c r="B453" s="478" t="s">
        <v>15</v>
      </c>
      <c r="C453" s="496">
        <v>374.23786729673498</v>
      </c>
      <c r="D453" s="496">
        <v>262.31060988359098</v>
      </c>
      <c r="E453" s="496">
        <v>316.02966616175399</v>
      </c>
      <c r="F453" s="497" t="s">
        <v>22</v>
      </c>
      <c r="G453" s="497" t="s">
        <v>22</v>
      </c>
      <c r="H453" s="466"/>
      <c r="I453" s="466"/>
      <c r="J453" s="466"/>
      <c r="K453" s="466"/>
      <c r="L453" s="466"/>
      <c r="M453" s="478" t="s">
        <v>252</v>
      </c>
      <c r="N453" s="508" t="e">
        <v>#VALUE!</v>
      </c>
      <c r="O453" s="508" t="e">
        <v>#VALUE!</v>
      </c>
      <c r="P453" s="508">
        <v>-10.71573576309795</v>
      </c>
      <c r="Q453" s="508">
        <v>-11.265433003900407</v>
      </c>
      <c r="R453" s="508">
        <v>23.724106739032113</v>
      </c>
      <c r="S453" s="466"/>
      <c r="T453" s="466"/>
      <c r="U453" s="474" t="s">
        <v>501</v>
      </c>
      <c r="V453" s="482" t="s">
        <v>251</v>
      </c>
      <c r="W453" s="505">
        <v>-32719</v>
      </c>
      <c r="X453" s="505">
        <v>-22156</v>
      </c>
      <c r="Y453" s="505">
        <v>-11943</v>
      </c>
      <c r="Z453" s="505">
        <v>7521</v>
      </c>
      <c r="AA453" s="505">
        <v>-36633</v>
      </c>
    </row>
    <row r="454" spans="1:27" ht="28">
      <c r="A454" s="471"/>
      <c r="B454" s="472" t="s">
        <v>23</v>
      </c>
      <c r="C454" s="493">
        <v>435355056.724958</v>
      </c>
      <c r="D454" s="493">
        <v>433331436.06136698</v>
      </c>
      <c r="E454" s="493">
        <v>124445172.80253799</v>
      </c>
      <c r="F454" s="493">
        <v>215805931.81046799</v>
      </c>
      <c r="G454" s="493">
        <v>184331741.66312799</v>
      </c>
      <c r="H454" s="466"/>
      <c r="I454" s="466"/>
      <c r="J454" s="466"/>
      <c r="K454" s="466"/>
      <c r="L454" s="466"/>
      <c r="M454" s="478" t="s">
        <v>253</v>
      </c>
      <c r="N454" s="508">
        <v>-2.4607701400686053E-2</v>
      </c>
      <c r="O454" s="508">
        <v>-0.13362562347529217</v>
      </c>
      <c r="P454" s="508">
        <v>0.44884294473751102</v>
      </c>
      <c r="Q454" s="508">
        <v>0.38536971475979853</v>
      </c>
      <c r="R454" s="508">
        <v>-0.25784030358441967</v>
      </c>
      <c r="S454" s="466"/>
      <c r="T454" s="466"/>
      <c r="U454" s="466"/>
      <c r="V454" s="478" t="s">
        <v>252</v>
      </c>
      <c r="W454" s="508" t="e">
        <v>#DIV/0!</v>
      </c>
      <c r="X454" s="508" t="e">
        <v>#DIV/0!</v>
      </c>
      <c r="Y454" s="508" t="e">
        <v>#DIV/0!</v>
      </c>
      <c r="Z454" s="508" t="e">
        <v>#DIV/0!</v>
      </c>
      <c r="AA454" s="508" t="e">
        <v>#DIV/0!</v>
      </c>
    </row>
    <row r="455" spans="1:27" ht="28">
      <c r="A455" s="471"/>
      <c r="B455" s="473"/>
      <c r="C455" s="473"/>
      <c r="D455" s="473"/>
      <c r="E455" s="473"/>
      <c r="F455" s="473"/>
      <c r="G455" s="473"/>
      <c r="H455" s="466"/>
      <c r="I455" s="466"/>
      <c r="J455" s="466"/>
      <c r="K455" s="466"/>
      <c r="L455" s="466"/>
      <c r="M455" s="478" t="s">
        <v>254</v>
      </c>
      <c r="N455" s="508"/>
      <c r="O455" s="508"/>
      <c r="P455" s="508"/>
      <c r="Q455" s="508"/>
      <c r="R455" s="508"/>
      <c r="S455" s="466"/>
      <c r="T455" s="466"/>
      <c r="U455" s="466"/>
      <c r="V455" s="478" t="s">
        <v>253</v>
      </c>
      <c r="W455" s="508">
        <v>-2.9856194049292514E-2</v>
      </c>
      <c r="X455" s="508">
        <v>-3.0013932717909537E-2</v>
      </c>
      <c r="Y455" s="508">
        <v>-2.500931855208547E-2</v>
      </c>
      <c r="Z455" s="508">
        <v>6.5951989477145673E-2</v>
      </c>
      <c r="AA455" s="508">
        <v>-4.8125328428796639</v>
      </c>
    </row>
    <row r="456" spans="1:27" ht="42">
      <c r="A456" s="480" t="s">
        <v>27</v>
      </c>
      <c r="B456" s="466"/>
      <c r="C456" s="466"/>
      <c r="D456" s="466"/>
      <c r="E456" s="466"/>
      <c r="F456" s="466"/>
      <c r="G456" s="466"/>
      <c r="H456" s="466"/>
      <c r="I456" s="466"/>
      <c r="J456" s="466"/>
      <c r="K456" s="466"/>
      <c r="L456" s="474" t="s">
        <v>502</v>
      </c>
      <c r="M456" s="472" t="s">
        <v>255</v>
      </c>
      <c r="N456" s="505">
        <v>442656</v>
      </c>
      <c r="O456" s="505">
        <v>457930</v>
      </c>
      <c r="P456" s="505">
        <v>611345</v>
      </c>
      <c r="Q456" s="505">
        <v>507332</v>
      </c>
      <c r="R456" s="505">
        <v>404039</v>
      </c>
      <c r="S456" s="466"/>
      <c r="T456" s="466"/>
      <c r="U456" s="466"/>
      <c r="V456" s="478" t="s">
        <v>254</v>
      </c>
      <c r="W456" s="508"/>
      <c r="X456" s="508"/>
      <c r="Y456" s="508"/>
      <c r="Z456" s="508"/>
      <c r="AA456" s="508"/>
    </row>
    <row r="457" spans="1:27" ht="18">
      <c r="A457" s="466"/>
      <c r="B457" s="466"/>
      <c r="C457" s="466"/>
      <c r="D457" s="466"/>
      <c r="E457" s="466"/>
      <c r="F457" s="466"/>
      <c r="G457" s="466"/>
      <c r="H457" s="466"/>
      <c r="I457" s="466"/>
      <c r="J457" s="466"/>
      <c r="K457" s="466"/>
      <c r="L457" s="466"/>
      <c r="M457" s="466"/>
      <c r="N457" s="466"/>
      <c r="O457" s="466"/>
      <c r="P457" s="466"/>
      <c r="Q457" s="466"/>
      <c r="R457" s="466"/>
      <c r="S457" s="466"/>
      <c r="T457" s="466"/>
      <c r="U457" s="474" t="s">
        <v>502</v>
      </c>
      <c r="V457" s="472" t="s">
        <v>255</v>
      </c>
      <c r="W457" s="505">
        <v>1451226</v>
      </c>
      <c r="X457" s="505">
        <v>730977</v>
      </c>
      <c r="Y457" s="505">
        <v>736098</v>
      </c>
      <c r="Z457" s="505">
        <v>210855</v>
      </c>
      <c r="AA457" s="505">
        <v>8675</v>
      </c>
    </row>
    <row r="458" spans="1:27">
      <c r="A458" s="466"/>
      <c r="B458" s="466"/>
      <c r="C458" s="466"/>
      <c r="D458" s="466"/>
      <c r="E458" s="466"/>
      <c r="F458" s="466"/>
      <c r="G458" s="466"/>
      <c r="H458" s="466"/>
      <c r="I458" s="511" t="s">
        <v>511</v>
      </c>
      <c r="J458" s="466"/>
      <c r="K458" s="466"/>
      <c r="L458" s="466"/>
      <c r="M458" s="466"/>
      <c r="N458" s="466"/>
      <c r="O458" s="466"/>
      <c r="P458" s="466"/>
      <c r="Q458" s="466"/>
      <c r="R458" s="466"/>
      <c r="S458" s="466"/>
      <c r="T458" s="466"/>
      <c r="U458" s="466"/>
      <c r="V458" s="466"/>
      <c r="W458" s="466"/>
      <c r="X458" s="466"/>
      <c r="Y458" s="466"/>
      <c r="Z458" s="466"/>
      <c r="AA458" s="466"/>
    </row>
    <row r="459" spans="1:27">
      <c r="A459" s="466"/>
      <c r="B459" s="467"/>
      <c r="C459" s="467">
        <v>2017</v>
      </c>
      <c r="D459" s="467">
        <v>2016</v>
      </c>
      <c r="E459" s="467" t="s">
        <v>26</v>
      </c>
      <c r="F459" s="467" t="s">
        <v>25</v>
      </c>
      <c r="G459" s="467" t="s">
        <v>21</v>
      </c>
      <c r="H459" s="466"/>
      <c r="I459" s="466"/>
      <c r="J459" s="466"/>
      <c r="K459" s="466"/>
      <c r="L459" s="466"/>
      <c r="M459" s="467"/>
      <c r="N459" s="467">
        <v>2017</v>
      </c>
      <c r="O459" s="502" t="s">
        <v>503</v>
      </c>
      <c r="P459" s="502" t="s">
        <v>504</v>
      </c>
      <c r="Q459" s="502" t="s">
        <v>505</v>
      </c>
      <c r="R459" s="502" t="s">
        <v>506</v>
      </c>
      <c r="S459" s="466"/>
      <c r="T459" s="511" t="s">
        <v>512</v>
      </c>
      <c r="U459" s="466"/>
      <c r="V459" s="467"/>
      <c r="W459" s="467">
        <v>2017</v>
      </c>
      <c r="X459" s="502" t="s">
        <v>503</v>
      </c>
      <c r="Y459" s="502" t="s">
        <v>504</v>
      </c>
      <c r="Z459" s="502" t="s">
        <v>505</v>
      </c>
      <c r="AA459" s="502" t="s">
        <v>506</v>
      </c>
    </row>
    <row r="460" spans="1:27" ht="18">
      <c r="A460" s="466"/>
      <c r="B460" s="469" t="s">
        <v>1</v>
      </c>
      <c r="C460" s="498">
        <v>1897222.90724367</v>
      </c>
      <c r="D460" s="498">
        <v>1662552.1947622299</v>
      </c>
      <c r="E460" s="498">
        <v>1878036.27506644</v>
      </c>
      <c r="F460" s="498">
        <v>2161628.6318615102</v>
      </c>
      <c r="G460" s="498">
        <v>2474753.2658726</v>
      </c>
      <c r="H460" s="466"/>
      <c r="I460" s="466"/>
      <c r="J460" s="466"/>
      <c r="K460" s="466"/>
      <c r="L460" s="474" t="s">
        <v>151</v>
      </c>
      <c r="M460" s="469" t="s">
        <v>246</v>
      </c>
      <c r="N460" s="851">
        <v>43410000</v>
      </c>
      <c r="O460" s="851">
        <v>38890000</v>
      </c>
      <c r="P460" s="851">
        <v>33619000</v>
      </c>
      <c r="Q460" s="851">
        <v>30849700</v>
      </c>
      <c r="R460" s="851">
        <v>26646000</v>
      </c>
      <c r="S460" s="466"/>
      <c r="T460" s="466"/>
      <c r="U460" s="474" t="s">
        <v>151</v>
      </c>
      <c r="V460" s="469" t="s">
        <v>246</v>
      </c>
      <c r="W460" s="505">
        <v>6352018</v>
      </c>
      <c r="X460" s="505">
        <v>6408662</v>
      </c>
      <c r="Y460" s="505">
        <v>6251065</v>
      </c>
      <c r="Z460" s="505">
        <v>6214244</v>
      </c>
      <c r="AA460" s="505">
        <v>5969849</v>
      </c>
    </row>
    <row r="461" spans="1:27">
      <c r="A461" s="466"/>
      <c r="B461" s="467"/>
      <c r="C461" s="467"/>
      <c r="D461" s="467"/>
      <c r="E461" s="467"/>
      <c r="F461" s="467"/>
      <c r="G461" s="467"/>
      <c r="H461" s="466"/>
      <c r="I461" s="466"/>
      <c r="J461" s="466"/>
      <c r="K461" s="466"/>
      <c r="L461" s="466"/>
      <c r="M461" s="467"/>
      <c r="N461" s="852"/>
      <c r="O461" s="852"/>
      <c r="P461" s="852"/>
      <c r="Q461" s="852"/>
      <c r="R461" s="852"/>
      <c r="S461" s="466"/>
      <c r="T461" s="466"/>
      <c r="U461" s="466"/>
      <c r="V461" s="467"/>
      <c r="W461" s="507"/>
      <c r="X461" s="507"/>
      <c r="Y461" s="507"/>
      <c r="Z461" s="507"/>
      <c r="AA461" s="507"/>
    </row>
    <row r="462" spans="1:27" ht="42">
      <c r="A462" s="466"/>
      <c r="B462" s="484" t="s">
        <v>11</v>
      </c>
      <c r="C462" s="493">
        <v>100182.704459876</v>
      </c>
      <c r="D462" s="493">
        <v>104512.760429084</v>
      </c>
      <c r="E462" s="493">
        <v>97423.380066454396</v>
      </c>
      <c r="F462" s="493">
        <v>99407.810738682703</v>
      </c>
      <c r="G462" s="493">
        <v>126611.840897799</v>
      </c>
      <c r="H462" s="466"/>
      <c r="I462" s="466"/>
      <c r="J462" s="466"/>
      <c r="K462" s="466"/>
      <c r="L462" s="474" t="s">
        <v>499</v>
      </c>
      <c r="M462" s="484" t="s">
        <v>247</v>
      </c>
      <c r="N462" s="851">
        <v>5820000</v>
      </c>
      <c r="O462" s="851">
        <v>4840000</v>
      </c>
      <c r="P462" s="851">
        <v>3862000</v>
      </c>
      <c r="Q462" s="851">
        <v>3227400</v>
      </c>
      <c r="R462" s="853">
        <v>1576000</v>
      </c>
      <c r="S462" s="466"/>
      <c r="T462" s="466"/>
      <c r="U462" s="474" t="s">
        <v>499</v>
      </c>
      <c r="V462" s="484" t="s">
        <v>247</v>
      </c>
      <c r="W462" s="505">
        <v>3228832</v>
      </c>
      <c r="X462" s="505">
        <v>3000347</v>
      </c>
      <c r="Y462" s="505">
        <v>3246042</v>
      </c>
      <c r="Z462" s="505">
        <v>2945245</v>
      </c>
      <c r="AA462" s="505">
        <v>2196964</v>
      </c>
    </row>
    <row r="463" spans="1:27" ht="42">
      <c r="A463" s="466"/>
      <c r="B463" s="478" t="s">
        <v>2</v>
      </c>
      <c r="C463" s="493">
        <v>945481.124740839</v>
      </c>
      <c r="D463" s="493">
        <v>884466.35230034601</v>
      </c>
      <c r="E463" s="493">
        <v>634982.95790255105</v>
      </c>
      <c r="F463" s="493">
        <v>1415047.1710592499</v>
      </c>
      <c r="G463" s="493">
        <v>1592088.8006061299</v>
      </c>
      <c r="H463" s="466"/>
      <c r="I463" s="466"/>
      <c r="J463" s="466"/>
      <c r="K463" s="466"/>
      <c r="L463" s="466"/>
      <c r="M463" s="478" t="s">
        <v>248</v>
      </c>
      <c r="N463" s="851">
        <v>19209000</v>
      </c>
      <c r="O463" s="851">
        <v>19841000</v>
      </c>
      <c r="P463" s="851">
        <v>16764000</v>
      </c>
      <c r="Q463" s="851">
        <v>16373300</v>
      </c>
      <c r="R463" s="851">
        <v>15291000</v>
      </c>
      <c r="S463" s="466"/>
      <c r="T463" s="466"/>
      <c r="U463" s="466"/>
      <c r="V463" s="478" t="s">
        <v>248</v>
      </c>
      <c r="W463" s="587">
        <v>1989725</v>
      </c>
      <c r="X463" s="587">
        <v>2205751</v>
      </c>
      <c r="Y463" s="587">
        <v>2108912</v>
      </c>
      <c r="Z463" s="587">
        <v>2061148</v>
      </c>
      <c r="AA463" s="587">
        <v>2374303</v>
      </c>
    </row>
    <row r="464" spans="1:27" ht="28">
      <c r="A464" s="466"/>
      <c r="B464" s="478" t="s">
        <v>3</v>
      </c>
      <c r="C464" s="493">
        <v>19366.626150906101</v>
      </c>
      <c r="D464" s="493">
        <v>25313.224914670001</v>
      </c>
      <c r="E464" s="493">
        <v>587253.10666412103</v>
      </c>
      <c r="F464" s="493">
        <v>34576.044650375799</v>
      </c>
      <c r="G464" s="493">
        <v>50855.262672901197</v>
      </c>
      <c r="H464" s="466"/>
      <c r="I464" s="466"/>
      <c r="J464" s="466"/>
      <c r="K464" s="466"/>
      <c r="L464" s="466"/>
      <c r="M464" s="478" t="s">
        <v>249</v>
      </c>
      <c r="N464" s="854"/>
      <c r="O464" s="854"/>
      <c r="P464" s="854"/>
      <c r="Q464" s="854"/>
      <c r="R464" s="854"/>
      <c r="S464" s="466"/>
      <c r="T464" s="466"/>
      <c r="U464" s="466"/>
      <c r="V464" s="478" t="s">
        <v>249</v>
      </c>
      <c r="W464" s="508"/>
      <c r="X464" s="508"/>
      <c r="Y464" s="508"/>
      <c r="Z464" s="508"/>
      <c r="AA464" s="508"/>
    </row>
    <row r="465" spans="1:28" ht="18">
      <c r="A465" s="466"/>
      <c r="B465" s="476" t="s">
        <v>8</v>
      </c>
      <c r="C465" s="477">
        <v>964847.75089174509</v>
      </c>
      <c r="D465" s="477">
        <v>909779.577215016</v>
      </c>
      <c r="E465" s="477">
        <v>1222236.0645666721</v>
      </c>
      <c r="F465" s="477">
        <v>1449623.2157096257</v>
      </c>
      <c r="G465" s="477">
        <v>1642944.0632790311</v>
      </c>
      <c r="H465" s="466"/>
      <c r="I465" s="466"/>
      <c r="J465" s="466"/>
      <c r="K465" s="466"/>
      <c r="L465" s="474" t="s">
        <v>500</v>
      </c>
      <c r="M465" s="476" t="s">
        <v>250</v>
      </c>
      <c r="N465" s="851">
        <v>24472000</v>
      </c>
      <c r="O465" s="851">
        <v>23766000</v>
      </c>
      <c r="P465" s="851">
        <v>20265000</v>
      </c>
      <c r="Q465" s="851">
        <v>19785600</v>
      </c>
      <c r="R465" s="851">
        <v>18653000</v>
      </c>
      <c r="S465" s="466"/>
      <c r="T465" s="466"/>
      <c r="U465" s="474" t="s">
        <v>500</v>
      </c>
      <c r="V465" s="476" t="s">
        <v>250</v>
      </c>
      <c r="W465" s="505">
        <v>3493876</v>
      </c>
      <c r="X465" s="505">
        <v>3709490</v>
      </c>
      <c r="Y465" s="505">
        <v>3701873</v>
      </c>
      <c r="Z465" s="505">
        <v>3756946</v>
      </c>
      <c r="AA465" s="505">
        <v>3710863</v>
      </c>
    </row>
    <row r="466" spans="1:28" ht="42">
      <c r="A466" s="466"/>
      <c r="B466" s="482" t="s">
        <v>12</v>
      </c>
      <c r="C466" s="493">
        <v>171376.37103349</v>
      </c>
      <c r="D466" s="493">
        <v>113387.47035562999</v>
      </c>
      <c r="E466" s="493">
        <v>75936.433956027002</v>
      </c>
      <c r="F466" s="493">
        <v>17456.259210407701</v>
      </c>
      <c r="G466" s="493">
        <v>-47302.631127834298</v>
      </c>
      <c r="H466" s="466"/>
      <c r="I466" s="466"/>
      <c r="J466" s="466"/>
      <c r="K466" s="466"/>
      <c r="L466" s="474" t="s">
        <v>501</v>
      </c>
      <c r="M466" s="482" t="s">
        <v>251</v>
      </c>
      <c r="N466" s="851">
        <v>4514000</v>
      </c>
      <c r="O466" s="851">
        <v>2722000</v>
      </c>
      <c r="P466" s="851">
        <v>2721000</v>
      </c>
      <c r="Q466" s="851">
        <v>1025700</v>
      </c>
      <c r="R466" s="851">
        <v>467000</v>
      </c>
      <c r="S466" s="466"/>
      <c r="T466" s="466"/>
      <c r="U466" s="474" t="s">
        <v>501</v>
      </c>
      <c r="V466" s="482" t="s">
        <v>251</v>
      </c>
      <c r="W466" s="505">
        <v>401149</v>
      </c>
      <c r="X466" s="505">
        <v>300888</v>
      </c>
      <c r="Y466" s="505">
        <v>279360</v>
      </c>
      <c r="Z466" s="505">
        <v>254530</v>
      </c>
      <c r="AA466" s="505">
        <v>185580</v>
      </c>
      <c r="AB466" s="466"/>
    </row>
    <row r="467" spans="1:28" ht="42">
      <c r="A467" s="466"/>
      <c r="B467" s="478" t="s">
        <v>13</v>
      </c>
      <c r="C467" s="495">
        <v>17.619</v>
      </c>
      <c r="D467" s="495">
        <v>11.782</v>
      </c>
      <c r="E467" s="495">
        <v>8.3109999999999999</v>
      </c>
      <c r="F467" s="495">
        <v>4.2590000000000003</v>
      </c>
      <c r="G467" s="495">
        <v>-4.5659999999999998</v>
      </c>
      <c r="H467" s="466"/>
      <c r="I467" s="466"/>
      <c r="J467" s="466"/>
      <c r="K467" s="466"/>
      <c r="L467" s="466"/>
      <c r="M467" s="478" t="s">
        <v>252</v>
      </c>
      <c r="N467" s="854"/>
      <c r="O467" s="854"/>
      <c r="P467" s="854"/>
      <c r="Q467" s="854"/>
      <c r="R467" s="854"/>
      <c r="S467" s="466"/>
      <c r="T467" s="466"/>
      <c r="U467" s="466"/>
      <c r="V467" s="478" t="s">
        <v>252</v>
      </c>
      <c r="W467" s="508" t="e">
        <v>#DIV/0!</v>
      </c>
      <c r="X467" s="508" t="e">
        <v>#DIV/0!</v>
      </c>
      <c r="Y467" s="508" t="e">
        <v>#DIV/0!</v>
      </c>
      <c r="Z467" s="508" t="e">
        <v>#DIV/0!</v>
      </c>
      <c r="AA467" s="508" t="e">
        <v>#DIV/0!</v>
      </c>
      <c r="AB467" s="466"/>
    </row>
    <row r="468" spans="1:28" ht="42">
      <c r="A468" s="466"/>
      <c r="B468" s="478" t="s">
        <v>14</v>
      </c>
      <c r="C468" s="495">
        <v>8.6590000000000007</v>
      </c>
      <c r="D468" s="495">
        <v>5.335</v>
      </c>
      <c r="E468" s="495">
        <v>2.9020000000000001</v>
      </c>
      <c r="F468" s="495">
        <v>1.403</v>
      </c>
      <c r="G468" s="495">
        <v>-1.5349999999999999</v>
      </c>
      <c r="H468" s="466"/>
      <c r="I468" s="466"/>
      <c r="J468" s="466"/>
      <c r="K468" s="466"/>
      <c r="L468" s="466"/>
      <c r="M468" s="478" t="s">
        <v>253</v>
      </c>
      <c r="N468" s="508"/>
      <c r="O468" s="508"/>
      <c r="P468" s="508"/>
      <c r="Q468" s="508"/>
      <c r="R468" s="508"/>
      <c r="S468" s="466"/>
      <c r="T468" s="466"/>
      <c r="U468" s="466"/>
      <c r="V468" s="478" t="s">
        <v>253</v>
      </c>
      <c r="W468" s="508">
        <v>6.2872668227712009E-2</v>
      </c>
      <c r="X468" s="508">
        <v>4.7534674325915557E-2</v>
      </c>
      <c r="Y468" s="508">
        <v>4.4821993582349222E-2</v>
      </c>
      <c r="Z468" s="508">
        <v>4.1780705383650633E-2</v>
      </c>
      <c r="AA468" s="508">
        <v>6.2172426806775177E-2</v>
      </c>
      <c r="AB468" s="466"/>
    </row>
    <row r="469" spans="1:28" ht="56">
      <c r="A469" s="466"/>
      <c r="B469" s="478" t="s">
        <v>15</v>
      </c>
      <c r="C469" s="496">
        <v>1964.3667540674501</v>
      </c>
      <c r="D469" s="496">
        <v>2009.8607774823899</v>
      </c>
      <c r="E469" s="496">
        <v>1771.3341829748499</v>
      </c>
      <c r="F469" s="496">
        <v>1743.99667964726</v>
      </c>
      <c r="G469" s="496">
        <v>2260.9257302473402</v>
      </c>
      <c r="H469" s="466"/>
      <c r="I469" s="466"/>
      <c r="J469" s="466"/>
      <c r="K469" s="466"/>
      <c r="L469" s="466"/>
      <c r="M469" s="478" t="s">
        <v>254</v>
      </c>
      <c r="N469" s="508"/>
      <c r="O469" s="508"/>
      <c r="P469" s="508"/>
      <c r="Q469" s="508"/>
      <c r="R469" s="508"/>
      <c r="S469" s="466"/>
      <c r="T469" s="466"/>
      <c r="U469" s="466"/>
      <c r="V469" s="478" t="s">
        <v>254</v>
      </c>
      <c r="W469" s="508"/>
      <c r="X469" s="508"/>
      <c r="Y469" s="508"/>
      <c r="Z469" s="508"/>
      <c r="AA469" s="508"/>
      <c r="AB469" s="466"/>
    </row>
    <row r="470" spans="1:28" ht="18">
      <c r="A470" s="466"/>
      <c r="B470" s="472" t="s">
        <v>23</v>
      </c>
      <c r="C470" s="493">
        <v>932375.15635192394</v>
      </c>
      <c r="D470" s="493">
        <v>752772.61754721403</v>
      </c>
      <c r="E470" s="493">
        <v>655800.21049976302</v>
      </c>
      <c r="F470" s="493">
        <v>712005.41615188099</v>
      </c>
      <c r="G470" s="493">
        <v>831809.20259356499</v>
      </c>
      <c r="H470" s="466"/>
      <c r="I470" s="466"/>
      <c r="J470" s="466"/>
      <c r="K470" s="466"/>
      <c r="L470" s="474" t="s">
        <v>502</v>
      </c>
      <c r="M470" s="472" t="s">
        <v>255</v>
      </c>
      <c r="N470" s="505">
        <v>18938000</v>
      </c>
      <c r="O470" s="505">
        <v>15124000</v>
      </c>
      <c r="P470" s="505">
        <v>13354000</v>
      </c>
      <c r="Q470" s="505">
        <v>11064000</v>
      </c>
      <c r="R470" s="505">
        <v>7993000</v>
      </c>
      <c r="S470" s="466"/>
      <c r="T470" s="466"/>
      <c r="U470" s="474" t="s">
        <v>502</v>
      </c>
      <c r="V470" s="472" t="s">
        <v>255</v>
      </c>
      <c r="W470" s="505">
        <v>2858142</v>
      </c>
      <c r="X470" s="505">
        <v>2699172</v>
      </c>
      <c r="Y470" s="505">
        <v>2549192</v>
      </c>
      <c r="Z470" s="505">
        <v>2457298</v>
      </c>
      <c r="AA470" s="505">
        <v>2258986</v>
      </c>
      <c r="AB470" s="466"/>
    </row>
    <row r="472" spans="1:28">
      <c r="A472" s="480" t="s">
        <v>28</v>
      </c>
      <c r="B472" s="466"/>
      <c r="C472" s="466"/>
      <c r="D472" s="466"/>
      <c r="E472" s="466"/>
      <c r="F472" s="466"/>
      <c r="G472" s="466"/>
      <c r="H472" s="466"/>
      <c r="I472" s="466"/>
      <c r="J472" s="466"/>
      <c r="K472" s="466"/>
      <c r="L472" s="466"/>
      <c r="M472" s="466"/>
      <c r="N472" s="466"/>
      <c r="O472" s="466"/>
      <c r="P472" s="466"/>
      <c r="Q472" s="466"/>
      <c r="R472" s="466"/>
      <c r="S472" s="466"/>
      <c r="T472" s="466"/>
      <c r="U472" s="466"/>
      <c r="V472" s="466"/>
      <c r="W472" s="466"/>
      <c r="X472" s="466"/>
      <c r="Y472" s="466"/>
      <c r="Z472" s="466"/>
      <c r="AA472" s="466"/>
      <c r="AB472" s="466"/>
    </row>
    <row r="473" spans="1:28">
      <c r="A473" s="480" t="s">
        <v>29</v>
      </c>
      <c r="B473" s="466"/>
      <c r="C473" s="466"/>
      <c r="D473" s="466"/>
      <c r="E473" s="466"/>
      <c r="F473" s="466"/>
      <c r="G473" s="466"/>
      <c r="H473" s="466"/>
      <c r="I473" s="466"/>
      <c r="J473" s="466"/>
      <c r="K473" s="466"/>
      <c r="L473" s="466"/>
      <c r="M473" s="466"/>
      <c r="N473" s="466"/>
      <c r="O473" s="466"/>
      <c r="P473" s="466"/>
      <c r="Q473" s="466"/>
      <c r="R473" s="466"/>
      <c r="S473" s="466"/>
      <c r="T473" s="466"/>
      <c r="U473" s="466"/>
      <c r="V473" s="466"/>
      <c r="W473" s="466"/>
      <c r="X473" s="466"/>
      <c r="Y473" s="466"/>
      <c r="Z473" s="466"/>
      <c r="AA473" s="466"/>
      <c r="AB473" s="466"/>
    </row>
    <row r="474" spans="1:28">
      <c r="A474" s="466"/>
      <c r="B474" s="467"/>
      <c r="C474" s="467">
        <v>2017</v>
      </c>
      <c r="D474" s="467">
        <v>2016</v>
      </c>
      <c r="E474" s="467" t="s">
        <v>26</v>
      </c>
      <c r="F474" s="467" t="s">
        <v>25</v>
      </c>
      <c r="G474" s="467" t="s">
        <v>21</v>
      </c>
      <c r="H474" s="466"/>
      <c r="I474" s="511" t="s">
        <v>513</v>
      </c>
      <c r="J474" s="466"/>
      <c r="K474" s="466"/>
      <c r="L474" s="466"/>
      <c r="M474" s="467"/>
      <c r="N474" s="467">
        <v>2017</v>
      </c>
      <c r="O474" s="502" t="s">
        <v>503</v>
      </c>
      <c r="P474" s="502" t="s">
        <v>504</v>
      </c>
      <c r="Q474" s="502" t="s">
        <v>505</v>
      </c>
      <c r="R474" s="502" t="s">
        <v>506</v>
      </c>
      <c r="S474" s="466"/>
      <c r="T474" s="511" t="s">
        <v>514</v>
      </c>
      <c r="U474" s="466"/>
      <c r="V474" s="466"/>
      <c r="W474" s="467"/>
      <c r="X474" s="467">
        <v>2017</v>
      </c>
      <c r="Y474" s="502" t="s">
        <v>503</v>
      </c>
      <c r="Z474" s="502" t="s">
        <v>504</v>
      </c>
      <c r="AA474" s="502" t="s">
        <v>505</v>
      </c>
      <c r="AB474" s="502" t="s">
        <v>506</v>
      </c>
    </row>
    <row r="475" spans="1:28" ht="18">
      <c r="A475" s="466"/>
      <c r="B475" s="469" t="s">
        <v>1</v>
      </c>
      <c r="C475" s="498">
        <v>15161023.2091546</v>
      </c>
      <c r="D475" s="498">
        <v>19642459.285527501</v>
      </c>
      <c r="E475" s="498">
        <v>17094437.7079904</v>
      </c>
      <c r="F475" s="498">
        <v>17467160.96057</v>
      </c>
      <c r="G475" s="498">
        <v>18385197.193086099</v>
      </c>
      <c r="H475" s="466"/>
      <c r="I475" s="466"/>
      <c r="J475" s="466"/>
      <c r="K475" s="466"/>
      <c r="L475" s="474" t="s">
        <v>151</v>
      </c>
      <c r="M475" s="469" t="s">
        <v>246</v>
      </c>
      <c r="N475" s="505">
        <v>636600</v>
      </c>
      <c r="O475" s="505">
        <v>837000</v>
      </c>
      <c r="P475" s="505">
        <v>907000</v>
      </c>
      <c r="Q475" s="505">
        <v>810000</v>
      </c>
      <c r="R475" s="505">
        <v>533100</v>
      </c>
      <c r="S475" s="466"/>
      <c r="T475" s="466"/>
      <c r="U475" s="466"/>
      <c r="V475" s="474" t="s">
        <v>151</v>
      </c>
      <c r="W475" s="469" t="s">
        <v>246</v>
      </c>
      <c r="X475" s="505">
        <v>695608</v>
      </c>
      <c r="Y475" s="505">
        <v>659324</v>
      </c>
      <c r="Z475" s="505">
        <v>675352</v>
      </c>
      <c r="AA475" s="505">
        <v>610847</v>
      </c>
      <c r="AB475" s="505">
        <v>494243</v>
      </c>
    </row>
    <row r="476" spans="1:28">
      <c r="A476" s="466"/>
      <c r="B476" s="467"/>
      <c r="C476" s="467"/>
      <c r="D476" s="467"/>
      <c r="E476" s="467"/>
      <c r="F476" s="467"/>
      <c r="G476" s="467"/>
      <c r="H476" s="466"/>
      <c r="I476" s="466"/>
      <c r="J476" s="466"/>
      <c r="K476" s="466"/>
      <c r="L476" s="466"/>
      <c r="M476" s="467"/>
      <c r="N476" s="507"/>
      <c r="O476" s="507"/>
      <c r="P476" s="507"/>
      <c r="Q476" s="507"/>
      <c r="R476" s="507"/>
      <c r="S476" s="466"/>
      <c r="T476" s="466"/>
      <c r="U476" s="466"/>
      <c r="V476" s="466"/>
      <c r="W476" s="467"/>
      <c r="X476" s="507"/>
      <c r="Y476" s="507"/>
      <c r="Z476" s="507"/>
      <c r="AA476" s="507"/>
      <c r="AB476" s="507"/>
    </row>
    <row r="477" spans="1:28" ht="42">
      <c r="A477" s="466"/>
      <c r="B477" s="484" t="s">
        <v>11</v>
      </c>
      <c r="C477" s="493">
        <v>30981486.1288816</v>
      </c>
      <c r="D477" s="493">
        <v>24669953.456595499</v>
      </c>
      <c r="E477" s="493">
        <v>29732121.8392253</v>
      </c>
      <c r="F477" s="493">
        <v>33803500.873446502</v>
      </c>
      <c r="G477" s="493">
        <v>36369900.968939103</v>
      </c>
      <c r="H477" s="466"/>
      <c r="I477" s="466"/>
      <c r="J477" s="466"/>
      <c r="K477" s="466"/>
      <c r="L477" s="474" t="s">
        <v>499</v>
      </c>
      <c r="M477" s="484" t="s">
        <v>247</v>
      </c>
      <c r="N477" s="505">
        <v>419000</v>
      </c>
      <c r="O477" s="505">
        <v>537000</v>
      </c>
      <c r="P477" s="505">
        <v>616000</v>
      </c>
      <c r="Q477" s="505">
        <v>481000</v>
      </c>
      <c r="R477" s="505">
        <v>300100</v>
      </c>
      <c r="S477" s="466"/>
      <c r="T477" s="466"/>
      <c r="U477" s="466"/>
      <c r="V477" s="474" t="s">
        <v>499</v>
      </c>
      <c r="W477" s="484" t="s">
        <v>247</v>
      </c>
      <c r="X477" s="505">
        <v>951478</v>
      </c>
      <c r="Y477" s="505">
        <v>1120166</v>
      </c>
      <c r="Z477" s="505">
        <v>1146049</v>
      </c>
      <c r="AA477" s="505">
        <v>828514</v>
      </c>
      <c r="AB477" s="505">
        <v>718873</v>
      </c>
    </row>
    <row r="478" spans="1:28" ht="42">
      <c r="A478" s="466"/>
      <c r="B478" s="478" t="s">
        <v>2</v>
      </c>
      <c r="C478" s="493">
        <v>2187332.5309306402</v>
      </c>
      <c r="D478" s="493">
        <v>0</v>
      </c>
      <c r="E478" s="493">
        <v>0</v>
      </c>
      <c r="F478" s="493">
        <v>0</v>
      </c>
      <c r="G478" s="493">
        <v>0</v>
      </c>
      <c r="H478" s="466"/>
      <c r="I478" s="466"/>
      <c r="J478" s="466"/>
      <c r="K478" s="466"/>
      <c r="L478" s="466"/>
      <c r="M478" s="478" t="s">
        <v>248</v>
      </c>
      <c r="N478" s="587">
        <v>38800</v>
      </c>
      <c r="O478" s="587">
        <v>166000</v>
      </c>
      <c r="P478" s="587">
        <v>229000</v>
      </c>
      <c r="Q478" s="587">
        <v>203000</v>
      </c>
      <c r="R478" s="587">
        <v>74900</v>
      </c>
      <c r="S478" s="466"/>
      <c r="T478" s="466"/>
      <c r="U478" s="466"/>
      <c r="V478" s="466"/>
      <c r="W478" s="478" t="s">
        <v>248</v>
      </c>
      <c r="X478" s="587">
        <v>52045</v>
      </c>
      <c r="Y478" s="587">
        <v>38075</v>
      </c>
      <c r="Z478" s="587">
        <v>37186</v>
      </c>
      <c r="AA478" s="587">
        <v>68172</v>
      </c>
      <c r="AB478" s="587">
        <v>53367</v>
      </c>
    </row>
    <row r="479" spans="1:28" ht="28">
      <c r="A479" s="466"/>
      <c r="B479" s="478" t="s">
        <v>3</v>
      </c>
      <c r="C479" s="493">
        <v>6074543.2666540099</v>
      </c>
      <c r="D479" s="493">
        <v>18294895.488053601</v>
      </c>
      <c r="E479" s="493">
        <v>15338478.6148667</v>
      </c>
      <c r="F479" s="493">
        <v>15509018.2061195</v>
      </c>
      <c r="G479" s="493">
        <v>16248190.634518901</v>
      </c>
      <c r="H479" s="466"/>
      <c r="I479" s="466"/>
      <c r="J479" s="466"/>
      <c r="K479" s="466"/>
      <c r="L479" s="466"/>
      <c r="M479" s="478" t="s">
        <v>249</v>
      </c>
      <c r="N479" s="508"/>
      <c r="O479" s="508"/>
      <c r="P479" s="508"/>
      <c r="Q479" s="508"/>
      <c r="R479" s="508"/>
      <c r="S479" s="466"/>
      <c r="T479" s="466"/>
      <c r="U479" s="466"/>
      <c r="V479" s="466"/>
      <c r="W479" s="478" t="s">
        <v>249</v>
      </c>
      <c r="X479" s="508"/>
      <c r="Y479" s="508"/>
      <c r="Z479" s="508"/>
      <c r="AA479" s="508"/>
      <c r="AB479" s="508"/>
    </row>
    <row r="480" spans="1:28" ht="18">
      <c r="A480" s="466"/>
      <c r="B480" s="476" t="s">
        <v>8</v>
      </c>
      <c r="C480" s="477">
        <v>8261875.7975846501</v>
      </c>
      <c r="D480" s="477">
        <v>18294895.488053601</v>
      </c>
      <c r="E480" s="477">
        <v>15338478.6148667</v>
      </c>
      <c r="F480" s="477">
        <v>15509018.2061195</v>
      </c>
      <c r="G480" s="477">
        <v>16248190.634518901</v>
      </c>
      <c r="H480" s="466"/>
      <c r="I480" s="466"/>
      <c r="J480" s="466"/>
      <c r="K480" s="466"/>
      <c r="L480" s="474" t="s">
        <v>500</v>
      </c>
      <c r="M480" s="476" t="s">
        <v>250</v>
      </c>
      <c r="N480" s="505">
        <v>168600</v>
      </c>
      <c r="O480" s="505">
        <v>317000</v>
      </c>
      <c r="P480" s="505">
        <v>552000</v>
      </c>
      <c r="Q480" s="505">
        <v>443000</v>
      </c>
      <c r="R480" s="505">
        <v>219000</v>
      </c>
      <c r="S480" s="466"/>
      <c r="T480" s="466"/>
      <c r="U480" s="466"/>
      <c r="V480" s="474" t="s">
        <v>500</v>
      </c>
      <c r="W480" s="476" t="s">
        <v>250</v>
      </c>
      <c r="X480" s="505">
        <v>414596</v>
      </c>
      <c r="Y480" s="505">
        <v>338342</v>
      </c>
      <c r="Z480" s="505">
        <v>378104</v>
      </c>
      <c r="AA480" s="505">
        <v>364325</v>
      </c>
      <c r="AB480" s="505">
        <v>243443</v>
      </c>
    </row>
    <row r="481" spans="1:28" ht="42">
      <c r="A481" s="466"/>
      <c r="B481" s="482" t="s">
        <v>12</v>
      </c>
      <c r="C481" s="493">
        <v>4548842.8945392398</v>
      </c>
      <c r="D481" s="493">
        <v>870185.60992181301</v>
      </c>
      <c r="E481" s="493">
        <v>857888.74116540002</v>
      </c>
      <c r="F481" s="493">
        <v>590713.35138380504</v>
      </c>
      <c r="G481" s="493">
        <v>2957894.7086334201</v>
      </c>
      <c r="H481" s="466"/>
      <c r="I481" s="466"/>
      <c r="J481" s="466"/>
      <c r="K481" s="466"/>
      <c r="L481" s="474" t="s">
        <v>501</v>
      </c>
      <c r="M481" s="482" t="s">
        <v>251</v>
      </c>
      <c r="N481" s="505">
        <v>-66900</v>
      </c>
      <c r="O481" s="505">
        <v>-63000</v>
      </c>
      <c r="P481" s="505">
        <v>-50000</v>
      </c>
      <c r="Q481" s="505">
        <v>-59000</v>
      </c>
      <c r="R481" s="505">
        <v>60300</v>
      </c>
      <c r="S481" s="466"/>
      <c r="T481" s="466"/>
      <c r="U481" s="466"/>
      <c r="V481" s="474" t="s">
        <v>501</v>
      </c>
      <c r="W481" s="482" t="s">
        <v>251</v>
      </c>
      <c r="X481" s="505">
        <v>10035</v>
      </c>
      <c r="Y481" s="505">
        <v>74199</v>
      </c>
      <c r="Z481" s="505">
        <v>36443</v>
      </c>
      <c r="AA481" s="505">
        <v>-1820</v>
      </c>
      <c r="AB481" s="505">
        <v>51169</v>
      </c>
    </row>
    <row r="482" spans="1:28" ht="42">
      <c r="A482" s="466"/>
      <c r="B482" s="478" t="s">
        <v>13</v>
      </c>
      <c r="C482" s="495">
        <v>65.933000000000007</v>
      </c>
      <c r="D482" s="495">
        <v>64.575000000000003</v>
      </c>
      <c r="E482" s="495">
        <v>48.859000000000002</v>
      </c>
      <c r="F482" s="495">
        <v>30.167000000000002</v>
      </c>
      <c r="G482" s="495">
        <v>138.41300000000001</v>
      </c>
      <c r="H482" s="466"/>
      <c r="I482" s="466"/>
      <c r="J482" s="466"/>
      <c r="K482" s="466"/>
      <c r="L482" s="466"/>
      <c r="M482" s="478" t="s">
        <v>252</v>
      </c>
      <c r="N482" s="508" t="e">
        <v>#DIV/0!</v>
      </c>
      <c r="O482" s="508" t="e">
        <v>#VALUE!</v>
      </c>
      <c r="P482" s="508" t="e">
        <v>#VALUE!</v>
      </c>
      <c r="Q482" s="508" t="e">
        <v>#DIV/0!</v>
      </c>
      <c r="R482" s="508" t="e">
        <v>#DIV/0!</v>
      </c>
      <c r="S482" s="466"/>
      <c r="T482" s="466"/>
      <c r="U482" s="466"/>
      <c r="V482" s="466"/>
      <c r="W482" s="478" t="s">
        <v>252</v>
      </c>
      <c r="X482" s="508" t="e">
        <v>#DIV/0!</v>
      </c>
      <c r="Y482" s="508" t="e">
        <v>#DIV/0!</v>
      </c>
      <c r="Z482" s="508" t="e">
        <v>#DIV/0!</v>
      </c>
      <c r="AA482" s="508" t="e">
        <v>#DIV/0!</v>
      </c>
      <c r="AB482" s="508" t="e">
        <v>#DIV/0!</v>
      </c>
    </row>
    <row r="483" spans="1:28" ht="42">
      <c r="A483" s="466"/>
      <c r="B483" s="478" t="s">
        <v>14</v>
      </c>
      <c r="C483" s="495">
        <v>30.004000000000001</v>
      </c>
      <c r="D483" s="495">
        <v>4.43</v>
      </c>
      <c r="E483" s="495">
        <v>5.0190000000000001</v>
      </c>
      <c r="F483" s="495">
        <v>3.3820000000000001</v>
      </c>
      <c r="G483" s="495">
        <v>16.088000000000001</v>
      </c>
      <c r="H483" s="466"/>
      <c r="I483" s="466"/>
      <c r="J483" s="466"/>
      <c r="K483" s="466"/>
      <c r="L483" s="466"/>
      <c r="M483" s="478" t="s">
        <v>253</v>
      </c>
      <c r="N483" s="508">
        <v>-9.0798045602605862E-2</v>
      </c>
      <c r="O483" s="508">
        <v>-7.2247706422018346E-2</v>
      </c>
      <c r="P483" s="508">
        <v>-5.8241118229470007E-2</v>
      </c>
      <c r="Q483" s="508">
        <v>-8.7856451492815124E-2</v>
      </c>
      <c r="R483" s="508">
        <v>0.22622397298818234</v>
      </c>
      <c r="S483" s="466"/>
      <c r="T483" s="466"/>
      <c r="U483" s="466"/>
      <c r="V483" s="466"/>
      <c r="W483" s="478" t="s">
        <v>253</v>
      </c>
      <c r="X483" s="508">
        <v>1.4812551478598187E-2</v>
      </c>
      <c r="Y483" s="508">
        <v>0.1111865351590948</v>
      </c>
      <c r="Z483" s="508">
        <v>5.6667747370352489E-2</v>
      </c>
      <c r="AA483" s="508">
        <v>-3.2938493697345916E-3</v>
      </c>
      <c r="AB483" s="508">
        <v>0.20706008987481866</v>
      </c>
    </row>
    <row r="484" spans="1:28" ht="56">
      <c r="A484" s="466"/>
      <c r="B484" s="478" t="s">
        <v>15</v>
      </c>
      <c r="C484" s="496">
        <v>312.94430429891798</v>
      </c>
      <c r="D484" s="496">
        <v>300.853090987852</v>
      </c>
      <c r="E484" s="496">
        <v>376.35597270158303</v>
      </c>
      <c r="F484" s="497" t="s">
        <v>22</v>
      </c>
      <c r="G484" s="497" t="s">
        <v>22</v>
      </c>
      <c r="H484" s="466"/>
      <c r="I484" s="466"/>
      <c r="J484" s="466"/>
      <c r="K484" s="466"/>
      <c r="L484" s="466"/>
      <c r="M484" s="478" t="s">
        <v>254</v>
      </c>
      <c r="N484" s="508"/>
      <c r="O484" s="508"/>
      <c r="P484" s="508"/>
      <c r="Q484" s="508"/>
      <c r="R484" s="508"/>
      <c r="S484" s="466"/>
      <c r="T484" s="466"/>
      <c r="U484" s="466"/>
      <c r="V484" s="466"/>
      <c r="W484" s="478" t="s">
        <v>254</v>
      </c>
      <c r="X484" s="508"/>
      <c r="Y484" s="508"/>
      <c r="Z484" s="508"/>
      <c r="AA484" s="508"/>
      <c r="AB484" s="508"/>
    </row>
    <row r="485" spans="1:28" ht="18">
      <c r="A485" s="466"/>
      <c r="B485" s="472" t="s">
        <v>23</v>
      </c>
      <c r="C485" s="493">
        <v>6899147.4115699502</v>
      </c>
      <c r="D485" s="493">
        <v>1347563.79747391</v>
      </c>
      <c r="E485" s="493">
        <v>1755845.58574855</v>
      </c>
      <c r="F485" s="493">
        <v>1958142.7544504399</v>
      </c>
      <c r="G485" s="493">
        <v>2137006.5585672902</v>
      </c>
      <c r="H485" s="466"/>
      <c r="I485" s="466"/>
      <c r="J485" s="466"/>
      <c r="K485" s="466"/>
      <c r="L485" s="474" t="s">
        <v>502</v>
      </c>
      <c r="M485" s="472" t="s">
        <v>255</v>
      </c>
      <c r="N485" s="505">
        <v>468000</v>
      </c>
      <c r="O485" s="505">
        <v>520000</v>
      </c>
      <c r="P485" s="505">
        <v>355000</v>
      </c>
      <c r="Q485" s="505">
        <v>367000</v>
      </c>
      <c r="R485" s="505">
        <v>313900</v>
      </c>
      <c r="S485" s="466"/>
      <c r="T485" s="466"/>
      <c r="U485" s="466"/>
      <c r="V485" s="474" t="s">
        <v>502</v>
      </c>
      <c r="W485" s="472" t="s">
        <v>255</v>
      </c>
      <c r="X485" s="505">
        <v>281012</v>
      </c>
      <c r="Y485" s="505">
        <v>320981</v>
      </c>
      <c r="Z485" s="505">
        <v>297247</v>
      </c>
      <c r="AA485" s="505">
        <v>246520</v>
      </c>
      <c r="AB485" s="505">
        <v>250798</v>
      </c>
    </row>
    <row r="488" spans="1:28">
      <c r="A488" s="480" t="s">
        <v>30</v>
      </c>
      <c r="B488" s="466"/>
      <c r="C488" s="466"/>
      <c r="D488" s="466"/>
      <c r="E488" s="466"/>
      <c r="F488" s="466"/>
      <c r="G488" s="466"/>
      <c r="H488" s="466"/>
      <c r="I488" s="466"/>
      <c r="J488" s="466"/>
      <c r="K488" s="466"/>
      <c r="L488" s="466"/>
      <c r="M488" s="466"/>
      <c r="N488" s="466"/>
      <c r="O488" s="466"/>
      <c r="P488" s="466"/>
      <c r="Q488" s="466"/>
      <c r="R488" s="466"/>
      <c r="S488" s="466"/>
      <c r="T488" s="466"/>
      <c r="U488" s="466"/>
      <c r="V488" s="466"/>
      <c r="W488" s="466"/>
      <c r="X488" s="466"/>
      <c r="Y488" s="466"/>
      <c r="Z488" s="466"/>
      <c r="AA488" s="466"/>
      <c r="AB488" s="466"/>
    </row>
    <row r="489" spans="1:28">
      <c r="A489" s="466"/>
      <c r="B489" s="466"/>
      <c r="C489" s="466"/>
      <c r="D489" s="466"/>
      <c r="E489" s="466"/>
      <c r="F489" s="466"/>
      <c r="G489" s="466"/>
      <c r="H489" s="466"/>
      <c r="I489" s="466"/>
      <c r="J489" s="466"/>
      <c r="K489" s="509" t="s">
        <v>515</v>
      </c>
      <c r="L489" s="466"/>
      <c r="M489" s="466"/>
      <c r="N489" s="466"/>
      <c r="O489" s="466"/>
      <c r="P489" s="466"/>
      <c r="Q489" s="466"/>
      <c r="R489" s="466"/>
      <c r="S489" s="466"/>
      <c r="T489" s="466"/>
      <c r="U489" s="466"/>
      <c r="V489" s="466"/>
      <c r="W489" s="466"/>
      <c r="X489" s="466"/>
      <c r="Y489" s="466"/>
      <c r="Z489" s="466"/>
      <c r="AA489" s="466"/>
      <c r="AB489" s="466"/>
    </row>
    <row r="490" spans="1:28">
      <c r="A490" s="466"/>
      <c r="B490" s="467"/>
      <c r="C490" s="467">
        <v>2017</v>
      </c>
      <c r="D490" s="467">
        <v>2016</v>
      </c>
      <c r="E490" s="467" t="s">
        <v>26</v>
      </c>
      <c r="F490" s="467" t="s">
        <v>25</v>
      </c>
      <c r="G490" s="467" t="s">
        <v>21</v>
      </c>
      <c r="H490" s="466"/>
      <c r="I490" s="466"/>
      <c r="J490" s="466"/>
      <c r="K490" s="474" t="s">
        <v>199</v>
      </c>
      <c r="L490" s="466"/>
      <c r="M490" s="466"/>
      <c r="N490" s="466"/>
      <c r="O490" s="466"/>
      <c r="P490" s="466"/>
      <c r="Q490" s="466"/>
      <c r="R490" s="466"/>
      <c r="S490" s="466"/>
      <c r="T490" s="466"/>
      <c r="U490" s="466"/>
      <c r="V490" s="466"/>
      <c r="W490" s="466"/>
      <c r="X490" s="466"/>
      <c r="Y490" s="466"/>
      <c r="Z490" s="466"/>
      <c r="AA490" s="466"/>
      <c r="AB490" s="466"/>
    </row>
    <row r="491" spans="1:28">
      <c r="A491" s="466"/>
      <c r="B491" s="469" t="s">
        <v>1</v>
      </c>
      <c r="C491" s="498">
        <v>2870058</v>
      </c>
      <c r="D491" s="498">
        <v>2361623</v>
      </c>
      <c r="E491" s="498">
        <v>2178667</v>
      </c>
      <c r="F491" s="498">
        <v>1262740</v>
      </c>
      <c r="G491" s="498">
        <v>409858</v>
      </c>
      <c r="H491" s="466"/>
      <c r="I491" s="466"/>
      <c r="J491" s="466"/>
      <c r="K491" s="466"/>
      <c r="L491" s="466"/>
      <c r="M491" s="467"/>
      <c r="N491" s="467">
        <v>2017</v>
      </c>
      <c r="O491" s="502" t="s">
        <v>503</v>
      </c>
      <c r="P491" s="502" t="s">
        <v>504</v>
      </c>
      <c r="Q491" s="502" t="s">
        <v>505</v>
      </c>
      <c r="R491" s="502" t="s">
        <v>506</v>
      </c>
      <c r="S491" s="466"/>
      <c r="T491" s="466"/>
      <c r="U491" s="466"/>
      <c r="V491" s="466"/>
      <c r="W491" s="466"/>
      <c r="X491" s="466"/>
      <c r="Y491" s="466"/>
      <c r="Z491" s="466"/>
      <c r="AA491" s="466"/>
      <c r="AB491" s="466"/>
    </row>
    <row r="492" spans="1:28" ht="18">
      <c r="A492" s="466"/>
      <c r="B492" s="467"/>
      <c r="C492" s="467"/>
      <c r="D492" s="467"/>
      <c r="E492" s="467"/>
      <c r="F492" s="467"/>
      <c r="G492" s="467"/>
      <c r="H492" s="466"/>
      <c r="I492" s="466"/>
      <c r="J492" s="466"/>
      <c r="K492" s="466"/>
      <c r="L492" s="474" t="s">
        <v>151</v>
      </c>
      <c r="M492" s="469" t="s">
        <v>246</v>
      </c>
      <c r="N492" s="505">
        <v>636841</v>
      </c>
      <c r="O492" s="505">
        <v>605763</v>
      </c>
      <c r="P492" s="505">
        <v>541831</v>
      </c>
      <c r="Q492" s="505">
        <v>403602</v>
      </c>
      <c r="R492" s="505">
        <v>384669</v>
      </c>
      <c r="S492" s="466"/>
      <c r="T492" s="466"/>
      <c r="U492" s="466"/>
      <c r="V492" s="466"/>
      <c r="W492" s="466"/>
      <c r="X492" s="466"/>
      <c r="Y492" s="466"/>
      <c r="Z492" s="466"/>
      <c r="AA492" s="466"/>
      <c r="AB492" s="466"/>
    </row>
    <row r="493" spans="1:28" ht="42">
      <c r="A493" s="466"/>
      <c r="B493" s="484" t="s">
        <v>11</v>
      </c>
      <c r="C493" s="493">
        <v>463904</v>
      </c>
      <c r="D493" s="493">
        <v>257808</v>
      </c>
      <c r="E493" s="493">
        <v>190238</v>
      </c>
      <c r="F493" s="493">
        <v>96715</v>
      </c>
      <c r="G493" s="493">
        <v>37546</v>
      </c>
      <c r="H493" s="466"/>
      <c r="I493" s="466"/>
      <c r="J493" s="466"/>
      <c r="K493" s="466"/>
      <c r="L493" s="466"/>
      <c r="M493" s="467"/>
      <c r="N493" s="507"/>
      <c r="O493" s="507"/>
      <c r="P493" s="507"/>
      <c r="Q493" s="507"/>
      <c r="R493" s="507"/>
      <c r="S493" s="466"/>
      <c r="T493" s="466"/>
      <c r="U493" s="466"/>
      <c r="V493" s="466"/>
      <c r="W493" s="466"/>
      <c r="X493" s="466"/>
      <c r="Y493" s="466"/>
      <c r="Z493" s="466"/>
      <c r="AA493" s="466"/>
      <c r="AB493" s="466"/>
    </row>
    <row r="494" spans="1:28" ht="28">
      <c r="A494" s="466"/>
      <c r="B494" s="478" t="s">
        <v>2</v>
      </c>
      <c r="C494" s="493">
        <v>1194282</v>
      </c>
      <c r="D494" s="493">
        <v>1079303</v>
      </c>
      <c r="E494" s="493">
        <v>939984</v>
      </c>
      <c r="F494" s="493">
        <v>343688</v>
      </c>
      <c r="G494" s="493">
        <v>95000</v>
      </c>
      <c r="H494" s="466"/>
      <c r="I494" s="466"/>
      <c r="J494" s="466"/>
      <c r="K494" s="466"/>
      <c r="L494" s="474" t="s">
        <v>499</v>
      </c>
      <c r="M494" s="484" t="s">
        <v>247</v>
      </c>
      <c r="N494" s="505">
        <v>94883</v>
      </c>
      <c r="O494" s="505">
        <v>78323</v>
      </c>
      <c r="P494" s="505">
        <v>10443</v>
      </c>
      <c r="Q494" s="505">
        <v>3858</v>
      </c>
      <c r="R494" s="505">
        <v>4155</v>
      </c>
      <c r="S494" s="466"/>
      <c r="T494" s="466"/>
      <c r="U494" s="466"/>
      <c r="V494" s="466"/>
      <c r="W494" s="466"/>
      <c r="X494" s="466"/>
      <c r="Y494" s="466"/>
      <c r="Z494" s="466"/>
      <c r="AA494" s="466"/>
      <c r="AB494" s="466"/>
    </row>
    <row r="495" spans="1:28" ht="28">
      <c r="A495" s="466"/>
      <c r="B495" s="478" t="s">
        <v>3</v>
      </c>
      <c r="C495" s="493">
        <v>181727</v>
      </c>
      <c r="D495" s="493">
        <v>43601</v>
      </c>
      <c r="E495" s="493">
        <v>80034</v>
      </c>
      <c r="F495" s="493">
        <v>34779</v>
      </c>
      <c r="G495" s="493">
        <v>7417</v>
      </c>
      <c r="H495" s="466"/>
      <c r="I495" s="466"/>
      <c r="J495" s="466"/>
      <c r="K495" s="466"/>
      <c r="L495" s="466"/>
      <c r="M495" s="478" t="s">
        <v>248</v>
      </c>
      <c r="N495" s="587">
        <v>363017</v>
      </c>
      <c r="O495" s="587">
        <v>414881</v>
      </c>
      <c r="P495" s="587">
        <v>211818</v>
      </c>
      <c r="Q495" s="587">
        <v>13996</v>
      </c>
      <c r="R495" s="587">
        <v>9999</v>
      </c>
      <c r="S495" s="466"/>
      <c r="T495" s="466"/>
      <c r="U495" s="466"/>
      <c r="V495" s="466"/>
      <c r="W495" s="466"/>
      <c r="X495" s="466"/>
      <c r="Y495" s="466"/>
      <c r="Z495" s="466"/>
      <c r="AA495" s="466"/>
      <c r="AB495" s="466"/>
    </row>
    <row r="496" spans="1:28">
      <c r="A496" s="466"/>
      <c r="B496" s="476" t="s">
        <v>8</v>
      </c>
      <c r="C496" s="477">
        <v>1376009</v>
      </c>
      <c r="D496" s="477">
        <v>1122904</v>
      </c>
      <c r="E496" s="477">
        <v>1020018</v>
      </c>
      <c r="F496" s="477">
        <v>378467</v>
      </c>
      <c r="G496" s="477">
        <v>102417</v>
      </c>
      <c r="H496" s="466"/>
      <c r="I496" s="466"/>
      <c r="J496" s="466"/>
      <c r="K496" s="466"/>
      <c r="L496" s="466"/>
      <c r="M496" s="478" t="s">
        <v>249</v>
      </c>
      <c r="N496" s="493"/>
      <c r="O496" s="493"/>
      <c r="P496" s="493"/>
      <c r="Q496" s="493"/>
      <c r="R496" s="493"/>
      <c r="S496" s="466"/>
      <c r="T496" s="466"/>
      <c r="U496" s="466"/>
      <c r="V496" s="466"/>
      <c r="W496" s="466"/>
      <c r="X496" s="466"/>
      <c r="Y496" s="466"/>
      <c r="Z496" s="466"/>
      <c r="AA496" s="466"/>
      <c r="AB496" s="466"/>
    </row>
    <row r="497" spans="1:28" ht="42">
      <c r="A497" s="466"/>
      <c r="B497" s="482" t="s">
        <v>12</v>
      </c>
      <c r="C497" s="493">
        <v>-2348</v>
      </c>
      <c r="D497" s="493">
        <v>-127711</v>
      </c>
      <c r="E497" s="493">
        <v>-220839</v>
      </c>
      <c r="F497" s="493">
        <v>15995</v>
      </c>
      <c r="G497" s="493">
        <v>-3903</v>
      </c>
      <c r="H497" s="466"/>
      <c r="I497" s="466"/>
      <c r="J497" s="466"/>
      <c r="K497" s="466"/>
      <c r="L497" s="474" t="s">
        <v>500</v>
      </c>
      <c r="M497" s="476" t="s">
        <v>250</v>
      </c>
      <c r="N497" s="505">
        <v>416327</v>
      </c>
      <c r="O497" s="505">
        <v>429212</v>
      </c>
      <c r="P497" s="505">
        <v>221385</v>
      </c>
      <c r="Q497" s="505">
        <v>47063</v>
      </c>
      <c r="R497" s="505">
        <v>18872</v>
      </c>
      <c r="S497" s="466"/>
      <c r="T497" s="466"/>
      <c r="U497" s="466"/>
      <c r="V497" s="466"/>
      <c r="W497" s="466"/>
      <c r="X497" s="466"/>
      <c r="Y497" s="466"/>
      <c r="Z497" s="466"/>
      <c r="AA497" s="466"/>
      <c r="AB497" s="466"/>
    </row>
    <row r="498" spans="1:28" ht="42">
      <c r="A498" s="466"/>
      <c r="B498" s="478" t="s">
        <v>13</v>
      </c>
      <c r="C498" s="495">
        <v>-0.157</v>
      </c>
      <c r="D498" s="495">
        <v>-10.31</v>
      </c>
      <c r="E498" s="495">
        <v>-19.059999999999999</v>
      </c>
      <c r="F498" s="495">
        <v>1.8089999999999999</v>
      </c>
      <c r="G498" s="495">
        <v>-1.27</v>
      </c>
      <c r="H498" s="466"/>
      <c r="I498" s="466"/>
      <c r="J498" s="466"/>
      <c r="K498" s="466"/>
      <c r="L498" s="474" t="s">
        <v>501</v>
      </c>
      <c r="M498" s="482" t="s">
        <v>251</v>
      </c>
      <c r="N498" s="505">
        <v>44009</v>
      </c>
      <c r="O498" s="505">
        <v>-143822</v>
      </c>
      <c r="P498" s="505">
        <v>-36112</v>
      </c>
      <c r="Q498" s="505">
        <v>-10447</v>
      </c>
      <c r="R498" s="505">
        <v>-9040</v>
      </c>
    </row>
    <row r="499" spans="1:28" ht="42">
      <c r="A499" s="466"/>
      <c r="B499" s="478" t="s">
        <v>14</v>
      </c>
      <c r="C499" s="495">
        <v>-8.2000000000000003E-2</v>
      </c>
      <c r="D499" s="495">
        <v>-5.4080000000000004</v>
      </c>
      <c r="E499" s="495">
        <v>-10.135999999999999</v>
      </c>
      <c r="F499" s="495">
        <v>1.2669999999999999</v>
      </c>
      <c r="G499" s="495">
        <v>-0.95199999999999996</v>
      </c>
      <c r="H499" s="466"/>
      <c r="I499" s="466"/>
      <c r="J499" s="466"/>
      <c r="K499" s="466"/>
      <c r="L499" s="466"/>
      <c r="M499" s="478" t="s">
        <v>252</v>
      </c>
      <c r="N499" s="508"/>
      <c r="O499" s="508"/>
      <c r="P499" s="508"/>
      <c r="Q499" s="508"/>
      <c r="R499" s="508"/>
    </row>
    <row r="500" spans="1:28" ht="56">
      <c r="A500" s="466"/>
      <c r="B500" s="478" t="s">
        <v>15</v>
      </c>
      <c r="C500" s="496">
        <v>14497</v>
      </c>
      <c r="D500" s="496">
        <v>8889.9310339999993</v>
      </c>
      <c r="E500" s="496">
        <v>6794.2142860000004</v>
      </c>
      <c r="F500" s="496">
        <v>3868.6</v>
      </c>
      <c r="G500" s="497" t="s">
        <v>22</v>
      </c>
      <c r="H500" s="466"/>
      <c r="I500" s="466"/>
      <c r="J500" s="466"/>
      <c r="K500" s="466"/>
      <c r="L500" s="466"/>
      <c r="M500" s="478" t="s">
        <v>253</v>
      </c>
      <c r="N500" s="508"/>
      <c r="O500" s="508"/>
      <c r="P500" s="508"/>
      <c r="Q500" s="508"/>
      <c r="R500" s="508"/>
    </row>
    <row r="501" spans="1:28" ht="28">
      <c r="A501" s="466"/>
      <c r="B501" s="472" t="s">
        <v>23</v>
      </c>
      <c r="C501" s="493">
        <v>1494049</v>
      </c>
      <c r="D501" s="493">
        <v>1238719</v>
      </c>
      <c r="E501" s="493">
        <v>1158649</v>
      </c>
      <c r="F501" s="493">
        <v>884273</v>
      </c>
      <c r="G501" s="493">
        <v>307441</v>
      </c>
      <c r="H501" s="466"/>
      <c r="I501" s="466"/>
      <c r="J501" s="466"/>
      <c r="K501" s="466"/>
      <c r="L501" s="466"/>
      <c r="M501" s="478" t="s">
        <v>254</v>
      </c>
      <c r="N501" s="508"/>
      <c r="O501" s="508"/>
      <c r="P501" s="508"/>
      <c r="Q501" s="508"/>
      <c r="R501" s="508"/>
    </row>
    <row r="502" spans="1:28" ht="18">
      <c r="A502" s="466"/>
      <c r="B502" s="466"/>
      <c r="C502" s="466"/>
      <c r="D502" s="466"/>
      <c r="E502" s="466"/>
      <c r="F502" s="466"/>
      <c r="G502" s="466"/>
      <c r="H502" s="466"/>
      <c r="I502" s="466"/>
      <c r="J502" s="466"/>
      <c r="K502" s="466"/>
      <c r="L502" s="474" t="s">
        <v>502</v>
      </c>
      <c r="M502" s="472" t="s">
        <v>255</v>
      </c>
      <c r="N502" s="505">
        <v>220514</v>
      </c>
      <c r="O502" s="505">
        <v>176551</v>
      </c>
      <c r="P502" s="505">
        <v>320447</v>
      </c>
      <c r="Q502" s="505">
        <v>356539</v>
      </c>
      <c r="R502" s="505">
        <v>365797</v>
      </c>
    </row>
    <row r="505" spans="1:28">
      <c r="A505" s="480" t="s">
        <v>31</v>
      </c>
      <c r="B505" s="466"/>
      <c r="C505" s="466"/>
      <c r="D505" s="466"/>
      <c r="E505" s="466"/>
      <c r="F505" s="466"/>
      <c r="G505" s="466"/>
      <c r="H505" s="466"/>
      <c r="I505" s="466"/>
      <c r="J505" s="466"/>
      <c r="K505" s="466"/>
      <c r="L505" s="466"/>
      <c r="M505" s="466"/>
      <c r="N505" s="466"/>
      <c r="O505" s="466"/>
      <c r="P505" s="466"/>
      <c r="Q505" s="466"/>
      <c r="R505" s="466"/>
    </row>
    <row r="506" spans="1:28">
      <c r="A506" s="499" t="s">
        <v>34</v>
      </c>
      <c r="B506" s="466"/>
      <c r="C506" s="466"/>
      <c r="D506" s="466"/>
      <c r="E506" s="466"/>
      <c r="F506" s="466"/>
      <c r="G506" s="466"/>
      <c r="H506" s="466"/>
      <c r="I506" s="466"/>
      <c r="J506" s="466"/>
      <c r="K506" s="466"/>
      <c r="L506" s="466"/>
      <c r="M506" s="466"/>
      <c r="N506" s="466"/>
      <c r="O506" s="466"/>
      <c r="P506" s="466"/>
      <c r="Q506" s="466"/>
      <c r="R506" s="466"/>
    </row>
    <row r="507" spans="1:28">
      <c r="A507" s="466"/>
      <c r="B507" s="467"/>
      <c r="C507" s="467">
        <v>2018</v>
      </c>
      <c r="D507" s="467">
        <v>2017</v>
      </c>
      <c r="E507" s="467" t="s">
        <v>33</v>
      </c>
      <c r="F507" s="467" t="s">
        <v>25</v>
      </c>
      <c r="G507" s="467" t="s">
        <v>21</v>
      </c>
      <c r="H507" s="466"/>
      <c r="I507" s="466"/>
      <c r="J507" s="466"/>
      <c r="K507" s="466"/>
      <c r="L507" s="466"/>
      <c r="M507" s="466"/>
      <c r="N507" s="466"/>
      <c r="O507" s="466"/>
      <c r="P507" s="466"/>
      <c r="Q507" s="466"/>
      <c r="R507" s="466"/>
    </row>
    <row r="508" spans="1:28">
      <c r="A508" s="466"/>
      <c r="B508" s="469" t="s">
        <v>1</v>
      </c>
      <c r="C508" s="498">
        <v>649888.43226397003</v>
      </c>
      <c r="D508" s="498">
        <v>480284.620251238</v>
      </c>
      <c r="E508" s="498">
        <v>452673.38827877498</v>
      </c>
      <c r="F508" s="498">
        <v>387010.38109605003</v>
      </c>
      <c r="G508" s="498">
        <v>400404.27249723702</v>
      </c>
      <c r="H508" s="466"/>
      <c r="I508" s="466"/>
      <c r="J508" s="466"/>
      <c r="K508" s="466"/>
      <c r="L508" s="466"/>
      <c r="M508" s="466"/>
      <c r="N508" s="466"/>
      <c r="O508" s="466"/>
      <c r="P508" s="466"/>
      <c r="Q508" s="466"/>
      <c r="R508" s="466"/>
    </row>
    <row r="509" spans="1:28">
      <c r="A509" s="466"/>
      <c r="B509" s="467"/>
      <c r="C509" s="467"/>
      <c r="D509" s="467"/>
      <c r="E509" s="467"/>
      <c r="F509" s="467"/>
      <c r="G509" s="467"/>
      <c r="H509" s="466"/>
      <c r="I509" s="466"/>
      <c r="J509" s="466"/>
      <c r="K509" s="466"/>
      <c r="L509" s="466"/>
      <c r="M509" s="466"/>
      <c r="N509" s="466"/>
      <c r="O509" s="466"/>
      <c r="P509" s="466"/>
      <c r="Q509" s="466"/>
      <c r="R509" s="466"/>
    </row>
    <row r="510" spans="1:28" ht="42">
      <c r="A510" s="466"/>
      <c r="B510" s="484" t="s">
        <v>11</v>
      </c>
      <c r="C510" s="493">
        <v>430906.55552676303</v>
      </c>
      <c r="D510" s="493">
        <v>390839.51444980502</v>
      </c>
      <c r="E510" s="493">
        <v>399693.82470419997</v>
      </c>
      <c r="F510" s="493">
        <v>284380.49753163802</v>
      </c>
      <c r="G510" s="493">
        <v>330181.41132482898</v>
      </c>
      <c r="H510" s="466"/>
      <c r="I510" s="466"/>
      <c r="J510" s="466"/>
      <c r="K510" s="466"/>
      <c r="L510" s="466"/>
      <c r="M510" s="466"/>
      <c r="N510" s="466"/>
      <c r="O510" s="466"/>
      <c r="P510" s="466"/>
      <c r="Q510" s="466"/>
      <c r="R510" s="466"/>
    </row>
    <row r="511" spans="1:28" ht="28">
      <c r="A511" s="466"/>
      <c r="B511" s="478" t="s">
        <v>2</v>
      </c>
      <c r="C511" s="493">
        <v>53200.899774640799</v>
      </c>
      <c r="D511" s="493">
        <v>45240.676449090199</v>
      </c>
      <c r="E511" s="493">
        <v>132999.755357713</v>
      </c>
      <c r="F511" s="493">
        <v>129372.953428462</v>
      </c>
      <c r="G511" s="493">
        <v>126198.68300700199</v>
      </c>
      <c r="H511" s="466"/>
      <c r="I511" s="466"/>
      <c r="J511" s="466"/>
      <c r="K511" s="466"/>
      <c r="L511" s="466"/>
      <c r="M511" s="466"/>
      <c r="N511" s="466"/>
      <c r="O511" s="466"/>
      <c r="P511" s="466"/>
      <c r="Q511" s="466"/>
      <c r="R511" s="466"/>
    </row>
    <row r="512" spans="1:28" ht="28">
      <c r="A512" s="466"/>
      <c r="B512" s="478" t="s">
        <v>3</v>
      </c>
      <c r="C512" s="493">
        <v>186304.37029099499</v>
      </c>
      <c r="D512" s="493">
        <v>92677.972967058406</v>
      </c>
      <c r="E512" s="493">
        <v>71778.474907338605</v>
      </c>
      <c r="F512" s="493">
        <v>51454.780281200998</v>
      </c>
      <c r="G512" s="493">
        <v>79339.143980205103</v>
      </c>
      <c r="H512" s="466"/>
      <c r="I512" s="466"/>
      <c r="J512" s="466"/>
      <c r="K512" s="466"/>
      <c r="L512" s="466"/>
      <c r="M512" s="466"/>
      <c r="N512" s="466"/>
      <c r="O512" s="466"/>
      <c r="P512" s="466"/>
      <c r="Q512" s="466"/>
      <c r="R512" s="466"/>
    </row>
    <row r="513" spans="1:18">
      <c r="A513" s="466"/>
      <c r="B513" s="476" t="s">
        <v>8</v>
      </c>
      <c r="C513" s="477">
        <v>239505.27006563579</v>
      </c>
      <c r="D513" s="477">
        <v>137918.6494161486</v>
      </c>
      <c r="E513" s="477">
        <v>204778.23026505159</v>
      </c>
      <c r="F513" s="477">
        <v>180827.73370966301</v>
      </c>
      <c r="G513" s="477">
        <v>205537.82698720711</v>
      </c>
      <c r="H513" s="466"/>
      <c r="I513" s="466"/>
      <c r="J513" s="466"/>
      <c r="K513" s="466"/>
      <c r="L513" s="466"/>
      <c r="M513" s="466"/>
      <c r="N513" s="466"/>
      <c r="O513" s="466"/>
      <c r="P513" s="466"/>
      <c r="Q513" s="466"/>
      <c r="R513" s="466"/>
    </row>
    <row r="514" spans="1:18" ht="42">
      <c r="A514" s="466"/>
      <c r="B514" s="482" t="s">
        <v>12</v>
      </c>
      <c r="C514" s="493">
        <v>116333.80469659</v>
      </c>
      <c r="D514" s="493">
        <v>123744.639948517</v>
      </c>
      <c r="E514" s="493">
        <v>90686.817918568806</v>
      </c>
      <c r="F514" s="493">
        <v>54316.556993544102</v>
      </c>
      <c r="G514" s="493">
        <v>52080.098187536001</v>
      </c>
    </row>
    <row r="515" spans="1:18" ht="42">
      <c r="A515" s="466"/>
      <c r="B515" s="478" t="s">
        <v>13</v>
      </c>
      <c r="C515" s="495">
        <v>28.347999999999999</v>
      </c>
      <c r="D515" s="495">
        <v>36.143999999999998</v>
      </c>
      <c r="E515" s="495">
        <v>36.582999999999998</v>
      </c>
      <c r="F515" s="495">
        <v>26.344000000000001</v>
      </c>
      <c r="G515" s="495">
        <v>26.725999999999999</v>
      </c>
    </row>
    <row r="516" spans="1:18" ht="42">
      <c r="A516" s="466"/>
      <c r="B516" s="478" t="s">
        <v>14</v>
      </c>
      <c r="C516" s="495">
        <v>17.901</v>
      </c>
      <c r="D516" s="495">
        <v>25.765000000000001</v>
      </c>
      <c r="E516" s="495">
        <v>20.033999999999999</v>
      </c>
      <c r="F516" s="495">
        <v>14.035</v>
      </c>
      <c r="G516" s="495">
        <v>13.007</v>
      </c>
    </row>
    <row r="517" spans="1:18" ht="56">
      <c r="A517" s="466"/>
      <c r="B517" s="478" t="s">
        <v>15</v>
      </c>
      <c r="C517" s="496">
        <v>752.01842152792904</v>
      </c>
      <c r="D517" s="496">
        <v>729.17819864734997</v>
      </c>
      <c r="E517" s="496">
        <v>770.12297626486895</v>
      </c>
      <c r="F517" s="497" t="s">
        <v>22</v>
      </c>
      <c r="G517" s="497" t="s">
        <v>22</v>
      </c>
    </row>
    <row r="518" spans="1:18">
      <c r="A518" s="466"/>
      <c r="B518" s="472" t="s">
        <v>23</v>
      </c>
      <c r="C518" s="493">
        <v>410383.29073303897</v>
      </c>
      <c r="D518" s="493">
        <v>342365.85428497201</v>
      </c>
      <c r="E518" s="493">
        <v>247895.15801372399</v>
      </c>
      <c r="F518" s="493">
        <v>206182.78197589499</v>
      </c>
      <c r="G518" s="493">
        <v>194866.609983712</v>
      </c>
    </row>
    <row r="521" spans="1:18">
      <c r="A521" s="480" t="s">
        <v>35</v>
      </c>
      <c r="B521" s="466"/>
      <c r="C521" s="466"/>
      <c r="D521" s="466"/>
      <c r="E521" s="466"/>
      <c r="F521" s="466"/>
      <c r="G521" s="466"/>
    </row>
    <row r="522" spans="1:18">
      <c r="A522" s="499" t="s">
        <v>36</v>
      </c>
      <c r="B522" s="466"/>
      <c r="C522" s="466"/>
      <c r="D522" s="466"/>
      <c r="E522" s="466"/>
      <c r="F522" s="466"/>
      <c r="G522" s="466"/>
    </row>
    <row r="523" spans="1:18">
      <c r="A523" s="466"/>
      <c r="B523" s="467"/>
      <c r="C523" s="467">
        <v>2018</v>
      </c>
      <c r="D523" s="467">
        <v>2017</v>
      </c>
      <c r="E523" s="467" t="s">
        <v>33</v>
      </c>
      <c r="F523" s="467" t="s">
        <v>26</v>
      </c>
      <c r="G523" s="467" t="s">
        <v>21</v>
      </c>
    </row>
    <row r="524" spans="1:18">
      <c r="A524" s="466"/>
      <c r="B524" s="469" t="s">
        <v>1</v>
      </c>
      <c r="C524" s="498">
        <v>37635861.204952002</v>
      </c>
      <c r="D524" s="498">
        <v>32653729.934602998</v>
      </c>
      <c r="E524" s="498">
        <v>29644739.3991202</v>
      </c>
      <c r="F524" s="498">
        <v>32273053.027004</v>
      </c>
      <c r="G524" s="498">
        <v>61832894.147157699</v>
      </c>
    </row>
    <row r="525" spans="1:18">
      <c r="A525" s="466"/>
      <c r="B525" s="467"/>
      <c r="C525" s="467"/>
      <c r="D525" s="467"/>
      <c r="E525" s="467"/>
      <c r="F525" s="467"/>
      <c r="G525" s="467"/>
    </row>
    <row r="526" spans="1:18" ht="42">
      <c r="A526" s="466"/>
      <c r="B526" s="484" t="s">
        <v>11</v>
      </c>
      <c r="C526" s="493">
        <v>18964267.3634887</v>
      </c>
      <c r="D526" s="493">
        <v>17583566.611737002</v>
      </c>
      <c r="E526" s="493">
        <v>18416444.593548801</v>
      </c>
      <c r="F526" s="493">
        <v>27452657.4956179</v>
      </c>
      <c r="G526" s="493">
        <v>28019736.5748882</v>
      </c>
    </row>
    <row r="527" spans="1:18" ht="28">
      <c r="A527" s="466"/>
      <c r="B527" s="478" t="s">
        <v>2</v>
      </c>
      <c r="C527" s="493">
        <v>18397300.782173902</v>
      </c>
      <c r="D527" s="493">
        <v>15272261.227011699</v>
      </c>
      <c r="E527" s="493">
        <v>11599757.917448901</v>
      </c>
      <c r="F527" s="493">
        <v>12464153.227359099</v>
      </c>
      <c r="G527" s="493">
        <v>21647697.1619725</v>
      </c>
    </row>
    <row r="528" spans="1:18" ht="28">
      <c r="A528" s="466"/>
      <c r="B528" s="478" t="s">
        <v>3</v>
      </c>
      <c r="C528" s="493">
        <v>3633419.02530193</v>
      </c>
      <c r="D528" s="493">
        <v>4010489.5511269602</v>
      </c>
      <c r="E528" s="493">
        <v>6509794.3004667796</v>
      </c>
      <c r="F528" s="493">
        <v>6501606.8969368897</v>
      </c>
      <c r="G528" s="493">
        <v>31913486.537754498</v>
      </c>
    </row>
    <row r="529" spans="1:26">
      <c r="A529" s="466"/>
      <c r="B529" s="476" t="s">
        <v>8</v>
      </c>
      <c r="C529" s="477">
        <v>22030719.807475831</v>
      </c>
      <c r="D529" s="477">
        <v>19282750.77813866</v>
      </c>
      <c r="E529" s="477">
        <v>18109552.21791568</v>
      </c>
      <c r="F529" s="477">
        <v>18965760.124295987</v>
      </c>
      <c r="G529" s="477">
        <v>53561183.699726999</v>
      </c>
    </row>
    <row r="530" spans="1:26" ht="42">
      <c r="A530" s="466"/>
      <c r="B530" s="482" t="s">
        <v>12</v>
      </c>
      <c r="C530" s="493">
        <v>6000771.2118029604</v>
      </c>
      <c r="D530" s="493">
        <v>2878438.2576048402</v>
      </c>
      <c r="E530" s="493">
        <v>2921281.6796377301</v>
      </c>
      <c r="F530" s="493">
        <v>9242397.9864418507</v>
      </c>
      <c r="G530" s="493">
        <v>6954440.7231509704</v>
      </c>
      <c r="H530" s="466"/>
      <c r="I530" s="466"/>
      <c r="J530" s="466"/>
      <c r="K530" s="466"/>
      <c r="L530" s="466"/>
      <c r="M530" s="466"/>
      <c r="N530" s="466"/>
      <c r="O530" s="466"/>
      <c r="P530" s="466"/>
      <c r="Q530" s="466"/>
      <c r="R530" s="466"/>
      <c r="S530" s="466"/>
      <c r="T530" s="466"/>
      <c r="U530" s="466"/>
      <c r="V530" s="466"/>
      <c r="W530" s="466"/>
      <c r="X530" s="466"/>
      <c r="Y530" s="466"/>
      <c r="Z530" s="466"/>
    </row>
    <row r="531" spans="1:26" ht="42">
      <c r="A531" s="466"/>
      <c r="B531" s="478" t="s">
        <v>13</v>
      </c>
      <c r="C531" s="495">
        <v>38.453000000000003</v>
      </c>
      <c r="D531" s="495">
        <v>21.527999999999999</v>
      </c>
      <c r="E531" s="495">
        <v>25.324999999999999</v>
      </c>
      <c r="F531" s="495">
        <v>69.453000000000003</v>
      </c>
      <c r="G531" s="495">
        <v>84.075000000000003</v>
      </c>
      <c r="H531" s="466"/>
      <c r="I531" s="466"/>
      <c r="J531" s="466"/>
      <c r="K531" s="466"/>
      <c r="L531" s="466"/>
      <c r="M531" s="466"/>
      <c r="N531" s="466"/>
      <c r="O531" s="466"/>
      <c r="P531" s="466"/>
      <c r="Q531" s="466"/>
      <c r="R531" s="466"/>
      <c r="S531" s="466"/>
      <c r="T531" s="466"/>
      <c r="U531" s="466"/>
      <c r="V531" s="466"/>
      <c r="W531" s="466"/>
      <c r="X531" s="466"/>
      <c r="Y531" s="466"/>
      <c r="Z531" s="466"/>
    </row>
    <row r="532" spans="1:26" ht="42">
      <c r="A532" s="466"/>
      <c r="B532" s="478" t="s">
        <v>14</v>
      </c>
      <c r="C532" s="495">
        <v>15.944000000000001</v>
      </c>
      <c r="D532" s="495">
        <v>8.8149999999999995</v>
      </c>
      <c r="E532" s="495">
        <v>9.8539999999999992</v>
      </c>
      <c r="F532" s="495">
        <v>28.638000000000002</v>
      </c>
      <c r="G532" s="495">
        <v>11.247</v>
      </c>
      <c r="H532" s="466"/>
      <c r="I532" s="466"/>
      <c r="J532" s="466"/>
      <c r="K532" s="466"/>
      <c r="L532" s="466"/>
      <c r="M532" s="466"/>
      <c r="N532" s="466"/>
      <c r="O532" s="466"/>
      <c r="P532" s="466"/>
      <c r="Q532" s="466"/>
      <c r="R532" s="466"/>
      <c r="S532" s="466"/>
      <c r="T532" s="466"/>
      <c r="U532" s="466"/>
      <c r="V532" s="466"/>
      <c r="W532" s="466"/>
      <c r="X532" s="466"/>
      <c r="Y532" s="466"/>
      <c r="Z532" s="466"/>
    </row>
    <row r="533" spans="1:26" ht="56">
      <c r="A533" s="466"/>
      <c r="B533" s="478" t="s">
        <v>15</v>
      </c>
      <c r="C533" s="496">
        <v>441.02947352765602</v>
      </c>
      <c r="D533" s="496">
        <v>418.65634794844999</v>
      </c>
      <c r="E533" s="496">
        <v>418.55555888932702</v>
      </c>
      <c r="F533" s="496">
        <v>442.78479828451799</v>
      </c>
      <c r="G533" s="497" t="s">
        <v>22</v>
      </c>
      <c r="H533" s="466"/>
      <c r="I533" s="466"/>
      <c r="J533" s="466"/>
      <c r="K533" s="466"/>
      <c r="L533" s="466"/>
      <c r="M533" s="466"/>
      <c r="N533" s="466"/>
      <c r="O533" s="466"/>
      <c r="P533" s="466"/>
      <c r="Q533" s="466"/>
      <c r="R533" s="466"/>
      <c r="S533" s="466"/>
      <c r="T533" s="466"/>
      <c r="U533" s="466"/>
      <c r="V533" s="466"/>
      <c r="W533" s="466"/>
      <c r="X533" s="466"/>
      <c r="Y533" s="466"/>
      <c r="Z533" s="466"/>
    </row>
    <row r="534" spans="1:26">
      <c r="A534" s="466"/>
      <c r="B534" s="472" t="s">
        <v>23</v>
      </c>
      <c r="C534" s="493">
        <v>15605269.9321806</v>
      </c>
      <c r="D534" s="493">
        <v>13370979.156464299</v>
      </c>
      <c r="E534" s="493">
        <v>11535187.1812046</v>
      </c>
      <c r="F534" s="493">
        <v>13307416.5121019</v>
      </c>
      <c r="G534" s="493">
        <v>8271710.4474306097</v>
      </c>
      <c r="H534" s="466"/>
      <c r="I534" s="466"/>
      <c r="J534" s="466"/>
      <c r="K534" s="466"/>
      <c r="L534" s="466"/>
      <c r="M534" s="466"/>
      <c r="N534" s="466"/>
      <c r="O534" s="466"/>
      <c r="P534" s="466"/>
      <c r="Q534" s="466"/>
      <c r="R534" s="466"/>
      <c r="S534" s="511" t="s">
        <v>516</v>
      </c>
      <c r="T534" s="466"/>
      <c r="U534" s="466"/>
      <c r="V534" s="466"/>
      <c r="W534" s="466"/>
      <c r="X534" s="466"/>
      <c r="Y534" s="466"/>
      <c r="Z534" s="466"/>
    </row>
    <row r="535" spans="1:26">
      <c r="A535" s="466"/>
      <c r="B535" s="466"/>
      <c r="C535" s="466"/>
      <c r="D535" s="466"/>
      <c r="E535" s="466"/>
      <c r="F535" s="466"/>
      <c r="G535" s="466"/>
      <c r="H535" s="466"/>
      <c r="I535" s="511" t="s">
        <v>517</v>
      </c>
      <c r="J535" s="466"/>
      <c r="K535" s="466"/>
      <c r="L535" s="466"/>
      <c r="M535" s="466"/>
      <c r="N535" s="466"/>
      <c r="O535" s="466"/>
      <c r="P535" s="466"/>
      <c r="Q535" s="466"/>
      <c r="R535" s="466"/>
      <c r="S535" s="511" t="s">
        <v>199</v>
      </c>
      <c r="T535" s="466"/>
      <c r="U535" s="466"/>
      <c r="V535" s="466"/>
      <c r="W535" s="466"/>
      <c r="X535" s="466"/>
      <c r="Y535" s="466"/>
      <c r="Z535" s="466"/>
    </row>
    <row r="536" spans="1:26">
      <c r="A536" s="480" t="s">
        <v>37</v>
      </c>
      <c r="B536" s="466"/>
      <c r="C536" s="466"/>
      <c r="D536" s="466"/>
      <c r="E536" s="466"/>
      <c r="F536" s="466"/>
      <c r="G536" s="466"/>
      <c r="H536" s="466"/>
      <c r="I536" s="511" t="s">
        <v>199</v>
      </c>
      <c r="J536" s="466"/>
      <c r="K536" s="466"/>
      <c r="L536" s="467"/>
      <c r="M536" s="467">
        <v>2017</v>
      </c>
      <c r="N536" s="502" t="s">
        <v>503</v>
      </c>
      <c r="O536" s="502" t="s">
        <v>504</v>
      </c>
      <c r="P536" s="502" t="s">
        <v>505</v>
      </c>
      <c r="Q536" s="502" t="s">
        <v>506</v>
      </c>
      <c r="R536" s="466"/>
      <c r="S536" s="466"/>
      <c r="T536" s="466"/>
      <c r="U536" s="467"/>
      <c r="V536" s="467">
        <v>2017</v>
      </c>
      <c r="W536" s="502" t="s">
        <v>503</v>
      </c>
      <c r="X536" s="502" t="s">
        <v>504</v>
      </c>
      <c r="Y536" s="502" t="s">
        <v>505</v>
      </c>
      <c r="Z536" s="502" t="s">
        <v>506</v>
      </c>
    </row>
    <row r="537" spans="1:26" ht="18">
      <c r="A537" s="466"/>
      <c r="B537" s="466"/>
      <c r="C537" s="466"/>
      <c r="D537" s="466"/>
      <c r="E537" s="466"/>
      <c r="F537" s="466"/>
      <c r="G537" s="466"/>
      <c r="H537" s="466"/>
      <c r="I537" s="466"/>
      <c r="J537" s="466"/>
      <c r="K537" s="474" t="s">
        <v>151</v>
      </c>
      <c r="L537" s="469" t="s">
        <v>246</v>
      </c>
      <c r="M537" s="505">
        <v>4796487</v>
      </c>
      <c r="N537" s="505">
        <v>5471443</v>
      </c>
      <c r="O537" s="505">
        <v>6534228</v>
      </c>
      <c r="P537" s="505">
        <v>8373754</v>
      </c>
      <c r="Q537" s="505">
        <v>8343393</v>
      </c>
      <c r="R537" s="466"/>
      <c r="S537" s="466"/>
      <c r="T537" s="474" t="s">
        <v>151</v>
      </c>
      <c r="U537" s="469" t="s">
        <v>246</v>
      </c>
      <c r="V537" s="505">
        <v>389164</v>
      </c>
      <c r="W537" s="505">
        <v>298590</v>
      </c>
      <c r="X537" s="505">
        <v>339253</v>
      </c>
      <c r="Y537" s="505">
        <v>262962</v>
      </c>
      <c r="Z537" s="505">
        <v>211213</v>
      </c>
    </row>
    <row r="538" spans="1:26">
      <c r="A538" s="466"/>
      <c r="B538" s="467"/>
      <c r="C538" s="467">
        <v>2017</v>
      </c>
      <c r="D538" s="467">
        <v>2016</v>
      </c>
      <c r="E538" s="467" t="s">
        <v>26</v>
      </c>
      <c r="F538" s="467" t="s">
        <v>20</v>
      </c>
      <c r="G538" s="467" t="s">
        <v>21</v>
      </c>
      <c r="H538" s="466"/>
      <c r="I538" s="466"/>
      <c r="J538" s="466"/>
      <c r="K538" s="466"/>
      <c r="L538" s="467"/>
      <c r="M538" s="507"/>
      <c r="N538" s="507"/>
      <c r="O538" s="507"/>
      <c r="P538" s="507"/>
      <c r="Q538" s="507"/>
      <c r="R538" s="466"/>
      <c r="S538" s="466"/>
      <c r="T538" s="466"/>
      <c r="U538" s="467"/>
      <c r="V538" s="507"/>
      <c r="W538" s="507"/>
      <c r="X538" s="507"/>
      <c r="Y538" s="507"/>
      <c r="Z538" s="507"/>
    </row>
    <row r="539" spans="1:26" ht="42">
      <c r="A539" s="466"/>
      <c r="B539" s="469" t="s">
        <v>1</v>
      </c>
      <c r="C539" s="498">
        <v>51543361.980535097</v>
      </c>
      <c r="D539" s="498">
        <v>68077029.776930794</v>
      </c>
      <c r="E539" s="498">
        <v>61168102.886393704</v>
      </c>
      <c r="F539" s="498">
        <v>59050877.533137798</v>
      </c>
      <c r="G539" s="498">
        <v>87932071.529835507</v>
      </c>
      <c r="H539" s="466"/>
      <c r="I539" s="466"/>
      <c r="J539" s="466"/>
      <c r="K539" s="474" t="s">
        <v>499</v>
      </c>
      <c r="L539" s="484" t="s">
        <v>247</v>
      </c>
      <c r="M539" s="505">
        <v>594848</v>
      </c>
      <c r="N539" s="505">
        <v>1093735</v>
      </c>
      <c r="O539" s="505">
        <v>1566775</v>
      </c>
      <c r="P539" s="505">
        <v>1690796</v>
      </c>
      <c r="Q539" s="505">
        <v>1459245</v>
      </c>
      <c r="R539" s="466"/>
      <c r="S539" s="466"/>
      <c r="T539" s="474" t="s">
        <v>499</v>
      </c>
      <c r="U539" s="484" t="s">
        <v>247</v>
      </c>
      <c r="V539" s="505">
        <v>360155</v>
      </c>
      <c r="W539" s="505">
        <v>327493</v>
      </c>
      <c r="X539" s="505">
        <v>634369</v>
      </c>
      <c r="Y539" s="505">
        <v>311150</v>
      </c>
      <c r="Z539" s="505">
        <v>62276</v>
      </c>
    </row>
    <row r="540" spans="1:26" ht="42">
      <c r="A540" s="466"/>
      <c r="B540" s="467"/>
      <c r="C540" s="467"/>
      <c r="D540" s="467"/>
      <c r="E540" s="467"/>
      <c r="F540" s="467"/>
      <c r="G540" s="467"/>
      <c r="H540" s="466"/>
      <c r="I540" s="466"/>
      <c r="J540" s="466"/>
      <c r="K540" s="466"/>
      <c r="L540" s="478" t="s">
        <v>248</v>
      </c>
      <c r="M540" s="587">
        <v>4132691</v>
      </c>
      <c r="N540" s="587">
        <v>67160</v>
      </c>
      <c r="O540" s="587">
        <v>131742</v>
      </c>
      <c r="P540" s="587">
        <v>5140379</v>
      </c>
      <c r="Q540" s="587">
        <v>4957843</v>
      </c>
      <c r="R540" s="466"/>
      <c r="S540" s="466"/>
      <c r="T540" s="466"/>
      <c r="U540" s="478" t="s">
        <v>248</v>
      </c>
      <c r="V540" s="587">
        <v>42919</v>
      </c>
      <c r="W540" s="587">
        <v>64227</v>
      </c>
      <c r="X540" s="587">
        <v>94601</v>
      </c>
      <c r="Y540" s="587">
        <v>59518</v>
      </c>
      <c r="Z540" s="587">
        <v>67029</v>
      </c>
    </row>
    <row r="541" spans="1:26" ht="42">
      <c r="A541" s="466"/>
      <c r="B541" s="484" t="s">
        <v>11</v>
      </c>
      <c r="C541" s="493">
        <v>8159683.3489015698</v>
      </c>
      <c r="D541" s="493">
        <v>5861484.8856031904</v>
      </c>
      <c r="E541" s="493">
        <v>6901021.3926136503</v>
      </c>
      <c r="F541" s="493">
        <v>4597981.3678115597</v>
      </c>
      <c r="G541" s="493">
        <v>3603618.3866858501</v>
      </c>
      <c r="H541" s="466"/>
      <c r="I541" s="466"/>
      <c r="J541" s="466"/>
      <c r="K541" s="466"/>
      <c r="L541" s="478" t="s">
        <v>249</v>
      </c>
      <c r="M541" s="493"/>
      <c r="N541" s="493"/>
      <c r="O541" s="493"/>
      <c r="P541" s="493"/>
      <c r="Q541" s="493"/>
      <c r="R541" s="466"/>
      <c r="S541" s="466"/>
      <c r="T541" s="466"/>
      <c r="U541" s="478" t="s">
        <v>249</v>
      </c>
      <c r="V541" s="493"/>
      <c r="W541" s="493"/>
      <c r="X541" s="493"/>
      <c r="Y541" s="493"/>
      <c r="Z541" s="493"/>
    </row>
    <row r="542" spans="1:26" ht="28">
      <c r="A542" s="466"/>
      <c r="B542" s="478" t="s">
        <v>2</v>
      </c>
      <c r="C542" s="493">
        <v>15503654.1485414</v>
      </c>
      <c r="D542" s="493">
        <v>43256960.311904497</v>
      </c>
      <c r="E542" s="493">
        <v>41414414.3940657</v>
      </c>
      <c r="F542" s="493">
        <v>43171065.231993802</v>
      </c>
      <c r="G542" s="493">
        <v>6685690.7257139701</v>
      </c>
      <c r="H542" s="466"/>
      <c r="I542" s="466"/>
      <c r="J542" s="466"/>
      <c r="K542" s="474" t="s">
        <v>500</v>
      </c>
      <c r="L542" s="476" t="s">
        <v>250</v>
      </c>
      <c r="M542" s="505">
        <v>4373351</v>
      </c>
      <c r="N542" s="505">
        <v>6171381</v>
      </c>
      <c r="O542" s="505">
        <v>6031823</v>
      </c>
      <c r="P542" s="505">
        <v>6351650</v>
      </c>
      <c r="Q542" s="505">
        <v>6321788</v>
      </c>
      <c r="R542" s="466"/>
      <c r="S542" s="466"/>
      <c r="T542" s="474" t="s">
        <v>500</v>
      </c>
      <c r="U542" s="476" t="s">
        <v>250</v>
      </c>
      <c r="V542" s="505">
        <v>171088</v>
      </c>
      <c r="W542" s="505">
        <v>135641</v>
      </c>
      <c r="X542" s="505">
        <v>181809</v>
      </c>
      <c r="Y542" s="505">
        <v>108784</v>
      </c>
      <c r="Z542" s="505">
        <v>82318</v>
      </c>
    </row>
    <row r="543" spans="1:26" ht="28">
      <c r="A543" s="466"/>
      <c r="B543" s="478" t="s">
        <v>3</v>
      </c>
      <c r="C543" s="493">
        <v>22271011.060141001</v>
      </c>
      <c r="D543" s="493">
        <v>25870069.4590807</v>
      </c>
      <c r="E543" s="493">
        <v>17209874.708488598</v>
      </c>
      <c r="F543" s="493">
        <v>10312382.7059418</v>
      </c>
      <c r="G543" s="493">
        <v>40421052.246093802</v>
      </c>
      <c r="H543" s="466"/>
      <c r="I543" s="466"/>
      <c r="J543" s="466"/>
      <c r="K543" s="474" t="s">
        <v>501</v>
      </c>
      <c r="L543" s="482" t="s">
        <v>251</v>
      </c>
      <c r="M543" s="505">
        <v>774630</v>
      </c>
      <c r="N543" s="505">
        <v>-1202310</v>
      </c>
      <c r="O543" s="505">
        <v>-1526661</v>
      </c>
      <c r="P543" s="505">
        <v>3592</v>
      </c>
      <c r="Q543" s="505">
        <v>13480</v>
      </c>
      <c r="R543" s="466"/>
      <c r="S543" s="466"/>
      <c r="T543" s="474" t="s">
        <v>501</v>
      </c>
      <c r="U543" s="482" t="s">
        <v>251</v>
      </c>
      <c r="V543" s="505">
        <v>-30765</v>
      </c>
      <c r="W543" s="505">
        <v>-23212</v>
      </c>
      <c r="X543" s="505">
        <v>2662</v>
      </c>
      <c r="Y543" s="505">
        <v>24831</v>
      </c>
      <c r="Z543" s="505">
        <v>-15747</v>
      </c>
    </row>
    <row r="544" spans="1:26" ht="28">
      <c r="A544" s="466"/>
      <c r="B544" s="476" t="s">
        <v>8</v>
      </c>
      <c r="C544" s="477">
        <v>37774665.208682403</v>
      </c>
      <c r="D544" s="477">
        <v>69127029.770985201</v>
      </c>
      <c r="E544" s="477">
        <v>58624289.102554299</v>
      </c>
      <c r="F544" s="477">
        <v>53483447.937935606</v>
      </c>
      <c r="G544" s="477">
        <v>47106742.97180777</v>
      </c>
      <c r="H544" s="466"/>
      <c r="I544" s="466"/>
      <c r="J544" s="466"/>
      <c r="K544" s="466"/>
      <c r="L544" s="478" t="s">
        <v>252</v>
      </c>
      <c r="M544" s="508"/>
      <c r="N544" s="508"/>
      <c r="O544" s="508"/>
      <c r="P544" s="508"/>
      <c r="Q544" s="508"/>
      <c r="R544" s="466"/>
      <c r="S544" s="466"/>
      <c r="T544" s="466"/>
      <c r="U544" s="478" t="s">
        <v>252</v>
      </c>
      <c r="V544" s="508"/>
      <c r="W544" s="508"/>
      <c r="X544" s="508"/>
      <c r="Y544" s="508"/>
      <c r="Z544" s="508"/>
    </row>
    <row r="545" spans="1:26" ht="42">
      <c r="A545" s="466"/>
      <c r="B545" s="482" t="s">
        <v>12</v>
      </c>
      <c r="C545" s="493">
        <v>-2115590.7522961502</v>
      </c>
      <c r="D545" s="493">
        <v>-3649883.9700520001</v>
      </c>
      <c r="E545" s="493">
        <v>-2151532.2954207701</v>
      </c>
      <c r="F545" s="493">
        <v>-27914806.1222285</v>
      </c>
      <c r="G545" s="493">
        <v>-10546545.9520519</v>
      </c>
      <c r="H545" s="466"/>
      <c r="I545" s="466"/>
      <c r="J545" s="466"/>
      <c r="K545" s="466"/>
      <c r="L545" s="478" t="s">
        <v>253</v>
      </c>
      <c r="M545" s="508"/>
      <c r="N545" s="508"/>
      <c r="O545" s="508"/>
      <c r="P545" s="508"/>
      <c r="Q545" s="508"/>
      <c r="R545" s="466"/>
      <c r="S545" s="466"/>
      <c r="T545" s="466"/>
      <c r="U545" s="478" t="s">
        <v>253</v>
      </c>
      <c r="V545" s="508"/>
      <c r="W545" s="508"/>
      <c r="X545" s="508"/>
      <c r="Y545" s="508"/>
      <c r="Z545" s="508"/>
    </row>
    <row r="546" spans="1:26" ht="42">
      <c r="A546" s="466"/>
      <c r="B546" s="478" t="s">
        <v>13</v>
      </c>
      <c r="C546" s="495">
        <v>-15.365</v>
      </c>
      <c r="D546" s="497" t="s">
        <v>4</v>
      </c>
      <c r="E546" s="495">
        <v>-84.578999999999994</v>
      </c>
      <c r="F546" s="495">
        <v>-501.39499999999998</v>
      </c>
      <c r="G546" s="495">
        <v>-25.832999999999998</v>
      </c>
      <c r="H546" s="466"/>
      <c r="I546" s="466"/>
      <c r="J546" s="466"/>
      <c r="K546" s="466"/>
      <c r="L546" s="478" t="s">
        <v>254</v>
      </c>
      <c r="M546" s="508"/>
      <c r="N546" s="508"/>
      <c r="O546" s="508"/>
      <c r="P546" s="508"/>
      <c r="Q546" s="508"/>
      <c r="R546" s="466"/>
      <c r="S546" s="466"/>
      <c r="T546" s="466"/>
      <c r="U546" s="478" t="s">
        <v>254</v>
      </c>
      <c r="V546" s="508"/>
      <c r="W546" s="508"/>
      <c r="X546" s="508"/>
      <c r="Y546" s="508"/>
      <c r="Z546" s="508"/>
    </row>
    <row r="547" spans="1:26" ht="42">
      <c r="A547" s="466"/>
      <c r="B547" s="478" t="s">
        <v>14</v>
      </c>
      <c r="C547" s="495">
        <v>-4.1040000000000001</v>
      </c>
      <c r="D547" s="495">
        <v>-5.3609999999999998</v>
      </c>
      <c r="E547" s="495">
        <v>-3.5169999999999999</v>
      </c>
      <c r="F547" s="495">
        <v>-47.271999999999998</v>
      </c>
      <c r="G547" s="495">
        <v>-11.994</v>
      </c>
      <c r="H547" s="466"/>
      <c r="I547" s="466"/>
      <c r="J547" s="466"/>
      <c r="K547" s="474" t="s">
        <v>502</v>
      </c>
      <c r="L547" s="472" t="s">
        <v>255</v>
      </c>
      <c r="M547" s="505">
        <v>423137</v>
      </c>
      <c r="N547" s="505">
        <v>-699939</v>
      </c>
      <c r="O547" s="505">
        <v>502405</v>
      </c>
      <c r="P547" s="505">
        <v>2022103</v>
      </c>
      <c r="Q547" s="505">
        <v>2021605</v>
      </c>
      <c r="R547" s="466"/>
      <c r="S547" s="466"/>
      <c r="T547" s="474" t="s">
        <v>502</v>
      </c>
      <c r="U547" s="472" t="s">
        <v>255</v>
      </c>
      <c r="V547" s="505">
        <v>218078</v>
      </c>
      <c r="W547" s="505">
        <v>162949</v>
      </c>
      <c r="X547" s="505">
        <v>157444</v>
      </c>
      <c r="Y547" s="505">
        <v>154177</v>
      </c>
      <c r="Z547" s="505">
        <v>128895</v>
      </c>
    </row>
    <row r="548" spans="1:26" ht="56">
      <c r="A548" s="466"/>
      <c r="B548" s="478" t="s">
        <v>15</v>
      </c>
      <c r="C548" s="496">
        <v>8159.6833489015698</v>
      </c>
      <c r="D548" s="496">
        <v>5861.4848856031904</v>
      </c>
      <c r="E548" s="496">
        <v>985.86019889616102</v>
      </c>
      <c r="F548" s="497" t="s">
        <v>22</v>
      </c>
      <c r="G548" s="497" t="s">
        <v>22</v>
      </c>
      <c r="H548" s="466"/>
      <c r="I548" s="466"/>
      <c r="J548" s="466"/>
      <c r="K548" s="466"/>
      <c r="L548" s="466"/>
      <c r="M548" s="466"/>
      <c r="N548" s="466"/>
      <c r="O548" s="466"/>
      <c r="P548" s="466"/>
      <c r="Q548" s="466"/>
      <c r="R548" s="466"/>
      <c r="S548" s="466"/>
      <c r="T548" s="466"/>
      <c r="U548" s="466"/>
      <c r="V548" s="466"/>
      <c r="W548" s="466"/>
      <c r="X548" s="466"/>
      <c r="Y548" s="466"/>
      <c r="Z548" s="466"/>
    </row>
    <row r="549" spans="1:26">
      <c r="A549" s="466"/>
      <c r="B549" s="472" t="s">
        <v>23</v>
      </c>
      <c r="C549" s="493">
        <v>26161388.665549502</v>
      </c>
      <c r="D549" s="493">
        <v>-1049999.9940544399</v>
      </c>
      <c r="E549" s="493">
        <v>2543813.7838393399</v>
      </c>
      <c r="F549" s="493">
        <v>5567429.5952022104</v>
      </c>
      <c r="G549" s="493">
        <v>40825328.5580277</v>
      </c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  <c r="Z549" s="466"/>
    </row>
    <row r="552" spans="1:26">
      <c r="A552" s="500" t="s">
        <v>38</v>
      </c>
      <c r="B552" s="466"/>
      <c r="C552" s="466"/>
      <c r="D552" s="466"/>
      <c r="E552" s="466"/>
      <c r="F552" s="466"/>
      <c r="G552" s="466"/>
      <c r="H552" s="466"/>
      <c r="I552" s="466"/>
      <c r="J552" s="466"/>
      <c r="K552" s="466"/>
      <c r="L552" s="466"/>
      <c r="M552" s="466"/>
      <c r="N552" s="466"/>
      <c r="O552" s="466"/>
      <c r="P552" s="466"/>
      <c r="Q552" s="466"/>
      <c r="R552" s="466"/>
      <c r="S552" s="466"/>
      <c r="T552" s="466"/>
      <c r="U552" s="466"/>
      <c r="V552" s="466"/>
      <c r="W552" s="466"/>
      <c r="X552" s="466"/>
      <c r="Y552" s="466"/>
      <c r="Z552" s="466"/>
    </row>
    <row r="553" spans="1:26">
      <c r="A553" s="499" t="s">
        <v>39</v>
      </c>
      <c r="B553" s="466"/>
      <c r="C553" s="466"/>
      <c r="D553" s="466"/>
      <c r="E553" s="466"/>
      <c r="F553" s="466"/>
      <c r="G553" s="466"/>
      <c r="H553" s="466"/>
      <c r="I553" s="466"/>
      <c r="J553" s="466"/>
      <c r="K553" s="466"/>
      <c r="L553" s="466"/>
      <c r="M553" s="466"/>
      <c r="N553" s="466"/>
      <c r="O553" s="466"/>
      <c r="P553" s="466"/>
      <c r="Q553" s="466"/>
      <c r="R553" s="466"/>
      <c r="S553" s="466"/>
      <c r="T553" s="466"/>
      <c r="U553" s="466"/>
      <c r="V553" s="466"/>
      <c r="W553" s="466"/>
      <c r="X553" s="466"/>
      <c r="Y553" s="466"/>
      <c r="Z553" s="466"/>
    </row>
    <row r="554" spans="1:26">
      <c r="A554" s="466"/>
      <c r="B554" s="467"/>
      <c r="C554" s="467">
        <v>2018</v>
      </c>
      <c r="D554" s="467">
        <v>2017</v>
      </c>
      <c r="E554" s="467">
        <v>2016</v>
      </c>
      <c r="F554" s="467" t="s">
        <v>26</v>
      </c>
      <c r="G554" s="467" t="s">
        <v>21</v>
      </c>
      <c r="H554" s="466"/>
      <c r="I554" s="466"/>
      <c r="J554" s="466"/>
      <c r="K554" s="466"/>
      <c r="L554" s="466"/>
      <c r="M554" s="466"/>
      <c r="N554" s="466"/>
      <c r="O554" s="466"/>
      <c r="P554" s="466"/>
      <c r="Q554" s="466"/>
      <c r="R554" s="466"/>
      <c r="S554" s="466"/>
      <c r="T554" s="466"/>
      <c r="U554" s="466"/>
      <c r="V554" s="466"/>
      <c r="W554" s="466"/>
      <c r="X554" s="466"/>
      <c r="Y554" s="466"/>
      <c r="Z554" s="466"/>
    </row>
    <row r="555" spans="1:26">
      <c r="A555" s="466"/>
      <c r="B555" s="469" t="s">
        <v>1</v>
      </c>
      <c r="C555" s="498">
        <v>62743382.427737102</v>
      </c>
      <c r="D555" s="498">
        <v>76673776.3366476</v>
      </c>
      <c r="E555" s="498">
        <v>85427921.909168407</v>
      </c>
      <c r="F555" s="498">
        <v>76173024.334907502</v>
      </c>
      <c r="G555" s="498">
        <v>75076808.494538099</v>
      </c>
      <c r="H555" s="466"/>
      <c r="I555" s="466"/>
      <c r="J555" s="466"/>
      <c r="K555" s="466"/>
      <c r="L555" s="466"/>
      <c r="M555" s="466"/>
      <c r="N555" s="466"/>
      <c r="O555" s="466"/>
      <c r="P555" s="466"/>
      <c r="Q555" s="466"/>
      <c r="R555" s="466"/>
      <c r="S555" s="466"/>
      <c r="T555" s="466"/>
      <c r="U555" s="466"/>
      <c r="V555" s="466"/>
      <c r="W555" s="466"/>
      <c r="X555" s="466"/>
      <c r="Y555" s="466"/>
      <c r="Z555" s="466"/>
    </row>
    <row r="556" spans="1:26">
      <c r="A556" s="466"/>
      <c r="B556" s="467"/>
      <c r="C556" s="467"/>
      <c r="D556" s="467"/>
      <c r="E556" s="467"/>
      <c r="F556" s="467"/>
      <c r="G556" s="467"/>
      <c r="H556" s="466"/>
      <c r="I556" s="466"/>
      <c r="J556" s="466"/>
      <c r="K556" s="466"/>
      <c r="L556" s="466"/>
      <c r="M556" s="466"/>
      <c r="N556" s="466"/>
      <c r="O556" s="466"/>
      <c r="P556" s="466"/>
      <c r="Q556" s="466"/>
      <c r="R556" s="466"/>
      <c r="S556" s="466"/>
      <c r="T556" s="466"/>
      <c r="U556" s="466"/>
      <c r="V556" s="466"/>
      <c r="W556" s="466"/>
      <c r="X556" s="466"/>
      <c r="Y556" s="466"/>
      <c r="Z556" s="466"/>
    </row>
    <row r="557" spans="1:26" ht="42">
      <c r="A557" s="466"/>
      <c r="B557" s="484" t="s">
        <v>11</v>
      </c>
      <c r="C557" s="493">
        <v>9261642.1679034792</v>
      </c>
      <c r="D557" s="493">
        <v>8622169.0274774991</v>
      </c>
      <c r="E557" s="493">
        <v>7288186.0109046102</v>
      </c>
      <c r="F557" s="493">
        <v>9114248.9265501499</v>
      </c>
      <c r="G557" s="493">
        <v>6276480.2033007098</v>
      </c>
      <c r="H557" s="466"/>
      <c r="I557" s="466"/>
      <c r="J557" s="466"/>
      <c r="K557" s="466"/>
      <c r="L557" s="466"/>
      <c r="M557" s="466"/>
      <c r="N557" s="466"/>
      <c r="O557" s="466"/>
      <c r="P557" s="466"/>
      <c r="Q557" s="466"/>
      <c r="R557" s="466"/>
      <c r="S557" s="466"/>
      <c r="T557" s="466"/>
      <c r="U557" s="466"/>
      <c r="V557" s="466"/>
      <c r="W557" s="466"/>
      <c r="X557" s="466"/>
      <c r="Y557" s="466"/>
      <c r="Z557" s="466"/>
    </row>
    <row r="558" spans="1:26" ht="28">
      <c r="A558" s="466"/>
      <c r="B558" s="478" t="s">
        <v>2</v>
      </c>
      <c r="C558" s="493">
        <v>0</v>
      </c>
      <c r="D558" s="493">
        <v>0</v>
      </c>
      <c r="E558" s="493">
        <v>0</v>
      </c>
      <c r="F558" s="493">
        <v>0</v>
      </c>
      <c r="G558" s="493">
        <v>27474835.264295299</v>
      </c>
      <c r="H558" s="466"/>
      <c r="I558" s="466"/>
      <c r="J558" s="466"/>
      <c r="K558" s="466"/>
      <c r="L558" s="466"/>
      <c r="M558" s="466"/>
      <c r="N558" s="466"/>
      <c r="O558" s="466"/>
      <c r="P558" s="466"/>
      <c r="Q558" s="466"/>
      <c r="R558" s="466"/>
      <c r="S558" s="466"/>
      <c r="T558" s="466"/>
      <c r="U558" s="466"/>
      <c r="V558" s="466"/>
      <c r="W558" s="466"/>
      <c r="X558" s="466"/>
      <c r="Y558" s="466"/>
      <c r="Z558" s="466"/>
    </row>
    <row r="559" spans="1:26" ht="28">
      <c r="A559" s="466"/>
      <c r="B559" s="478" t="s">
        <v>3</v>
      </c>
      <c r="C559" s="493">
        <v>5530637.2614949904</v>
      </c>
      <c r="D559" s="493">
        <v>21321811.132505499</v>
      </c>
      <c r="E559" s="493">
        <v>29703579.354733199</v>
      </c>
      <c r="F559" s="493">
        <v>20699744.553863999</v>
      </c>
      <c r="G559" s="493">
        <v>28536841.833114602</v>
      </c>
      <c r="H559" s="466"/>
      <c r="I559" s="466"/>
      <c r="J559" s="466"/>
      <c r="K559" s="466"/>
      <c r="L559" s="466"/>
      <c r="M559" s="466"/>
      <c r="N559" s="466"/>
      <c r="O559" s="466"/>
      <c r="P559" s="466"/>
      <c r="Q559" s="466"/>
      <c r="R559" s="466"/>
      <c r="S559" s="466"/>
      <c r="T559" s="466"/>
      <c r="U559" s="466"/>
      <c r="V559" s="466"/>
      <c r="W559" s="466"/>
      <c r="X559" s="466"/>
      <c r="Y559" s="466"/>
      <c r="Z559" s="466"/>
    </row>
    <row r="560" spans="1:26">
      <c r="A560" s="466"/>
      <c r="B560" s="476" t="s">
        <v>8</v>
      </c>
      <c r="C560" s="477">
        <v>5530637.2614949904</v>
      </c>
      <c r="D560" s="477">
        <v>21321811.132505499</v>
      </c>
      <c r="E560" s="477">
        <v>29703579.354733199</v>
      </c>
      <c r="F560" s="477">
        <v>20699744.553863999</v>
      </c>
      <c r="G560" s="477">
        <v>56011677.097409904</v>
      </c>
      <c r="H560" s="466"/>
      <c r="I560" s="466"/>
      <c r="J560" s="466"/>
      <c r="K560" s="466"/>
      <c r="L560" s="466"/>
      <c r="M560" s="466"/>
      <c r="N560" s="466"/>
      <c r="O560" s="466"/>
      <c r="P560" s="466"/>
      <c r="Q560" s="466"/>
      <c r="R560" s="466"/>
      <c r="S560" s="466"/>
      <c r="T560" s="466"/>
      <c r="U560" s="466"/>
      <c r="V560" s="466"/>
      <c r="W560" s="466"/>
      <c r="X560" s="466"/>
      <c r="Y560" s="466"/>
      <c r="Z560" s="466"/>
    </row>
    <row r="561" spans="1:26" ht="42">
      <c r="A561" s="466"/>
      <c r="B561" s="482" t="s">
        <v>12</v>
      </c>
      <c r="C561" s="493">
        <v>996813.72667849099</v>
      </c>
      <c r="D561" s="493">
        <v>864719.88242119597</v>
      </c>
      <c r="E561" s="493">
        <v>3693198.0163976601</v>
      </c>
      <c r="F561" s="493">
        <v>6292875.0161230601</v>
      </c>
      <c r="G561" s="493">
        <v>161677.630037069</v>
      </c>
      <c r="H561" s="466"/>
      <c r="I561" s="466"/>
      <c r="J561" s="466"/>
      <c r="K561" s="466"/>
      <c r="L561" s="466"/>
      <c r="M561" s="466"/>
      <c r="N561" s="466"/>
      <c r="O561" s="466"/>
      <c r="P561" s="466"/>
      <c r="Q561" s="466"/>
      <c r="R561" s="466"/>
      <c r="S561" s="466"/>
      <c r="T561" s="466"/>
      <c r="U561" s="466"/>
      <c r="V561" s="466"/>
      <c r="W561" s="466"/>
      <c r="X561" s="466"/>
      <c r="Y561" s="466"/>
      <c r="Z561" s="466"/>
    </row>
    <row r="562" spans="1:26" ht="42">
      <c r="A562" s="466"/>
      <c r="B562" s="478" t="s">
        <v>13</v>
      </c>
      <c r="C562" s="495">
        <v>1.742</v>
      </c>
      <c r="D562" s="495">
        <v>1.5620000000000001</v>
      </c>
      <c r="E562" s="495">
        <v>6.6280000000000001</v>
      </c>
      <c r="F562" s="495">
        <v>11.343999999999999</v>
      </c>
      <c r="G562" s="495">
        <v>0.84799999999999998</v>
      </c>
      <c r="H562" s="466"/>
      <c r="I562" s="466"/>
      <c r="J562" s="466"/>
      <c r="K562" s="466"/>
      <c r="L562" s="466"/>
      <c r="M562" s="466"/>
      <c r="N562" s="466"/>
      <c r="O562" s="466"/>
      <c r="P562" s="466"/>
      <c r="Q562" s="466"/>
      <c r="R562" s="466"/>
      <c r="S562" s="466"/>
      <c r="T562" s="466"/>
      <c r="U562" s="466"/>
      <c r="V562" s="466"/>
      <c r="W562" s="466"/>
      <c r="X562" s="466"/>
      <c r="Y562" s="466"/>
    </row>
    <row r="563" spans="1:26" ht="42">
      <c r="A563" s="466"/>
      <c r="B563" s="478" t="s">
        <v>14</v>
      </c>
      <c r="C563" s="495">
        <v>1.589</v>
      </c>
      <c r="D563" s="495">
        <v>1.1279999999999999</v>
      </c>
      <c r="E563" s="495">
        <v>4.3230000000000004</v>
      </c>
      <c r="F563" s="495">
        <v>8.2609999999999992</v>
      </c>
      <c r="G563" s="495">
        <v>0.215</v>
      </c>
      <c r="H563" s="466"/>
      <c r="I563" s="466"/>
      <c r="J563" s="466"/>
      <c r="K563" s="466"/>
      <c r="L563" s="466"/>
      <c r="M563" s="466"/>
      <c r="N563" s="466"/>
      <c r="O563" s="466"/>
      <c r="P563" s="466"/>
      <c r="Q563" s="466"/>
      <c r="R563" s="466"/>
      <c r="S563" s="466"/>
      <c r="T563" s="466"/>
      <c r="U563" s="466"/>
      <c r="V563" s="466"/>
      <c r="W563" s="466"/>
      <c r="X563" s="466"/>
      <c r="Y563" s="466"/>
    </row>
    <row r="564" spans="1:26" ht="56">
      <c r="A564" s="466"/>
      <c r="B564" s="478" t="s">
        <v>15</v>
      </c>
      <c r="C564" s="496">
        <v>120.281067055151</v>
      </c>
      <c r="D564" s="496">
        <v>191.60375621914</v>
      </c>
      <c r="E564" s="496">
        <v>173.52823839464901</v>
      </c>
      <c r="F564" s="496">
        <v>246.33105204829201</v>
      </c>
      <c r="G564" s="497" t="s">
        <v>22</v>
      </c>
      <c r="H564" s="466"/>
      <c r="I564" s="466"/>
      <c r="J564" s="466"/>
      <c r="K564" s="466"/>
      <c r="L564" s="466"/>
      <c r="M564" s="466"/>
      <c r="N564" s="466"/>
      <c r="O564" s="466"/>
      <c r="P564" s="466"/>
      <c r="Q564" s="466"/>
      <c r="R564" s="466"/>
      <c r="S564" s="466"/>
      <c r="T564" s="466"/>
      <c r="U564" s="466"/>
      <c r="V564" s="466"/>
      <c r="W564" s="466"/>
      <c r="X564" s="466"/>
      <c r="Y564" s="466"/>
    </row>
    <row r="565" spans="1:26">
      <c r="A565" s="466"/>
      <c r="B565" s="472" t="s">
        <v>23</v>
      </c>
      <c r="C565" s="493">
        <v>57212745.1662421</v>
      </c>
      <c r="D565" s="493">
        <v>55351965.204141997</v>
      </c>
      <c r="E565" s="493">
        <v>55724223.222695298</v>
      </c>
      <c r="F565" s="493">
        <v>55473279.7810435</v>
      </c>
      <c r="G565" s="493">
        <v>19065131.397128101</v>
      </c>
      <c r="H565" s="466"/>
      <c r="I565" s="466"/>
      <c r="J565" s="466"/>
      <c r="K565" s="466"/>
      <c r="L565" s="466"/>
      <c r="M565" s="466"/>
      <c r="N565" s="466"/>
      <c r="O565" s="466"/>
      <c r="P565" s="466"/>
      <c r="Q565" s="466"/>
      <c r="R565" s="466"/>
      <c r="S565" s="466"/>
      <c r="T565" s="466"/>
      <c r="U565" s="466"/>
      <c r="V565" s="466"/>
      <c r="W565" s="466"/>
      <c r="X565" s="466"/>
      <c r="Y565" s="466"/>
    </row>
    <row r="566" spans="1:26">
      <c r="A566" s="466"/>
      <c r="B566" s="466"/>
      <c r="C566" s="466"/>
      <c r="D566" s="466"/>
      <c r="E566" s="466"/>
      <c r="F566" s="466"/>
      <c r="G566" s="466"/>
      <c r="H566" s="466"/>
      <c r="I566" s="511" t="s">
        <v>518</v>
      </c>
      <c r="J566" s="466"/>
      <c r="K566" s="466"/>
      <c r="L566" s="466"/>
      <c r="M566" s="466"/>
      <c r="N566" s="466"/>
      <c r="O566" s="466"/>
      <c r="P566" s="466"/>
      <c r="Q566" s="466"/>
      <c r="R566" s="466"/>
      <c r="S566" s="511" t="s">
        <v>519</v>
      </c>
      <c r="T566" s="466"/>
      <c r="U566" s="466"/>
      <c r="V566" s="466"/>
      <c r="W566" s="466"/>
      <c r="X566" s="466"/>
      <c r="Y566" s="466"/>
    </row>
    <row r="567" spans="1:26">
      <c r="A567" s="500" t="s">
        <v>40</v>
      </c>
      <c r="B567" s="466"/>
      <c r="C567" s="466"/>
      <c r="D567" s="466"/>
      <c r="E567" s="466"/>
      <c r="F567" s="466"/>
      <c r="G567" s="466"/>
      <c r="H567" s="466"/>
      <c r="I567" s="511" t="s">
        <v>199</v>
      </c>
      <c r="J567" s="466"/>
      <c r="K567" s="466"/>
      <c r="L567" s="466"/>
      <c r="M567" s="466"/>
      <c r="N567" s="466"/>
      <c r="O567" s="466"/>
      <c r="P567" s="466"/>
      <c r="Q567" s="466"/>
      <c r="R567" s="466"/>
      <c r="S567" s="511" t="s">
        <v>199</v>
      </c>
      <c r="T567" s="466"/>
      <c r="U567" s="466"/>
      <c r="V567" s="466"/>
      <c r="W567" s="466"/>
      <c r="X567" s="466"/>
      <c r="Y567" s="466"/>
    </row>
    <row r="568" spans="1:26">
      <c r="A568" s="466"/>
      <c r="B568" s="467"/>
      <c r="C568" s="467">
        <v>2016</v>
      </c>
      <c r="D568" s="467">
        <v>2015</v>
      </c>
      <c r="E568" s="467" t="s">
        <v>43</v>
      </c>
      <c r="F568" s="467" t="s">
        <v>41</v>
      </c>
      <c r="G568" s="467" t="s">
        <v>42</v>
      </c>
      <c r="H568" s="466"/>
      <c r="I568" s="466"/>
      <c r="J568" s="466"/>
      <c r="K568" s="466"/>
      <c r="L568" s="467"/>
      <c r="M568" s="467">
        <v>2016</v>
      </c>
      <c r="N568" s="502" t="s">
        <v>171</v>
      </c>
      <c r="O568" s="502" t="s">
        <v>172</v>
      </c>
      <c r="P568" s="502" t="s">
        <v>173</v>
      </c>
      <c r="Q568" s="502" t="s">
        <v>174</v>
      </c>
      <c r="R568" s="466"/>
      <c r="S568" s="466"/>
      <c r="T568" s="467"/>
      <c r="U568" s="467">
        <v>2016</v>
      </c>
      <c r="V568" s="502" t="s">
        <v>171</v>
      </c>
      <c r="W568" s="502" t="s">
        <v>172</v>
      </c>
      <c r="X568" s="502" t="s">
        <v>173</v>
      </c>
      <c r="Y568" s="502" t="s">
        <v>174</v>
      </c>
    </row>
    <row r="569" spans="1:26" ht="18">
      <c r="A569" s="466"/>
      <c r="B569" s="469" t="s">
        <v>1</v>
      </c>
      <c r="C569" s="498">
        <v>123602899.532124</v>
      </c>
      <c r="D569" s="498">
        <v>163935410.17355001</v>
      </c>
      <c r="E569" s="498">
        <v>135881029.09630501</v>
      </c>
      <c r="F569" s="498">
        <v>164640787.90354699</v>
      </c>
      <c r="G569" s="498">
        <v>228186714.20216599</v>
      </c>
      <c r="H569" s="466"/>
      <c r="I569" s="466"/>
      <c r="J569" s="466"/>
      <c r="K569" s="474" t="s">
        <v>151</v>
      </c>
      <c r="L569" s="469" t="s">
        <v>246</v>
      </c>
      <c r="M569" s="505">
        <v>7773615</v>
      </c>
      <c r="N569" s="505">
        <v>7855250</v>
      </c>
      <c r="O569" s="505">
        <v>6894934</v>
      </c>
      <c r="P569" s="505">
        <v>6896506</v>
      </c>
      <c r="Q569" s="505">
        <v>6511928</v>
      </c>
      <c r="R569" s="466"/>
      <c r="S569" s="466"/>
      <c r="T569" s="469" t="s">
        <v>246</v>
      </c>
      <c r="U569" s="505">
        <v>266153</v>
      </c>
      <c r="V569" s="505">
        <v>395608</v>
      </c>
      <c r="W569" s="505">
        <v>518216</v>
      </c>
      <c r="X569" s="505">
        <v>217906</v>
      </c>
      <c r="Y569" s="505">
        <v>148976</v>
      </c>
    </row>
    <row r="570" spans="1:26">
      <c r="A570" s="466"/>
      <c r="B570" s="467"/>
      <c r="C570" s="467"/>
      <c r="D570" s="467"/>
      <c r="E570" s="467"/>
      <c r="F570" s="467"/>
      <c r="G570" s="467"/>
      <c r="H570" s="466"/>
      <c r="I570" s="466"/>
      <c r="J570" s="466"/>
      <c r="K570" s="466"/>
      <c r="L570" s="467"/>
      <c r="M570" s="507"/>
      <c r="N570" s="507"/>
      <c r="O570" s="507"/>
      <c r="P570" s="507"/>
      <c r="Q570" s="507"/>
      <c r="R570" s="466"/>
      <c r="S570" s="466"/>
      <c r="T570" s="467"/>
      <c r="U570" s="507"/>
      <c r="V570" s="507"/>
      <c r="W570" s="507"/>
      <c r="X570" s="507"/>
      <c r="Y570" s="507"/>
    </row>
    <row r="571" spans="1:26" ht="42">
      <c r="A571" s="466"/>
      <c r="B571" s="484" t="s">
        <v>11</v>
      </c>
      <c r="C571" s="493">
        <v>6616589.2896801196</v>
      </c>
      <c r="D571" s="493">
        <v>4491600.3409177102</v>
      </c>
      <c r="E571" s="493">
        <v>4346568.1665390702</v>
      </c>
      <c r="F571" s="493">
        <v>2192927.6106655598</v>
      </c>
      <c r="G571" s="493">
        <v>2396409.3321561799</v>
      </c>
      <c r="H571" s="466"/>
      <c r="I571" s="466"/>
      <c r="J571" s="466"/>
      <c r="K571" s="474" t="s">
        <v>499</v>
      </c>
      <c r="L571" s="484" t="s">
        <v>247</v>
      </c>
      <c r="M571" s="505">
        <v>6523081</v>
      </c>
      <c r="N571" s="505">
        <v>6085611</v>
      </c>
      <c r="O571" s="505">
        <v>5050086</v>
      </c>
      <c r="P571" s="505">
        <v>4599592</v>
      </c>
      <c r="Q571" s="505">
        <v>2677385</v>
      </c>
      <c r="R571" s="466"/>
      <c r="S571" s="466"/>
      <c r="T571" s="484" t="s">
        <v>247</v>
      </c>
      <c r="U571" s="505">
        <v>2161</v>
      </c>
      <c r="V571" s="505">
        <v>1332</v>
      </c>
      <c r="W571" s="505">
        <v>1294</v>
      </c>
      <c r="X571" s="505">
        <v>74</v>
      </c>
      <c r="Y571" s="505">
        <v>200</v>
      </c>
    </row>
    <row r="572" spans="1:26" ht="42">
      <c r="A572" s="466"/>
      <c r="B572" s="478" t="s">
        <v>2</v>
      </c>
      <c r="C572" s="493">
        <v>538283.05959701503</v>
      </c>
      <c r="D572" s="493">
        <v>1053234.9337488399</v>
      </c>
      <c r="E572" s="493">
        <v>3230013.6067122198</v>
      </c>
      <c r="F572" s="493">
        <v>3207236.8115186701</v>
      </c>
      <c r="G572" s="493">
        <v>131238.77897858599</v>
      </c>
      <c r="H572" s="466"/>
      <c r="I572" s="466"/>
      <c r="J572" s="466"/>
      <c r="K572" s="466"/>
      <c r="L572" s="478" t="s">
        <v>248</v>
      </c>
      <c r="M572" s="587">
        <v>2306949</v>
      </c>
      <c r="N572" s="587">
        <v>2110521</v>
      </c>
      <c r="O572" s="587">
        <v>2330752</v>
      </c>
      <c r="P572" s="587">
        <v>2540826</v>
      </c>
      <c r="Q572" s="587">
        <v>2349667</v>
      </c>
      <c r="R572" s="466"/>
      <c r="S572" s="466"/>
      <c r="T572" s="478" t="s">
        <v>248</v>
      </c>
      <c r="U572" s="587">
        <v>0</v>
      </c>
      <c r="V572" s="587">
        <v>72804</v>
      </c>
      <c r="W572" s="587">
        <v>0</v>
      </c>
      <c r="X572" s="587">
        <v>0</v>
      </c>
      <c r="Y572" s="587">
        <v>0</v>
      </c>
    </row>
    <row r="573" spans="1:26" ht="28">
      <c r="A573" s="466"/>
      <c r="B573" s="478" t="s">
        <v>3</v>
      </c>
      <c r="C573" s="493">
        <v>65369025.151893497</v>
      </c>
      <c r="D573" s="493">
        <v>110579792.90199301</v>
      </c>
      <c r="E573" s="493">
        <v>80512924.275383398</v>
      </c>
      <c r="F573" s="493">
        <v>78074670.308053493</v>
      </c>
      <c r="G573" s="493">
        <v>132125134.45302799</v>
      </c>
      <c r="H573" s="466"/>
      <c r="I573" s="466"/>
      <c r="J573" s="466"/>
      <c r="K573" s="466"/>
      <c r="L573" s="478" t="s">
        <v>249</v>
      </c>
      <c r="M573" s="493"/>
      <c r="N573" s="493"/>
      <c r="O573" s="493"/>
      <c r="P573" s="493"/>
      <c r="Q573" s="493"/>
      <c r="R573" s="466"/>
      <c r="S573" s="466"/>
      <c r="T573" s="478" t="s">
        <v>249</v>
      </c>
      <c r="U573" s="493"/>
      <c r="V573" s="493"/>
      <c r="W573" s="493"/>
      <c r="X573" s="493"/>
      <c r="Y573" s="493"/>
    </row>
    <row r="574" spans="1:26" ht="18">
      <c r="A574" s="466"/>
      <c r="B574" s="476" t="s">
        <v>8</v>
      </c>
      <c r="C574" s="477">
        <v>65907308.211490512</v>
      </c>
      <c r="D574" s="477">
        <v>111633027.83574185</v>
      </c>
      <c r="E574" s="477">
        <v>83742937.88209562</v>
      </c>
      <c r="F574" s="477">
        <v>81281907.119572163</v>
      </c>
      <c r="G574" s="477">
        <v>132256373.23200658</v>
      </c>
      <c r="H574" s="466"/>
      <c r="I574" s="466"/>
      <c r="J574" s="466"/>
      <c r="K574" s="474" t="s">
        <v>500</v>
      </c>
      <c r="L574" s="476" t="s">
        <v>250</v>
      </c>
      <c r="M574" s="505">
        <v>4592991</v>
      </c>
      <c r="N574" s="505">
        <v>4716092</v>
      </c>
      <c r="O574" s="505">
        <v>4408066</v>
      </c>
      <c r="P574" s="505">
        <v>3928864</v>
      </c>
      <c r="Q574" s="505">
        <v>3544673</v>
      </c>
      <c r="R574" s="466"/>
      <c r="S574" s="466"/>
      <c r="T574" s="476" t="s">
        <v>250</v>
      </c>
      <c r="U574" s="505">
        <v>69964</v>
      </c>
      <c r="V574" s="505">
        <v>119000</v>
      </c>
      <c r="W574" s="505">
        <v>97876</v>
      </c>
      <c r="X574" s="505">
        <v>1631</v>
      </c>
      <c r="Y574" s="505">
        <v>45295</v>
      </c>
    </row>
    <row r="575" spans="1:26" ht="42">
      <c r="A575" s="466"/>
      <c r="B575" s="482" t="s">
        <v>12</v>
      </c>
      <c r="C575" s="493">
        <v>30736194.721549701</v>
      </c>
      <c r="D575" s="493">
        <v>36037683.541953601</v>
      </c>
      <c r="E575" s="493">
        <v>886406.500846148</v>
      </c>
      <c r="F575" s="493">
        <v>-4540624.9566972302</v>
      </c>
      <c r="G575" s="493">
        <v>5773967.6754176598</v>
      </c>
      <c r="H575" s="466"/>
      <c r="I575" s="466"/>
      <c r="J575" s="466"/>
      <c r="K575" s="474" t="s">
        <v>501</v>
      </c>
      <c r="L575" s="482" t="s">
        <v>251</v>
      </c>
      <c r="M575" s="505">
        <v>475649</v>
      </c>
      <c r="N575" s="505">
        <v>491366</v>
      </c>
      <c r="O575" s="505">
        <v>224909</v>
      </c>
      <c r="P575" s="505">
        <v>79277</v>
      </c>
      <c r="Q575" s="505">
        <v>326761</v>
      </c>
      <c r="R575" s="466"/>
      <c r="S575" s="466"/>
      <c r="T575" s="482" t="s">
        <v>251</v>
      </c>
      <c r="U575" s="505">
        <v>-80419</v>
      </c>
      <c r="V575" s="505">
        <v>-143732</v>
      </c>
      <c r="W575" s="505">
        <v>8365</v>
      </c>
      <c r="X575" s="505">
        <v>20138</v>
      </c>
      <c r="Y575" s="505">
        <v>-13104</v>
      </c>
    </row>
    <row r="576" spans="1:26" ht="42">
      <c r="A576" s="466"/>
      <c r="B576" s="478" t="s">
        <v>13</v>
      </c>
      <c r="C576" s="495">
        <v>53.273000000000003</v>
      </c>
      <c r="D576" s="495">
        <v>68.903000000000006</v>
      </c>
      <c r="E576" s="495">
        <v>1.7</v>
      </c>
      <c r="F576" s="495">
        <v>-5.4470000000000001</v>
      </c>
      <c r="G576" s="495">
        <v>6.0190000000000001</v>
      </c>
      <c r="H576" s="466"/>
      <c r="I576" s="466"/>
      <c r="J576" s="466"/>
      <c r="K576" s="466"/>
      <c r="L576" s="478" t="s">
        <v>252</v>
      </c>
      <c r="M576" s="508"/>
      <c r="N576" s="508"/>
      <c r="O576" s="508"/>
      <c r="P576" s="508"/>
      <c r="Q576" s="508"/>
      <c r="R576" s="466"/>
      <c r="S576" s="466"/>
      <c r="T576" s="478" t="s">
        <v>252</v>
      </c>
      <c r="U576" s="508"/>
      <c r="V576" s="508"/>
      <c r="W576" s="508"/>
      <c r="X576" s="508"/>
      <c r="Y576" s="508"/>
    </row>
    <row r="577" spans="1:25" ht="42">
      <c r="A577" s="466"/>
      <c r="B577" s="478" t="s">
        <v>14</v>
      </c>
      <c r="C577" s="495">
        <v>24.867000000000001</v>
      </c>
      <c r="D577" s="495">
        <v>21.983000000000001</v>
      </c>
      <c r="E577" s="495">
        <v>0.65200000000000002</v>
      </c>
      <c r="F577" s="495">
        <v>-2.758</v>
      </c>
      <c r="G577" s="495">
        <v>2.5299999999999998</v>
      </c>
      <c r="H577" s="466"/>
      <c r="I577" s="466"/>
      <c r="J577" s="466"/>
      <c r="K577" s="466"/>
      <c r="L577" s="478" t="s">
        <v>253</v>
      </c>
      <c r="M577" s="508"/>
      <c r="N577" s="508"/>
      <c r="O577" s="508"/>
      <c r="P577" s="508"/>
      <c r="Q577" s="508"/>
      <c r="R577" s="466"/>
      <c r="S577" s="466"/>
      <c r="T577" s="478" t="s">
        <v>253</v>
      </c>
      <c r="U577" s="508"/>
      <c r="V577" s="508"/>
      <c r="W577" s="508"/>
      <c r="X577" s="508"/>
      <c r="Y577" s="508"/>
    </row>
    <row r="578" spans="1:25" ht="56">
      <c r="A578" s="466"/>
      <c r="B578" s="478" t="s">
        <v>15</v>
      </c>
      <c r="C578" s="496">
        <v>264.66357158720501</v>
      </c>
      <c r="D578" s="496">
        <v>160.414297889918</v>
      </c>
      <c r="E578" s="497" t="s">
        <v>22</v>
      </c>
      <c r="F578" s="497" t="s">
        <v>22</v>
      </c>
      <c r="G578" s="497" t="s">
        <v>22</v>
      </c>
      <c r="H578" s="466"/>
      <c r="I578" s="466"/>
      <c r="J578" s="466"/>
      <c r="K578" s="466"/>
      <c r="L578" s="478" t="s">
        <v>254</v>
      </c>
      <c r="M578" s="508"/>
      <c r="N578" s="508"/>
      <c r="O578" s="508"/>
      <c r="P578" s="508"/>
      <c r="Q578" s="508"/>
      <c r="R578" s="466"/>
      <c r="S578" s="466"/>
      <c r="T578" s="478" t="s">
        <v>254</v>
      </c>
      <c r="U578" s="508"/>
      <c r="V578" s="508"/>
      <c r="W578" s="508"/>
      <c r="X578" s="508"/>
      <c r="Y578" s="508"/>
    </row>
    <row r="579" spans="1:25" ht="18">
      <c r="A579" s="466"/>
      <c r="B579" s="472" t="s">
        <v>23</v>
      </c>
      <c r="C579" s="493">
        <v>57695591.320633903</v>
      </c>
      <c r="D579" s="493">
        <v>52302268.830433503</v>
      </c>
      <c r="E579" s="493">
        <v>52138225.803718001</v>
      </c>
      <c r="F579" s="493">
        <v>83358880.783975095</v>
      </c>
      <c r="G579" s="493">
        <v>95930340.970158607</v>
      </c>
      <c r="H579" s="466"/>
      <c r="I579" s="466"/>
      <c r="J579" s="466"/>
      <c r="K579" s="474" t="s">
        <v>502</v>
      </c>
      <c r="L579" s="472" t="s">
        <v>255</v>
      </c>
      <c r="M579" s="505">
        <v>3180624</v>
      </c>
      <c r="N579" s="505">
        <v>3139158</v>
      </c>
      <c r="O579" s="505">
        <v>2486868</v>
      </c>
      <c r="P579" s="505">
        <v>2967642</v>
      </c>
      <c r="Q579" s="505">
        <v>2967255</v>
      </c>
      <c r="R579" s="466"/>
      <c r="S579" s="466"/>
      <c r="T579" s="472" t="s">
        <v>255</v>
      </c>
      <c r="U579" s="505">
        <v>196189</v>
      </c>
      <c r="V579" s="505">
        <v>276609</v>
      </c>
      <c r="W579" s="505">
        <v>420340</v>
      </c>
      <c r="X579" s="505">
        <v>216274</v>
      </c>
      <c r="Y579" s="505">
        <v>103681</v>
      </c>
    </row>
    <row r="582" spans="1:25">
      <c r="A582" s="500" t="s">
        <v>44</v>
      </c>
      <c r="B582" s="466"/>
      <c r="C582" s="466"/>
      <c r="D582" s="466"/>
      <c r="E582" s="466"/>
      <c r="F582" s="466"/>
      <c r="G582" s="466"/>
      <c r="H582" s="466"/>
      <c r="I582" s="466"/>
      <c r="J582" s="466"/>
      <c r="K582" s="466"/>
      <c r="L582" s="466"/>
      <c r="M582" s="466"/>
      <c r="N582" s="466"/>
      <c r="O582" s="466"/>
      <c r="P582" s="466"/>
      <c r="Q582" s="466"/>
      <c r="R582" s="466"/>
      <c r="S582" s="466"/>
      <c r="T582" s="466"/>
      <c r="U582" s="466"/>
      <c r="V582" s="466"/>
      <c r="W582" s="466"/>
      <c r="X582" s="466"/>
      <c r="Y582" s="466"/>
    </row>
    <row r="583" spans="1:25" ht="20">
      <c r="A583" s="501"/>
      <c r="B583" s="466"/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</row>
    <row r="584" spans="1:25">
      <c r="A584" s="504"/>
      <c r="B584" s="466"/>
      <c r="C584" s="466"/>
      <c r="D584" s="466"/>
      <c r="E584" s="466"/>
      <c r="F584" s="466"/>
      <c r="G584" s="466"/>
      <c r="H584" s="466"/>
      <c r="I584" s="511" t="s">
        <v>520</v>
      </c>
      <c r="J584" s="466"/>
      <c r="K584" s="466"/>
      <c r="L584" s="466"/>
      <c r="M584" s="466"/>
      <c r="N584" s="466"/>
      <c r="O584" s="466"/>
      <c r="P584" s="466"/>
      <c r="Q584" s="466"/>
      <c r="R584" s="466"/>
      <c r="S584" s="466"/>
      <c r="T584" s="466"/>
      <c r="U584" s="466"/>
      <c r="V584" s="466"/>
      <c r="W584" s="466"/>
      <c r="X584" s="466"/>
      <c r="Y584" s="466"/>
    </row>
    <row r="585" spans="1:25">
      <c r="A585" s="466"/>
      <c r="B585" s="467"/>
      <c r="C585" s="467">
        <v>2015</v>
      </c>
      <c r="D585" s="467">
        <v>2014</v>
      </c>
      <c r="E585" s="502" t="s">
        <v>45</v>
      </c>
      <c r="F585" s="502" t="s">
        <v>46</v>
      </c>
      <c r="G585" s="502" t="s">
        <v>47</v>
      </c>
      <c r="H585" s="466"/>
      <c r="I585" s="511" t="s">
        <v>199</v>
      </c>
      <c r="J585" s="466"/>
      <c r="K585" s="466"/>
      <c r="L585" s="467"/>
      <c r="M585" s="467">
        <v>2015</v>
      </c>
      <c r="N585" s="502" t="s">
        <v>167</v>
      </c>
      <c r="O585" s="502" t="s">
        <v>168</v>
      </c>
      <c r="P585" s="502" t="s">
        <v>169</v>
      </c>
      <c r="Q585" s="502" t="s">
        <v>170</v>
      </c>
      <c r="R585" s="466"/>
      <c r="S585" s="466"/>
      <c r="T585" s="466"/>
      <c r="U585" s="466"/>
      <c r="V585" s="466"/>
      <c r="W585" s="466"/>
      <c r="X585" s="466"/>
      <c r="Y585" s="466"/>
    </row>
    <row r="586" spans="1:25" ht="18">
      <c r="A586" s="466"/>
      <c r="B586" s="469" t="s">
        <v>1</v>
      </c>
      <c r="C586" s="498">
        <v>81697999.985735103</v>
      </c>
      <c r="D586" s="498">
        <v>191983000.03424501</v>
      </c>
      <c r="E586" s="498">
        <v>195189999.947734</v>
      </c>
      <c r="F586" s="498">
        <v>60915000.088762797</v>
      </c>
      <c r="G586" s="498">
        <v>59996999.925738901</v>
      </c>
      <c r="H586" s="466"/>
      <c r="I586" s="466"/>
      <c r="J586" s="466"/>
      <c r="K586" s="474" t="s">
        <v>151</v>
      </c>
      <c r="L586" s="469" t="s">
        <v>246</v>
      </c>
      <c r="M586" s="505">
        <v>11140008</v>
      </c>
      <c r="N586" s="505">
        <v>11339992</v>
      </c>
      <c r="O586" s="505">
        <v>8889804</v>
      </c>
      <c r="P586" s="505">
        <v>8283421</v>
      </c>
      <c r="Q586" s="505">
        <v>7643701</v>
      </c>
      <c r="R586" s="466"/>
      <c r="S586" s="466"/>
      <c r="T586" s="466"/>
      <c r="U586" s="466"/>
      <c r="V586" s="466"/>
      <c r="W586" s="466"/>
      <c r="X586" s="466"/>
      <c r="Y586" s="466"/>
    </row>
    <row r="587" spans="1:25">
      <c r="A587" s="466"/>
      <c r="B587" s="467"/>
      <c r="C587" s="467"/>
      <c r="D587" s="467"/>
      <c r="E587" s="467"/>
      <c r="F587" s="467"/>
      <c r="G587" s="467"/>
      <c r="H587" s="466"/>
      <c r="I587" s="466"/>
      <c r="J587" s="466"/>
      <c r="K587" s="466"/>
      <c r="L587" s="467"/>
      <c r="M587" s="507"/>
      <c r="N587" s="507"/>
      <c r="O587" s="507"/>
      <c r="P587" s="507"/>
      <c r="Q587" s="507"/>
      <c r="R587" s="466"/>
      <c r="S587" s="466"/>
      <c r="T587" s="466"/>
      <c r="U587" s="466"/>
      <c r="V587" s="466"/>
      <c r="W587" s="466"/>
      <c r="X587" s="466"/>
      <c r="Y587" s="466"/>
    </row>
    <row r="588" spans="1:25" ht="42">
      <c r="A588" s="466"/>
      <c r="B588" s="484" t="s">
        <v>11</v>
      </c>
      <c r="C588" s="493">
        <v>4229000.0070086299</v>
      </c>
      <c r="D588" s="493">
        <v>1973999.9557142099</v>
      </c>
      <c r="E588" s="493">
        <v>1651999.9842453001</v>
      </c>
      <c r="F588" s="493">
        <v>848999.99873489095</v>
      </c>
      <c r="G588" s="493">
        <v>116999.998552948</v>
      </c>
      <c r="H588" s="527"/>
      <c r="I588" s="466"/>
      <c r="J588" s="466"/>
      <c r="K588" s="474" t="s">
        <v>499</v>
      </c>
      <c r="L588" s="484" t="s">
        <v>247</v>
      </c>
      <c r="M588" s="526">
        <v>345377</v>
      </c>
      <c r="N588" s="526">
        <v>297150</v>
      </c>
      <c r="O588" s="526">
        <v>238123</v>
      </c>
      <c r="P588" s="526">
        <v>176421</v>
      </c>
      <c r="Q588" s="526">
        <v>145961</v>
      </c>
      <c r="R588" s="466"/>
      <c r="S588" s="466"/>
      <c r="T588" s="466"/>
      <c r="U588" s="466"/>
      <c r="V588" s="466"/>
      <c r="W588" s="466"/>
      <c r="X588" s="466"/>
      <c r="Y588" s="466"/>
    </row>
    <row r="589" spans="1:25" ht="42">
      <c r="A589" s="466"/>
      <c r="B589" s="478" t="s">
        <v>2</v>
      </c>
      <c r="C589" s="493">
        <v>19666999.958756201</v>
      </c>
      <c r="D589" s="493">
        <v>21633000.047508899</v>
      </c>
      <c r="E589" s="493">
        <v>23599999.939406499</v>
      </c>
      <c r="F589" s="493">
        <v>25566999.961902201</v>
      </c>
      <c r="G589" s="493">
        <v>27532999.993362699</v>
      </c>
      <c r="H589" s="466"/>
      <c r="I589" s="466"/>
      <c r="J589" s="466"/>
      <c r="K589" s="466"/>
      <c r="L589" s="478" t="s">
        <v>248</v>
      </c>
      <c r="M589" s="587">
        <v>309348</v>
      </c>
      <c r="N589" s="587">
        <v>308910</v>
      </c>
      <c r="O589" s="587">
        <v>233825</v>
      </c>
      <c r="P589" s="587">
        <v>233072</v>
      </c>
      <c r="Q589" s="587">
        <v>124315</v>
      </c>
      <c r="R589" s="466"/>
      <c r="S589" s="466"/>
      <c r="T589" s="466"/>
      <c r="U589" s="466"/>
      <c r="V589" s="466"/>
      <c r="W589" s="466"/>
      <c r="X589" s="466"/>
      <c r="Y589" s="466"/>
    </row>
    <row r="590" spans="1:25" ht="28">
      <c r="A590" s="466"/>
      <c r="B590" s="478" t="s">
        <v>3</v>
      </c>
      <c r="C590" s="493">
        <v>4511999.9998818496</v>
      </c>
      <c r="D590" s="493">
        <v>3414000.0215892601</v>
      </c>
      <c r="E590" s="493">
        <v>3746999.9642658201</v>
      </c>
      <c r="F590" s="493">
        <v>3142999.9953165702</v>
      </c>
      <c r="G590" s="493">
        <v>3190999.9605338299</v>
      </c>
      <c r="H590" s="466"/>
      <c r="I590" s="466"/>
      <c r="J590" s="466"/>
      <c r="K590" s="466"/>
      <c r="L590" s="478" t="s">
        <v>249</v>
      </c>
      <c r="M590" s="493"/>
      <c r="N590" s="493"/>
      <c r="O590" s="493"/>
      <c r="P590" s="493"/>
      <c r="Q590" s="493"/>
      <c r="R590" s="466"/>
      <c r="S590" s="466"/>
      <c r="T590" s="466"/>
      <c r="U590" s="466"/>
      <c r="V590" s="466"/>
      <c r="W590" s="466"/>
      <c r="X590" s="466"/>
      <c r="Y590" s="466"/>
    </row>
    <row r="591" spans="1:25" ht="18">
      <c r="A591" s="466"/>
      <c r="B591" s="476" t="s">
        <v>8</v>
      </c>
      <c r="C591" s="477">
        <v>24178999.95863805</v>
      </c>
      <c r="D591" s="477">
        <v>25047000.06909816</v>
      </c>
      <c r="E591" s="477">
        <v>27346999.903672319</v>
      </c>
      <c r="F591" s="477">
        <v>28709999.95721877</v>
      </c>
      <c r="G591" s="477">
        <v>30723999.95389653</v>
      </c>
      <c r="H591" s="466"/>
      <c r="I591" s="466"/>
      <c r="J591" s="466"/>
      <c r="K591" s="474" t="s">
        <v>500</v>
      </c>
      <c r="L591" s="476" t="s">
        <v>250</v>
      </c>
      <c r="M591" s="525">
        <v>9948841</v>
      </c>
      <c r="N591" s="525">
        <v>10289737</v>
      </c>
      <c r="O591" s="525">
        <v>7971189</v>
      </c>
      <c r="P591" s="525">
        <v>7471617</v>
      </c>
      <c r="Q591" s="525">
        <v>6874004</v>
      </c>
      <c r="R591" s="466"/>
      <c r="S591" s="466"/>
      <c r="T591" s="466"/>
      <c r="U591" s="466"/>
      <c r="V591" s="466"/>
      <c r="W591" s="466"/>
      <c r="X591" s="466"/>
      <c r="Y591" s="466"/>
    </row>
    <row r="592" spans="1:25" ht="42">
      <c r="A592" s="466"/>
      <c r="B592" s="482" t="s">
        <v>12</v>
      </c>
      <c r="C592" s="493">
        <v>5585999.9728353499</v>
      </c>
      <c r="D592" s="493">
        <v>-893000.04085168196</v>
      </c>
      <c r="E592" s="493">
        <v>-1516999.9855327599</v>
      </c>
      <c r="F592" s="493">
        <v>2904999.9956712099</v>
      </c>
      <c r="G592" s="493">
        <v>-2674999.9669157001</v>
      </c>
      <c r="H592" s="466"/>
      <c r="I592" s="466"/>
      <c r="J592" s="466"/>
      <c r="K592" s="474" t="s">
        <v>501</v>
      </c>
      <c r="L592" s="482" t="s">
        <v>251</v>
      </c>
      <c r="M592" s="505">
        <v>166413</v>
      </c>
      <c r="N592" s="505">
        <v>154218</v>
      </c>
      <c r="O592" s="505">
        <v>109733</v>
      </c>
      <c r="P592" s="505">
        <v>67657</v>
      </c>
      <c r="Q592" s="505">
        <v>47645</v>
      </c>
      <c r="R592" s="466"/>
      <c r="S592" s="466"/>
      <c r="T592" s="466"/>
      <c r="U592" s="466"/>
      <c r="V592" s="466"/>
      <c r="W592" s="466"/>
      <c r="X592" s="466"/>
      <c r="Y592" s="466"/>
    </row>
    <row r="593" spans="1:25" ht="42">
      <c r="A593" s="466"/>
      <c r="B593" s="478" t="s">
        <v>13</v>
      </c>
      <c r="C593" s="495">
        <v>9.7110000000000003</v>
      </c>
      <c r="D593" s="495">
        <v>-0.53500000000000003</v>
      </c>
      <c r="E593" s="495">
        <v>-0.90400000000000003</v>
      </c>
      <c r="F593" s="495">
        <v>9.02</v>
      </c>
      <c r="G593" s="495">
        <v>-9.1379999999999999</v>
      </c>
      <c r="H593" s="466"/>
      <c r="I593" s="466"/>
      <c r="J593" s="466"/>
      <c r="K593" s="466"/>
      <c r="L593" s="478" t="s">
        <v>252</v>
      </c>
      <c r="M593" s="508"/>
      <c r="N593" s="508"/>
      <c r="O593" s="508"/>
      <c r="P593" s="508"/>
      <c r="Q593" s="508"/>
      <c r="R593" s="466"/>
      <c r="S593" s="466"/>
      <c r="T593" s="466"/>
      <c r="U593" s="466"/>
      <c r="V593" s="466"/>
      <c r="W593" s="466"/>
      <c r="X593" s="466"/>
      <c r="Y593" s="466"/>
    </row>
    <row r="594" spans="1:25" ht="42">
      <c r="A594" s="466"/>
      <c r="B594" s="478" t="s">
        <v>14</v>
      </c>
      <c r="C594" s="495">
        <v>6.8369999999999997</v>
      </c>
      <c r="D594" s="495">
        <v>-0.46500000000000002</v>
      </c>
      <c r="E594" s="495">
        <v>-0.77700000000000002</v>
      </c>
      <c r="F594" s="495">
        <v>4.7690000000000001</v>
      </c>
      <c r="G594" s="495">
        <v>-4.4589999999999996</v>
      </c>
      <c r="H594" s="466"/>
      <c r="I594" s="466"/>
      <c r="J594" s="466"/>
      <c r="K594" s="466"/>
      <c r="L594" s="478" t="s">
        <v>253</v>
      </c>
      <c r="M594" s="508"/>
      <c r="N594" s="508"/>
      <c r="O594" s="508"/>
      <c r="P594" s="508"/>
      <c r="Q594" s="508"/>
    </row>
    <row r="595" spans="1:25" ht="56">
      <c r="A595" s="466"/>
      <c r="B595" s="478" t="s">
        <v>15</v>
      </c>
      <c r="C595" s="496">
        <v>528.62500087607805</v>
      </c>
      <c r="D595" s="497" t="s">
        <v>22</v>
      </c>
      <c r="E595" s="497" t="s">
        <v>22</v>
      </c>
      <c r="F595" s="497" t="s">
        <v>22</v>
      </c>
      <c r="G595" s="497" t="s">
        <v>22</v>
      </c>
      <c r="H595" s="466"/>
      <c r="I595" s="466"/>
      <c r="J595" s="466"/>
      <c r="K595" s="466"/>
      <c r="L595" s="478" t="s">
        <v>254</v>
      </c>
      <c r="M595" s="508"/>
      <c r="N595" s="508"/>
      <c r="O595" s="508"/>
      <c r="P595" s="508"/>
      <c r="Q595" s="508"/>
    </row>
    <row r="596" spans="1:25" ht="18">
      <c r="A596" s="466"/>
      <c r="B596" s="472" t="s">
        <v>23</v>
      </c>
      <c r="C596" s="493">
        <v>57520000.027071901</v>
      </c>
      <c r="D596" s="493">
        <v>166935999.96514699</v>
      </c>
      <c r="E596" s="493">
        <v>167841000.04407999</v>
      </c>
      <c r="F596" s="493">
        <v>32204999.952010799</v>
      </c>
      <c r="G596" s="493">
        <v>29272999.971842401</v>
      </c>
      <c r="H596" s="466"/>
      <c r="I596" s="466"/>
      <c r="J596" s="466"/>
      <c r="K596" s="474" t="s">
        <v>502</v>
      </c>
      <c r="L596" s="472" t="s">
        <v>255</v>
      </c>
      <c r="M596" s="505">
        <v>1191167</v>
      </c>
      <c r="N596" s="505">
        <v>1050255</v>
      </c>
      <c r="O596" s="505">
        <v>918614</v>
      </c>
      <c r="P596" s="505">
        <v>811804</v>
      </c>
      <c r="Q596" s="505">
        <v>769697</v>
      </c>
    </row>
    <row r="599" spans="1:25">
      <c r="A599" s="500" t="s">
        <v>48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466"/>
      <c r="L599" s="466"/>
      <c r="M599" s="466"/>
      <c r="N599" s="466"/>
      <c r="O599" s="466"/>
      <c r="P599" s="466"/>
      <c r="Q599" s="466"/>
    </row>
    <row r="600" spans="1:25">
      <c r="A600" s="489" t="s">
        <v>49</v>
      </c>
      <c r="B600" s="466"/>
      <c r="C600" s="466"/>
      <c r="D600" s="466"/>
      <c r="E600" s="466"/>
      <c r="F600" s="466"/>
      <c r="G600" s="466"/>
      <c r="H600" s="466"/>
      <c r="I600" s="466"/>
      <c r="J600" s="466"/>
      <c r="K600" s="466"/>
      <c r="L600" s="466"/>
      <c r="M600" s="466"/>
      <c r="N600" s="466"/>
      <c r="O600" s="466"/>
      <c r="P600" s="466"/>
      <c r="Q600" s="466"/>
    </row>
    <row r="601" spans="1:25">
      <c r="A601" s="503" t="s">
        <v>50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466"/>
      <c r="L601" s="466"/>
      <c r="M601" s="466"/>
      <c r="N601" s="466"/>
      <c r="O601" s="466"/>
      <c r="P601" s="466"/>
      <c r="Q601" s="466"/>
    </row>
    <row r="602" spans="1:25">
      <c r="A602" s="466"/>
      <c r="B602" s="467"/>
      <c r="C602" s="467">
        <v>2015</v>
      </c>
      <c r="D602" s="467">
        <v>2014</v>
      </c>
      <c r="E602" s="502" t="s">
        <v>45</v>
      </c>
      <c r="F602" s="502" t="s">
        <v>46</v>
      </c>
      <c r="G602" s="502" t="s">
        <v>47</v>
      </c>
      <c r="H602" s="466"/>
      <c r="I602" s="466"/>
      <c r="J602" s="466"/>
      <c r="K602" s="466"/>
      <c r="L602" s="466"/>
      <c r="M602" s="466"/>
      <c r="N602" s="466"/>
      <c r="O602" s="466"/>
      <c r="P602" s="466"/>
      <c r="Q602" s="466"/>
    </row>
    <row r="603" spans="1:25">
      <c r="A603" s="466"/>
      <c r="B603" s="469" t="s">
        <v>1</v>
      </c>
      <c r="C603" s="498">
        <v>81697999.985735103</v>
      </c>
      <c r="D603" s="498">
        <v>191983000.03424501</v>
      </c>
      <c r="E603" s="498">
        <v>195189999.947734</v>
      </c>
      <c r="F603" s="498">
        <v>60915000.088762797</v>
      </c>
      <c r="G603" s="498">
        <v>59996999.925738901</v>
      </c>
      <c r="H603" s="466"/>
      <c r="I603" s="466"/>
      <c r="J603" s="466"/>
      <c r="K603" s="466"/>
      <c r="L603" s="466"/>
      <c r="M603" s="466"/>
      <c r="N603" s="466"/>
      <c r="O603" s="466"/>
      <c r="P603" s="466"/>
      <c r="Q603" s="466"/>
    </row>
    <row r="604" spans="1:25">
      <c r="A604" s="466"/>
      <c r="B604" s="467"/>
      <c r="C604" s="467"/>
      <c r="D604" s="467"/>
      <c r="E604" s="467"/>
      <c r="F604" s="467"/>
      <c r="G604" s="467"/>
      <c r="H604" s="466"/>
      <c r="I604" s="466"/>
      <c r="J604" s="466"/>
      <c r="K604" s="466"/>
      <c r="L604" s="466"/>
      <c r="M604" s="466"/>
      <c r="N604" s="466"/>
      <c r="O604" s="466"/>
      <c r="P604" s="466"/>
      <c r="Q604" s="466"/>
    </row>
    <row r="605" spans="1:25" ht="42">
      <c r="A605" s="466"/>
      <c r="B605" s="484" t="s">
        <v>11</v>
      </c>
      <c r="C605" s="493">
        <v>4229000.0070086299</v>
      </c>
      <c r="D605" s="493">
        <v>1973999.9557142099</v>
      </c>
      <c r="E605" s="493">
        <v>1651999.9842453001</v>
      </c>
      <c r="F605" s="493">
        <v>848999.99873489095</v>
      </c>
      <c r="G605" s="493">
        <v>116999.998552948</v>
      </c>
      <c r="H605" s="466"/>
      <c r="I605" s="466"/>
      <c r="J605" s="466"/>
      <c r="K605" s="466"/>
      <c r="L605" s="466"/>
      <c r="M605" s="466"/>
      <c r="N605" s="466"/>
      <c r="O605" s="466"/>
      <c r="P605" s="466"/>
      <c r="Q605" s="466"/>
    </row>
    <row r="606" spans="1:25" ht="28">
      <c r="A606" s="466"/>
      <c r="B606" s="478" t="s">
        <v>2</v>
      </c>
      <c r="C606" s="493">
        <v>19666999.958756201</v>
      </c>
      <c r="D606" s="493">
        <v>21633000.047508899</v>
      </c>
      <c r="E606" s="493">
        <v>23599999.939406499</v>
      </c>
      <c r="F606" s="493">
        <v>25566999.961902201</v>
      </c>
      <c r="G606" s="493">
        <v>27532999.993362699</v>
      </c>
      <c r="H606" s="466"/>
      <c r="I606" s="466"/>
      <c r="J606" s="466"/>
      <c r="K606" s="466"/>
      <c r="L606" s="466"/>
      <c r="M606" s="466"/>
      <c r="N606" s="466"/>
      <c r="O606" s="466"/>
      <c r="P606" s="466"/>
      <c r="Q606" s="466"/>
    </row>
    <row r="607" spans="1:25" ht="28">
      <c r="A607" s="466"/>
      <c r="B607" s="478" t="s">
        <v>3</v>
      </c>
      <c r="C607" s="493">
        <v>4511999.9998818496</v>
      </c>
      <c r="D607" s="493">
        <v>3414000.0215892601</v>
      </c>
      <c r="E607" s="493">
        <v>3746999.9642658201</v>
      </c>
      <c r="F607" s="493">
        <v>3142999.9953165702</v>
      </c>
      <c r="G607" s="493">
        <v>3190999.9605338299</v>
      </c>
      <c r="H607" s="466"/>
      <c r="I607" s="466"/>
      <c r="J607" s="466"/>
      <c r="K607" s="466"/>
      <c r="L607" s="466"/>
      <c r="M607" s="466"/>
      <c r="N607" s="466"/>
      <c r="O607" s="466"/>
      <c r="P607" s="466"/>
      <c r="Q607" s="466"/>
    </row>
    <row r="608" spans="1:25">
      <c r="A608" s="466"/>
      <c r="B608" s="476" t="s">
        <v>8</v>
      </c>
      <c r="C608" s="477">
        <v>24178999.95863805</v>
      </c>
      <c r="D608" s="477">
        <v>25047000.06909816</v>
      </c>
      <c r="E608" s="477">
        <v>27346999.903672319</v>
      </c>
      <c r="F608" s="477">
        <v>28709999.95721877</v>
      </c>
      <c r="G608" s="477">
        <v>30723999.95389653</v>
      </c>
      <c r="H608" s="466"/>
      <c r="I608" s="466"/>
      <c r="J608" s="466"/>
      <c r="K608" s="466"/>
      <c r="L608" s="466"/>
      <c r="M608" s="466"/>
      <c r="N608" s="466"/>
      <c r="O608" s="466"/>
      <c r="P608" s="466"/>
      <c r="Q608" s="466"/>
    </row>
    <row r="609" spans="1:35" ht="42">
      <c r="A609" s="466"/>
      <c r="B609" s="482" t="s">
        <v>12</v>
      </c>
      <c r="C609" s="493">
        <v>5585999.9728353499</v>
      </c>
      <c r="D609" s="493">
        <v>-893000.04085168196</v>
      </c>
      <c r="E609" s="493">
        <v>-1516999.9855327599</v>
      </c>
      <c r="F609" s="493">
        <v>2904999.9956712099</v>
      </c>
      <c r="G609" s="493">
        <v>-2674999.9669157001</v>
      </c>
      <c r="H609" s="466"/>
      <c r="I609" s="466"/>
      <c r="J609" s="466"/>
      <c r="K609" s="466"/>
      <c r="L609" s="466"/>
      <c r="M609" s="466"/>
      <c r="N609" s="466"/>
      <c r="O609" s="466"/>
      <c r="P609" s="466"/>
      <c r="Q609" s="466"/>
    </row>
    <row r="610" spans="1:35" ht="42">
      <c r="A610" s="466"/>
      <c r="B610" s="478" t="s">
        <v>13</v>
      </c>
      <c r="C610" s="495">
        <v>9.7110000000000003</v>
      </c>
      <c r="D610" s="495">
        <v>-0.53500000000000003</v>
      </c>
      <c r="E610" s="495">
        <v>-0.90400000000000003</v>
      </c>
      <c r="F610" s="495">
        <v>9.02</v>
      </c>
      <c r="G610" s="495">
        <v>-9.1379999999999999</v>
      </c>
      <c r="H610" s="466"/>
      <c r="I610" s="466"/>
      <c r="J610" s="466"/>
      <c r="K610" s="466"/>
      <c r="L610" s="466"/>
      <c r="M610" s="466"/>
      <c r="N610" s="466"/>
      <c r="O610" s="466"/>
      <c r="P610" s="466"/>
      <c r="Q610" s="466"/>
      <c r="R610" s="466"/>
      <c r="S610" s="466"/>
      <c r="T610" s="466"/>
      <c r="U610" s="466"/>
      <c r="V610" s="466"/>
      <c r="W610" s="466"/>
      <c r="X610" s="466"/>
      <c r="Y610" s="466"/>
      <c r="Z610" s="466"/>
      <c r="AA610" s="466"/>
      <c r="AB610" s="466"/>
      <c r="AC610" s="466"/>
      <c r="AD610" s="466"/>
      <c r="AE610" s="466"/>
      <c r="AF610" s="466"/>
      <c r="AG610" s="466"/>
      <c r="AH610" s="466"/>
      <c r="AI610" s="466"/>
    </row>
    <row r="611" spans="1:35" ht="42">
      <c r="A611" s="466"/>
      <c r="B611" s="478" t="s">
        <v>14</v>
      </c>
      <c r="C611" s="495">
        <v>6.8369999999999997</v>
      </c>
      <c r="D611" s="495">
        <v>-0.46500000000000002</v>
      </c>
      <c r="E611" s="495">
        <v>-0.77700000000000002</v>
      </c>
      <c r="F611" s="495">
        <v>4.7690000000000001</v>
      </c>
      <c r="G611" s="495">
        <v>-4.4589999999999996</v>
      </c>
      <c r="H611" s="466"/>
      <c r="I611" s="466"/>
      <c r="J611" s="466"/>
      <c r="K611" s="466"/>
      <c r="L611" s="466"/>
      <c r="M611" s="466"/>
      <c r="N611" s="466"/>
      <c r="O611" s="466"/>
      <c r="P611" s="466"/>
      <c r="Q611" s="466"/>
      <c r="R611" s="466"/>
      <c r="S611" s="466"/>
      <c r="T611" s="466"/>
      <c r="U611" s="466"/>
      <c r="V611" s="466"/>
      <c r="W611" s="466"/>
      <c r="X611" s="466"/>
      <c r="Y611" s="466"/>
      <c r="Z611" s="466"/>
      <c r="AA611" s="466"/>
      <c r="AB611" s="466"/>
      <c r="AC611" s="466"/>
      <c r="AD611" s="466"/>
      <c r="AE611" s="466"/>
      <c r="AF611" s="466"/>
      <c r="AG611" s="466"/>
      <c r="AH611" s="466"/>
      <c r="AI611" s="466"/>
    </row>
    <row r="612" spans="1:35" ht="56">
      <c r="A612" s="466"/>
      <c r="B612" s="478" t="s">
        <v>15</v>
      </c>
      <c r="C612" s="496">
        <v>528.62500087607805</v>
      </c>
      <c r="D612" s="497" t="s">
        <v>22</v>
      </c>
      <c r="E612" s="497" t="s">
        <v>22</v>
      </c>
      <c r="F612" s="497" t="s">
        <v>22</v>
      </c>
      <c r="G612" s="497" t="s">
        <v>22</v>
      </c>
      <c r="H612" s="466"/>
      <c r="I612" s="466"/>
      <c r="J612" s="466"/>
      <c r="K612" s="466"/>
      <c r="L612" s="466"/>
      <c r="M612" s="466"/>
      <c r="N612" s="466"/>
      <c r="O612" s="466"/>
      <c r="P612" s="466"/>
      <c r="Q612" s="466"/>
      <c r="R612" s="466"/>
      <c r="S612" s="466"/>
      <c r="T612" s="466"/>
      <c r="U612" s="466"/>
      <c r="V612" s="466"/>
      <c r="W612" s="466"/>
      <c r="X612" s="466"/>
      <c r="Y612" s="466"/>
      <c r="Z612" s="466"/>
      <c r="AA612" s="466"/>
      <c r="AB612" s="466"/>
      <c r="AC612" s="466"/>
      <c r="AD612" s="466"/>
      <c r="AE612" s="466"/>
      <c r="AF612" s="466"/>
      <c r="AG612" s="466"/>
      <c r="AH612" s="466"/>
      <c r="AI612" s="466"/>
    </row>
    <row r="613" spans="1:35">
      <c r="A613" s="466"/>
      <c r="B613" s="472" t="s">
        <v>23</v>
      </c>
      <c r="C613" s="493">
        <v>57520000.027071901</v>
      </c>
      <c r="D613" s="493">
        <v>166935999.96514699</v>
      </c>
      <c r="E613" s="493">
        <v>167841000.04407999</v>
      </c>
      <c r="F613" s="493">
        <v>32204999.952010799</v>
      </c>
      <c r="G613" s="493">
        <v>29272999.971842401</v>
      </c>
      <c r="H613" s="466"/>
      <c r="I613" s="466"/>
      <c r="J613" s="466"/>
      <c r="K613" s="466"/>
      <c r="L613" s="466"/>
      <c r="M613" s="466"/>
      <c r="N613" s="466"/>
      <c r="O613" s="466"/>
      <c r="P613" s="466"/>
      <c r="Q613" s="466"/>
      <c r="R613" s="466"/>
      <c r="S613" s="466"/>
      <c r="T613" s="466"/>
      <c r="U613" s="466"/>
      <c r="V613" s="466"/>
      <c r="W613" s="466"/>
      <c r="X613" s="466"/>
      <c r="Y613" s="466"/>
      <c r="Z613" s="466"/>
      <c r="AA613" s="466"/>
      <c r="AB613" s="466"/>
      <c r="AC613" s="466"/>
      <c r="AD613" s="466"/>
      <c r="AE613" s="466"/>
      <c r="AF613" s="466"/>
      <c r="AG613" s="466"/>
      <c r="AH613" s="466"/>
      <c r="AI613" s="466"/>
    </row>
    <row r="615" spans="1:35">
      <c r="A615" s="500" t="s">
        <v>51</v>
      </c>
      <c r="B615" s="466"/>
      <c r="C615" s="466"/>
      <c r="D615" s="466"/>
      <c r="E615" s="466"/>
      <c r="F615" s="466"/>
      <c r="G615" s="466"/>
      <c r="H615" s="466"/>
      <c r="I615" s="466"/>
      <c r="J615" s="466"/>
      <c r="K615" s="466"/>
      <c r="L615" s="466"/>
      <c r="M615" s="466"/>
      <c r="N615" s="466"/>
      <c r="O615" s="466"/>
      <c r="P615" s="466"/>
      <c r="Q615" s="466"/>
      <c r="R615" s="466"/>
      <c r="S615" s="466"/>
      <c r="T615" s="466"/>
      <c r="U615" s="466"/>
      <c r="V615" s="466"/>
      <c r="W615" s="466"/>
      <c r="X615" s="466"/>
      <c r="Y615" s="466"/>
      <c r="Z615" s="466"/>
      <c r="AA615" s="466"/>
      <c r="AB615" s="466"/>
      <c r="AC615" s="466"/>
      <c r="AD615" s="466"/>
      <c r="AE615" s="466"/>
      <c r="AF615" s="466"/>
      <c r="AG615" s="466"/>
      <c r="AH615" s="466"/>
      <c r="AI615" s="466"/>
    </row>
    <row r="616" spans="1:35">
      <c r="A616" s="466"/>
      <c r="B616" s="466"/>
      <c r="C616" s="466"/>
      <c r="D616" s="466"/>
      <c r="E616" s="466"/>
      <c r="F616" s="466"/>
      <c r="G616" s="511" t="s">
        <v>521</v>
      </c>
      <c r="H616" s="512"/>
      <c r="I616" s="511" t="s">
        <v>522</v>
      </c>
      <c r="J616" s="466"/>
      <c r="K616" s="466"/>
      <c r="L616" s="466"/>
      <c r="M616" s="466"/>
      <c r="N616" s="466"/>
      <c r="O616" s="466"/>
      <c r="P616" s="466"/>
      <c r="Q616" s="466"/>
      <c r="R616" s="466"/>
      <c r="S616" s="511" t="s">
        <v>523</v>
      </c>
      <c r="T616" s="466"/>
      <c r="U616" s="466"/>
      <c r="V616" s="466"/>
      <c r="W616" s="466"/>
      <c r="X616" s="466"/>
      <c r="Y616" s="466"/>
      <c r="Z616" s="466"/>
      <c r="AA616" s="466"/>
      <c r="AB616" s="511" t="s">
        <v>524</v>
      </c>
      <c r="AC616" s="466"/>
      <c r="AD616" s="466"/>
      <c r="AE616" s="466"/>
      <c r="AF616" s="466"/>
      <c r="AG616" s="466"/>
      <c r="AH616" s="466"/>
      <c r="AI616" s="466"/>
    </row>
    <row r="617" spans="1:35">
      <c r="A617" s="466"/>
      <c r="B617" s="466"/>
      <c r="C617" s="466"/>
      <c r="D617" s="466"/>
      <c r="E617" s="466"/>
      <c r="F617" s="466"/>
      <c r="G617" s="512"/>
      <c r="H617" s="512"/>
      <c r="I617" s="511" t="s">
        <v>199</v>
      </c>
      <c r="J617" s="466"/>
      <c r="K617" s="466"/>
      <c r="L617" s="467"/>
      <c r="M617" s="467">
        <v>2009</v>
      </c>
      <c r="N617" s="502" t="s">
        <v>220</v>
      </c>
      <c r="O617" s="502" t="s">
        <v>221</v>
      </c>
      <c r="P617" s="502" t="s">
        <v>222</v>
      </c>
      <c r="Q617" s="502" t="s">
        <v>223</v>
      </c>
      <c r="R617" s="466"/>
      <c r="S617" s="511" t="s">
        <v>199</v>
      </c>
      <c r="T617" s="466"/>
      <c r="U617" s="467"/>
      <c r="V617" s="467">
        <v>2009</v>
      </c>
      <c r="W617" s="502" t="s">
        <v>220</v>
      </c>
      <c r="X617" s="502" t="s">
        <v>221</v>
      </c>
      <c r="Y617" s="502" t="s">
        <v>222</v>
      </c>
      <c r="Z617" s="502" t="s">
        <v>223</v>
      </c>
      <c r="AA617" s="466"/>
      <c r="AB617" s="511" t="s">
        <v>199</v>
      </c>
      <c r="AC617" s="466"/>
      <c r="AD617" s="467"/>
      <c r="AE617" s="467">
        <v>2009</v>
      </c>
      <c r="AF617" s="502" t="s">
        <v>220</v>
      </c>
      <c r="AG617" s="502" t="s">
        <v>221</v>
      </c>
      <c r="AH617" s="502" t="s">
        <v>222</v>
      </c>
      <c r="AI617" s="502" t="s">
        <v>223</v>
      </c>
    </row>
    <row r="618" spans="1:35" ht="18">
      <c r="A618" s="466"/>
      <c r="B618" s="466"/>
      <c r="C618" s="466"/>
      <c r="D618" s="466"/>
      <c r="E618" s="466"/>
      <c r="F618" s="466"/>
      <c r="G618" s="466"/>
      <c r="H618" s="466"/>
      <c r="I618" s="466"/>
      <c r="J618" s="466"/>
      <c r="K618" s="474" t="s">
        <v>151</v>
      </c>
      <c r="L618" s="469" t="s">
        <v>246</v>
      </c>
      <c r="M618" s="505">
        <v>732998</v>
      </c>
      <c r="N618" s="505">
        <v>868783</v>
      </c>
      <c r="O618" s="505">
        <v>355615</v>
      </c>
      <c r="P618" s="505">
        <v>271633</v>
      </c>
      <c r="Q618" s="505">
        <v>363404</v>
      </c>
      <c r="R618" s="466"/>
      <c r="S618" s="466"/>
      <c r="T618" s="474" t="s">
        <v>151</v>
      </c>
      <c r="U618" s="469" t="s">
        <v>246</v>
      </c>
      <c r="V618" s="505">
        <v>7156000</v>
      </c>
      <c r="W618" s="505">
        <v>8282100</v>
      </c>
      <c r="X618" s="505">
        <v>6724600</v>
      </c>
      <c r="Y618" s="505">
        <v>6445400</v>
      </c>
      <c r="Z618" s="505">
        <v>1727200</v>
      </c>
      <c r="AA618" s="466"/>
      <c r="AB618" s="466"/>
      <c r="AC618" s="474" t="s">
        <v>151</v>
      </c>
      <c r="AD618" s="469" t="s">
        <v>246</v>
      </c>
      <c r="AE618" s="505">
        <v>821716</v>
      </c>
      <c r="AF618" s="505">
        <v>803294</v>
      </c>
      <c r="AG618" s="505">
        <v>613730</v>
      </c>
      <c r="AH618" s="505">
        <v>562278</v>
      </c>
      <c r="AI618" s="505">
        <v>325505</v>
      </c>
    </row>
    <row r="619" spans="1:35">
      <c r="A619" s="466"/>
      <c r="B619" s="466"/>
      <c r="C619" s="466"/>
      <c r="D619" s="466"/>
      <c r="E619" s="466"/>
      <c r="F619" s="466"/>
      <c r="G619" s="466"/>
      <c r="H619" s="466"/>
      <c r="I619" s="466"/>
      <c r="J619" s="466"/>
      <c r="K619" s="466"/>
      <c r="L619" s="467"/>
      <c r="M619" s="507"/>
      <c r="N619" s="507"/>
      <c r="O619" s="507"/>
      <c r="P619" s="507"/>
      <c r="Q619" s="507"/>
      <c r="R619" s="466"/>
      <c r="S619" s="466"/>
      <c r="T619" s="466"/>
      <c r="U619" s="467"/>
      <c r="V619" s="507"/>
      <c r="W619" s="507"/>
      <c r="X619" s="507"/>
      <c r="Y619" s="507"/>
      <c r="Z619" s="507"/>
      <c r="AA619" s="466"/>
      <c r="AB619" s="466"/>
      <c r="AC619" s="466"/>
      <c r="AD619" s="467"/>
      <c r="AE619" s="507"/>
      <c r="AF619" s="507"/>
      <c r="AG619" s="507"/>
      <c r="AH619" s="507"/>
      <c r="AI619" s="507"/>
    </row>
    <row r="620" spans="1:35" ht="42">
      <c r="A620" s="466"/>
      <c r="B620" s="466"/>
      <c r="C620" s="466"/>
      <c r="D620" s="466"/>
      <c r="E620" s="466"/>
      <c r="F620" s="466"/>
      <c r="G620" s="466"/>
      <c r="H620" s="466"/>
      <c r="I620" s="466"/>
      <c r="J620" s="466"/>
      <c r="K620" s="474" t="s">
        <v>499</v>
      </c>
      <c r="L620" s="484" t="s">
        <v>247</v>
      </c>
      <c r="M620" s="505">
        <v>565601</v>
      </c>
      <c r="N620" s="505">
        <v>553287</v>
      </c>
      <c r="O620" s="505">
        <v>462872</v>
      </c>
      <c r="P620" s="505">
        <v>378024</v>
      </c>
      <c r="Q620" s="505">
        <v>390617</v>
      </c>
      <c r="R620" s="466"/>
      <c r="S620" s="466"/>
      <c r="T620" s="474" t="s">
        <v>499</v>
      </c>
      <c r="U620" s="484" t="s">
        <v>247</v>
      </c>
      <c r="V620" s="505">
        <v>14588000</v>
      </c>
      <c r="W620" s="505">
        <v>14767800</v>
      </c>
      <c r="X620" s="505">
        <v>13210300</v>
      </c>
      <c r="Y620" s="505">
        <v>8747000</v>
      </c>
      <c r="Z620" s="505">
        <v>3482500</v>
      </c>
      <c r="AA620" s="466"/>
      <c r="AB620" s="466"/>
      <c r="AC620" s="474" t="s">
        <v>499</v>
      </c>
      <c r="AD620" s="484" t="s">
        <v>247</v>
      </c>
      <c r="AE620" s="505">
        <v>612738</v>
      </c>
      <c r="AF620" s="505">
        <v>497106</v>
      </c>
      <c r="AG620" s="505">
        <v>315466</v>
      </c>
      <c r="AH620" s="505">
        <v>213784</v>
      </c>
      <c r="AI620" s="505">
        <v>153954</v>
      </c>
    </row>
    <row r="621" spans="1:35" ht="42">
      <c r="A621" s="466"/>
      <c r="B621" s="466"/>
      <c r="C621" s="466"/>
      <c r="D621" s="466"/>
      <c r="E621" s="466"/>
      <c r="F621" s="466"/>
      <c r="G621" s="466"/>
      <c r="H621" s="466"/>
      <c r="I621" s="466"/>
      <c r="J621" s="466"/>
      <c r="K621" s="466"/>
      <c r="L621" s="478" t="s">
        <v>248</v>
      </c>
      <c r="M621" s="587">
        <v>98069</v>
      </c>
      <c r="N621" s="587">
        <v>126199</v>
      </c>
      <c r="O621" s="587">
        <v>100305</v>
      </c>
      <c r="P621" s="587">
        <v>68816</v>
      </c>
      <c r="Q621" s="587">
        <v>57713</v>
      </c>
      <c r="R621" s="466"/>
      <c r="S621" s="466"/>
      <c r="T621" s="466"/>
      <c r="U621" s="478" t="s">
        <v>248</v>
      </c>
      <c r="V621" s="587">
        <v>110000</v>
      </c>
      <c r="W621" s="587">
        <v>156500</v>
      </c>
      <c r="X621" s="587">
        <v>113200</v>
      </c>
      <c r="Y621" s="587">
        <v>64700</v>
      </c>
      <c r="Z621" s="587">
        <v>29000</v>
      </c>
      <c r="AA621" s="466"/>
      <c r="AB621" s="466"/>
      <c r="AC621" s="466"/>
      <c r="AD621" s="478" t="s">
        <v>248</v>
      </c>
      <c r="AE621" s="587">
        <v>0</v>
      </c>
      <c r="AF621" s="587">
        <v>0</v>
      </c>
      <c r="AG621" s="587">
        <v>0</v>
      </c>
      <c r="AH621" s="587">
        <v>355</v>
      </c>
      <c r="AI621" s="587">
        <v>0</v>
      </c>
    </row>
    <row r="622" spans="1:35" ht="28">
      <c r="A622" s="466"/>
      <c r="B622" s="466"/>
      <c r="C622" s="466"/>
      <c r="D622" s="466"/>
      <c r="E622" s="466"/>
      <c r="F622" s="466"/>
      <c r="G622" s="466"/>
      <c r="H622" s="466"/>
      <c r="I622" s="466"/>
      <c r="J622" s="466"/>
      <c r="K622" s="466"/>
      <c r="L622" s="478" t="s">
        <v>249</v>
      </c>
      <c r="M622" s="493"/>
      <c r="N622" s="493"/>
      <c r="O622" s="493"/>
      <c r="P622" s="493"/>
      <c r="Q622" s="493"/>
      <c r="R622" s="466"/>
      <c r="S622" s="466"/>
      <c r="T622" s="466"/>
      <c r="U622" s="478" t="s">
        <v>249</v>
      </c>
      <c r="V622" s="493"/>
      <c r="W622" s="493"/>
      <c r="X622" s="493"/>
      <c r="Y622" s="493"/>
      <c r="Z622" s="493"/>
      <c r="AA622" s="466"/>
      <c r="AB622" s="466"/>
      <c r="AC622" s="466"/>
      <c r="AD622" s="478" t="s">
        <v>249</v>
      </c>
      <c r="AE622" s="493"/>
      <c r="AF622" s="493"/>
      <c r="AG622" s="493"/>
      <c r="AH622" s="493"/>
      <c r="AI622" s="493"/>
    </row>
    <row r="623" spans="1:35" ht="18">
      <c r="A623" s="466"/>
      <c r="B623" s="466"/>
      <c r="C623" s="466"/>
      <c r="D623" s="466"/>
      <c r="E623" s="466"/>
      <c r="F623" s="466"/>
      <c r="G623" s="466"/>
      <c r="H623" s="466"/>
      <c r="I623" s="466"/>
      <c r="J623" s="466"/>
      <c r="K623" s="474" t="s">
        <v>500</v>
      </c>
      <c r="L623" s="476" t="s">
        <v>250</v>
      </c>
      <c r="M623" s="505">
        <v>368853</v>
      </c>
      <c r="N623" s="505">
        <v>447474</v>
      </c>
      <c r="O623" s="505">
        <v>235128</v>
      </c>
      <c r="P623" s="505">
        <v>181911</v>
      </c>
      <c r="Q623" s="505">
        <v>212567</v>
      </c>
      <c r="R623" s="466"/>
      <c r="S623" s="466"/>
      <c r="T623" s="474" t="s">
        <v>500</v>
      </c>
      <c r="U623" s="476" t="s">
        <v>250</v>
      </c>
      <c r="V623" s="505">
        <v>4343000</v>
      </c>
      <c r="W623" s="505">
        <v>5423800</v>
      </c>
      <c r="X623" s="505">
        <v>4624200</v>
      </c>
      <c r="Y623" s="505">
        <v>4691400</v>
      </c>
      <c r="Z623" s="505">
        <v>1640700</v>
      </c>
      <c r="AA623" s="466"/>
      <c r="AB623" s="466"/>
      <c r="AC623" s="474" t="s">
        <v>500</v>
      </c>
      <c r="AD623" s="476" t="s">
        <v>250</v>
      </c>
      <c r="AE623" s="505">
        <v>218788</v>
      </c>
      <c r="AF623" s="505">
        <v>205081</v>
      </c>
      <c r="AG623" s="505">
        <v>81562</v>
      </c>
      <c r="AH623" s="505">
        <v>62808</v>
      </c>
      <c r="AI623" s="505">
        <v>35555</v>
      </c>
    </row>
    <row r="624" spans="1:35" ht="28">
      <c r="A624" s="466"/>
      <c r="B624" s="466"/>
      <c r="C624" s="466"/>
      <c r="D624" s="466"/>
      <c r="E624" s="466"/>
      <c r="F624" s="466"/>
      <c r="G624" s="466"/>
      <c r="H624" s="466"/>
      <c r="I624" s="466"/>
      <c r="J624" s="466"/>
      <c r="K624" s="474" t="s">
        <v>501</v>
      </c>
      <c r="L624" s="482" t="s">
        <v>251</v>
      </c>
      <c r="M624" s="505">
        <v>-8667</v>
      </c>
      <c r="N624" s="505">
        <v>13331</v>
      </c>
      <c r="O624" s="505">
        <v>35745</v>
      </c>
      <c r="P624" s="505">
        <v>19388</v>
      </c>
      <c r="Q624" s="505">
        <v>580</v>
      </c>
      <c r="R624" s="466"/>
      <c r="S624" s="466"/>
      <c r="T624" s="474" t="s">
        <v>501</v>
      </c>
      <c r="U624" s="482" t="s">
        <v>251</v>
      </c>
      <c r="V624" s="505">
        <v>383000</v>
      </c>
      <c r="W624" s="505">
        <v>431100</v>
      </c>
      <c r="X624" s="505">
        <v>423200</v>
      </c>
      <c r="Y624" s="505">
        <v>-43400</v>
      </c>
      <c r="Z624" s="505">
        <v>-153000</v>
      </c>
      <c r="AA624" s="466"/>
      <c r="AB624" s="466"/>
      <c r="AC624" s="474" t="s">
        <v>501</v>
      </c>
      <c r="AD624" s="482" t="s">
        <v>251</v>
      </c>
      <c r="AE624" s="505">
        <v>28457</v>
      </c>
      <c r="AF624" s="505">
        <v>87704</v>
      </c>
      <c r="AG624" s="505">
        <v>12468</v>
      </c>
      <c r="AH624" s="505">
        <v>-18191</v>
      </c>
      <c r="AI624" s="506">
        <v>2799</v>
      </c>
    </row>
    <row r="625" spans="1:35" ht="28">
      <c r="A625" s="466"/>
      <c r="B625" s="466"/>
      <c r="C625" s="466"/>
      <c r="D625" s="466"/>
      <c r="E625" s="466"/>
      <c r="F625" s="466"/>
      <c r="G625" s="466"/>
      <c r="H625" s="466"/>
      <c r="I625" s="466"/>
      <c r="J625" s="466"/>
      <c r="K625" s="466"/>
      <c r="L625" s="478" t="s">
        <v>252</v>
      </c>
      <c r="M625" s="508"/>
      <c r="N625" s="508"/>
      <c r="O625" s="508"/>
      <c r="P625" s="508"/>
      <c r="Q625" s="508"/>
      <c r="R625" s="466"/>
      <c r="S625" s="466"/>
      <c r="T625" s="466"/>
      <c r="U625" s="478" t="s">
        <v>252</v>
      </c>
      <c r="V625" s="508"/>
      <c r="W625" s="508"/>
      <c r="X625" s="508"/>
      <c r="Y625" s="508"/>
      <c r="Z625" s="508"/>
      <c r="AA625" s="466"/>
      <c r="AB625" s="466"/>
      <c r="AC625" s="466"/>
      <c r="AD625" s="478" t="s">
        <v>252</v>
      </c>
      <c r="AE625" s="508"/>
      <c r="AF625" s="508"/>
      <c r="AG625" s="508"/>
      <c r="AH625" s="508"/>
      <c r="AI625" s="508"/>
    </row>
    <row r="626" spans="1:35" ht="28">
      <c r="G626" s="466"/>
      <c r="H626" s="466"/>
      <c r="I626" s="466"/>
      <c r="J626" s="466"/>
      <c r="K626" s="466"/>
      <c r="L626" s="478" t="s">
        <v>253</v>
      </c>
      <c r="M626" s="508"/>
      <c r="N626" s="508"/>
      <c r="O626" s="508"/>
      <c r="P626" s="508"/>
      <c r="Q626" s="508"/>
      <c r="R626" s="466"/>
      <c r="S626" s="466"/>
      <c r="T626" s="466"/>
      <c r="U626" s="478" t="s">
        <v>253</v>
      </c>
      <c r="V626" s="508"/>
      <c r="W626" s="508"/>
      <c r="X626" s="508"/>
      <c r="Y626" s="508"/>
      <c r="Z626" s="508"/>
      <c r="AA626" s="466"/>
      <c r="AB626" s="466"/>
      <c r="AC626" s="466"/>
      <c r="AD626" s="478" t="s">
        <v>253</v>
      </c>
      <c r="AE626" s="508"/>
      <c r="AF626" s="508"/>
      <c r="AG626" s="508"/>
      <c r="AH626" s="508"/>
      <c r="AI626" s="508"/>
    </row>
    <row r="627" spans="1:35" ht="42">
      <c r="G627" s="466"/>
      <c r="H627" s="466"/>
      <c r="I627" s="466"/>
      <c r="J627" s="466"/>
      <c r="K627" s="466"/>
      <c r="L627" s="478" t="s">
        <v>254</v>
      </c>
      <c r="M627" s="508"/>
      <c r="N627" s="508"/>
      <c r="O627" s="508"/>
      <c r="P627" s="508"/>
      <c r="Q627" s="508"/>
      <c r="R627" s="466"/>
      <c r="S627" s="466"/>
      <c r="T627" s="466"/>
      <c r="U627" s="478" t="s">
        <v>254</v>
      </c>
      <c r="V627" s="508"/>
      <c r="W627" s="508"/>
      <c r="X627" s="508"/>
      <c r="Y627" s="508"/>
      <c r="Z627" s="508"/>
      <c r="AA627" s="466"/>
      <c r="AB627" s="466"/>
      <c r="AC627" s="466"/>
      <c r="AD627" s="478" t="s">
        <v>254</v>
      </c>
      <c r="AE627" s="508"/>
      <c r="AF627" s="508"/>
      <c r="AG627" s="508"/>
      <c r="AH627" s="508"/>
      <c r="AI627" s="508"/>
    </row>
    <row r="628" spans="1:35" ht="18">
      <c r="G628" s="466"/>
      <c r="H628" s="466"/>
      <c r="I628" s="466"/>
      <c r="J628" s="466"/>
      <c r="K628" s="474" t="s">
        <v>502</v>
      </c>
      <c r="L628" s="472" t="s">
        <v>255</v>
      </c>
      <c r="M628" s="505">
        <v>364145</v>
      </c>
      <c r="N628" s="505">
        <v>421311</v>
      </c>
      <c r="O628" s="505">
        <v>120487</v>
      </c>
      <c r="P628" s="505">
        <v>89724</v>
      </c>
      <c r="Q628" s="505">
        <v>150836</v>
      </c>
      <c r="R628" s="466"/>
      <c r="S628" s="466"/>
      <c r="T628" s="474" t="s">
        <v>502</v>
      </c>
      <c r="U628" s="472" t="s">
        <v>255</v>
      </c>
      <c r="V628" s="505">
        <v>2813000</v>
      </c>
      <c r="W628" s="505">
        <v>2858300</v>
      </c>
      <c r="X628" s="505">
        <v>2100400</v>
      </c>
      <c r="Y628" s="505">
        <v>1754000</v>
      </c>
      <c r="Z628" s="505">
        <v>86500</v>
      </c>
      <c r="AA628" s="466"/>
      <c r="AB628" s="466"/>
      <c r="AC628" s="474" t="s">
        <v>502</v>
      </c>
      <c r="AD628" s="472" t="s">
        <v>255</v>
      </c>
      <c r="AE628" s="505">
        <v>602927</v>
      </c>
      <c r="AF628" s="505">
        <v>598213</v>
      </c>
      <c r="AG628" s="505">
        <v>532168</v>
      </c>
      <c r="AH628" s="505">
        <v>499470</v>
      </c>
      <c r="AI628" s="505">
        <v>289950</v>
      </c>
    </row>
    <row r="636" spans="1:35">
      <c r="G636" s="511" t="s">
        <v>525</v>
      </c>
      <c r="H636" s="512"/>
      <c r="I636" s="511" t="s">
        <v>419</v>
      </c>
      <c r="J636" s="466"/>
      <c r="K636" s="466"/>
      <c r="L636" s="466"/>
      <c r="M636" s="466"/>
      <c r="N636" s="466"/>
      <c r="O636" s="466"/>
      <c r="P636" s="466"/>
      <c r="Q636" s="466"/>
      <c r="R636" s="466"/>
      <c r="S636" s="466"/>
      <c r="T636" s="466"/>
      <c r="U636" s="466"/>
      <c r="V636" s="466"/>
      <c r="W636" s="466"/>
      <c r="X636" s="466"/>
      <c r="Y636" s="466"/>
      <c r="Z636" s="466"/>
      <c r="AA636" s="466"/>
      <c r="AB636" s="466"/>
      <c r="AC636" s="466"/>
      <c r="AD636" s="466"/>
      <c r="AE636" s="466"/>
      <c r="AF636" s="466"/>
      <c r="AG636" s="466"/>
      <c r="AH636" s="466"/>
      <c r="AI636" s="466"/>
    </row>
    <row r="637" spans="1:35">
      <c r="G637" s="512"/>
      <c r="H637" s="512"/>
      <c r="I637" s="511" t="s">
        <v>199</v>
      </c>
      <c r="J637" s="466"/>
      <c r="K637" s="466"/>
      <c r="L637" s="467"/>
      <c r="M637" s="467">
        <v>2015</v>
      </c>
      <c r="N637" s="502" t="s">
        <v>167</v>
      </c>
      <c r="O637" s="502" t="s">
        <v>168</v>
      </c>
      <c r="P637" s="502" t="s">
        <v>169</v>
      </c>
      <c r="Q637" s="502" t="s">
        <v>170</v>
      </c>
      <c r="R637" s="466"/>
      <c r="S637" s="466"/>
      <c r="T637" s="466"/>
      <c r="U637" s="466"/>
      <c r="V637" s="466"/>
      <c r="W637" s="466"/>
      <c r="X637" s="466"/>
      <c r="Y637" s="466"/>
      <c r="Z637" s="466"/>
      <c r="AA637" s="466"/>
      <c r="AB637" s="466"/>
      <c r="AC637" s="466"/>
      <c r="AD637" s="466"/>
      <c r="AE637" s="466"/>
      <c r="AF637" s="466"/>
      <c r="AG637" s="466"/>
      <c r="AH637" s="466"/>
      <c r="AI637" s="466"/>
    </row>
    <row r="638" spans="1:35" ht="18">
      <c r="G638" s="466"/>
      <c r="H638" s="466"/>
      <c r="I638" s="466"/>
      <c r="J638" s="466"/>
      <c r="K638" s="474" t="s">
        <v>151</v>
      </c>
      <c r="L638" s="469" t="s">
        <v>246</v>
      </c>
      <c r="M638" s="505">
        <v>732998</v>
      </c>
      <c r="N638" s="505">
        <v>868783</v>
      </c>
      <c r="O638" s="505">
        <v>355615</v>
      </c>
      <c r="P638" s="505">
        <v>271633</v>
      </c>
      <c r="Q638" s="505">
        <v>363404</v>
      </c>
      <c r="R638" s="466"/>
      <c r="S638" s="466"/>
      <c r="T638" s="466"/>
      <c r="U638" s="466"/>
      <c r="V638" s="466"/>
      <c r="W638" s="466"/>
      <c r="X638" s="466"/>
      <c r="Y638" s="466"/>
      <c r="Z638" s="466"/>
      <c r="AA638" s="466"/>
      <c r="AB638" s="466"/>
      <c r="AC638" s="466"/>
      <c r="AD638" s="466"/>
      <c r="AE638" s="466"/>
      <c r="AF638" s="466"/>
      <c r="AG638" s="466"/>
      <c r="AH638" s="466"/>
      <c r="AI638" s="466"/>
    </row>
    <row r="639" spans="1:35">
      <c r="G639" s="466"/>
      <c r="H639" s="466"/>
      <c r="I639" s="466"/>
      <c r="J639" s="466"/>
      <c r="K639" s="466"/>
      <c r="L639" s="467"/>
      <c r="M639" s="507"/>
      <c r="N639" s="507"/>
      <c r="O639" s="507"/>
      <c r="P639" s="507"/>
      <c r="Q639" s="507"/>
      <c r="R639" s="466"/>
      <c r="S639" s="466"/>
      <c r="T639" s="466"/>
      <c r="U639" s="466"/>
      <c r="V639" s="466"/>
      <c r="W639" s="466"/>
      <c r="X639" s="466"/>
      <c r="Y639" s="466"/>
      <c r="Z639" s="466"/>
      <c r="AA639" s="466"/>
      <c r="AB639" s="466"/>
      <c r="AC639" s="466"/>
      <c r="AD639" s="466"/>
      <c r="AE639" s="466"/>
      <c r="AF639" s="466"/>
      <c r="AG639" s="466"/>
      <c r="AH639" s="466"/>
      <c r="AI639" s="466"/>
    </row>
    <row r="640" spans="1:35" ht="42">
      <c r="G640" s="466"/>
      <c r="H640" s="466"/>
      <c r="I640" s="466"/>
      <c r="J640" s="466"/>
      <c r="K640" s="474" t="s">
        <v>499</v>
      </c>
      <c r="L640" s="484" t="s">
        <v>247</v>
      </c>
      <c r="M640" s="505">
        <v>565601</v>
      </c>
      <c r="N640" s="505">
        <v>553287</v>
      </c>
      <c r="O640" s="505">
        <v>462872</v>
      </c>
      <c r="P640" s="505">
        <v>378024</v>
      </c>
      <c r="Q640" s="505">
        <v>390617</v>
      </c>
      <c r="R640" s="466"/>
      <c r="S640" s="466"/>
      <c r="T640" s="466"/>
      <c r="U640" s="466"/>
      <c r="V640" s="466"/>
      <c r="W640" s="466"/>
      <c r="X640" s="466"/>
      <c r="Y640" s="466"/>
      <c r="Z640" s="466"/>
      <c r="AA640" s="466"/>
      <c r="AB640" s="466"/>
      <c r="AC640" s="466"/>
      <c r="AD640" s="466"/>
      <c r="AE640" s="466"/>
      <c r="AF640" s="466"/>
      <c r="AG640" s="466"/>
      <c r="AH640" s="466"/>
      <c r="AI640" s="466"/>
    </row>
    <row r="641" spans="1:35" ht="42">
      <c r="G641" s="466"/>
      <c r="H641" s="466"/>
      <c r="I641" s="466"/>
      <c r="J641" s="466"/>
      <c r="K641" s="466"/>
      <c r="L641" s="478" t="s">
        <v>248</v>
      </c>
      <c r="M641" s="493"/>
      <c r="N641" s="493"/>
      <c r="O641" s="493"/>
      <c r="P641" s="493"/>
      <c r="Q641" s="493"/>
      <c r="R641" s="466"/>
      <c r="S641" s="466"/>
      <c r="T641" s="466"/>
      <c r="U641" s="466"/>
      <c r="V641" s="466"/>
      <c r="W641" s="466"/>
      <c r="X641" s="466"/>
      <c r="Y641" s="466"/>
      <c r="Z641" s="466"/>
      <c r="AA641" s="466"/>
      <c r="AB641" s="466"/>
      <c r="AC641" s="466"/>
      <c r="AD641" s="466"/>
      <c r="AE641" s="466"/>
      <c r="AF641" s="466"/>
      <c r="AG641" s="466"/>
      <c r="AH641" s="466"/>
      <c r="AI641" s="466"/>
    </row>
    <row r="642" spans="1:35" ht="28">
      <c r="K642" s="466"/>
      <c r="L642" s="478" t="s">
        <v>249</v>
      </c>
      <c r="M642" s="493"/>
      <c r="N642" s="493"/>
      <c r="O642" s="493"/>
      <c r="P642" s="493"/>
      <c r="Q642" s="493"/>
    </row>
    <row r="643" spans="1:35" ht="18">
      <c r="K643" s="474" t="s">
        <v>500</v>
      </c>
      <c r="L643" s="476" t="s">
        <v>250</v>
      </c>
      <c r="M643" s="505">
        <v>368853</v>
      </c>
      <c r="N643" s="505">
        <v>447474</v>
      </c>
      <c r="O643" s="505">
        <v>235128</v>
      </c>
      <c r="P643" s="505">
        <v>181911</v>
      </c>
      <c r="Q643" s="505">
        <v>212567</v>
      </c>
    </row>
    <row r="644" spans="1:35" ht="28">
      <c r="K644" s="474" t="s">
        <v>501</v>
      </c>
      <c r="L644" s="482" t="s">
        <v>251</v>
      </c>
      <c r="M644" s="505">
        <v>-8667</v>
      </c>
      <c r="N644" s="505">
        <v>13331</v>
      </c>
      <c r="O644" s="505">
        <v>35745</v>
      </c>
      <c r="P644" s="505">
        <v>19388</v>
      </c>
      <c r="Q644" s="505">
        <v>580</v>
      </c>
    </row>
    <row r="645" spans="1:35" ht="28">
      <c r="K645" s="466"/>
      <c r="L645" s="478" t="s">
        <v>252</v>
      </c>
      <c r="M645" s="508"/>
      <c r="N645" s="508"/>
      <c r="O645" s="508"/>
      <c r="P645" s="508"/>
      <c r="Q645" s="508"/>
    </row>
    <row r="646" spans="1:35" ht="28">
      <c r="K646" s="466"/>
      <c r="L646" s="478" t="s">
        <v>253</v>
      </c>
      <c r="M646" s="508"/>
      <c r="N646" s="508"/>
      <c r="O646" s="508"/>
      <c r="P646" s="508"/>
      <c r="Q646" s="508"/>
    </row>
    <row r="647" spans="1:35" ht="42">
      <c r="K647" s="466"/>
      <c r="L647" s="478" t="s">
        <v>254</v>
      </c>
      <c r="M647" s="508"/>
      <c r="N647" s="508"/>
      <c r="O647" s="508"/>
      <c r="P647" s="508"/>
      <c r="Q647" s="508"/>
    </row>
    <row r="648" spans="1:35" ht="18">
      <c r="K648" s="474" t="s">
        <v>502</v>
      </c>
      <c r="L648" s="472" t="s">
        <v>255</v>
      </c>
      <c r="M648" s="505">
        <v>364145</v>
      </c>
      <c r="N648" s="505">
        <v>421311</v>
      </c>
      <c r="O648" s="505">
        <v>120487</v>
      </c>
      <c r="P648" s="505">
        <v>89724</v>
      </c>
      <c r="Q648" s="505">
        <v>150836</v>
      </c>
    </row>
    <row r="654" spans="1:35">
      <c r="A654" s="907" t="s">
        <v>641</v>
      </c>
      <c r="B654" s="907"/>
      <c r="C654" s="907"/>
      <c r="D654" s="907"/>
      <c r="E654" s="907"/>
      <c r="F654" s="907"/>
      <c r="G654" s="907"/>
      <c r="H654" s="907"/>
      <c r="I654" s="907"/>
      <c r="J654" s="907"/>
      <c r="K654" s="907"/>
      <c r="L654" s="907"/>
    </row>
    <row r="655" spans="1:35">
      <c r="A655" s="907"/>
      <c r="B655" s="907"/>
      <c r="C655" s="907"/>
      <c r="D655" s="907"/>
      <c r="E655" s="907"/>
      <c r="F655" s="907"/>
      <c r="G655" s="907"/>
      <c r="H655" s="907"/>
      <c r="I655" s="907"/>
      <c r="J655" s="907"/>
      <c r="K655" s="907"/>
      <c r="L655" s="907"/>
    </row>
    <row r="656" spans="1:35">
      <c r="A656" s="908"/>
      <c r="B656" s="908"/>
      <c r="C656" s="908"/>
      <c r="D656" s="908"/>
      <c r="E656" s="908"/>
      <c r="F656" s="908"/>
      <c r="G656" s="908"/>
      <c r="H656" s="908"/>
      <c r="I656" s="908"/>
      <c r="J656" s="908"/>
      <c r="K656" s="908"/>
      <c r="L656" s="908"/>
    </row>
  </sheetData>
  <mergeCells count="2">
    <mergeCell ref="A431:K431"/>
    <mergeCell ref="A654:L65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4E463-1236-4111-9317-938B7A0E0C2E}">
  <dimension ref="A2:AI1141"/>
  <sheetViews>
    <sheetView topLeftCell="A672" workbookViewId="0">
      <selection activeCell="K691" sqref="K691"/>
    </sheetView>
  </sheetViews>
  <sheetFormatPr baseColWidth="10" defaultColWidth="11.5" defaultRowHeight="15"/>
  <cols>
    <col min="1" max="1" width="22.5" style="200" customWidth="1"/>
    <col min="2" max="2" width="11.5" style="200"/>
    <col min="3" max="3" width="18.6640625" style="200" customWidth="1"/>
    <col min="4" max="4" width="16.6640625" style="200" bestFit="1" customWidth="1"/>
    <col min="5" max="5" width="16.1640625" style="200" customWidth="1"/>
    <col min="6" max="6" width="14" style="200" customWidth="1"/>
    <col min="7" max="7" width="16.83203125" style="200" bestFit="1" customWidth="1"/>
    <col min="8" max="8" width="13.83203125" style="200" bestFit="1" customWidth="1"/>
    <col min="9" max="10" width="11.5" style="200"/>
    <col min="11" max="11" width="12.83203125" style="200" bestFit="1" customWidth="1"/>
    <col min="12" max="12" width="11.5" style="200"/>
    <col min="13" max="14" width="19.33203125" style="200" bestFit="1" customWidth="1"/>
    <col min="15" max="15" width="18.6640625" style="200" bestFit="1" customWidth="1"/>
    <col min="16" max="17" width="19.5" style="200" bestFit="1" customWidth="1"/>
    <col min="18" max="21" width="11.5" style="200"/>
    <col min="22" max="22" width="12.33203125" style="200" bestFit="1" customWidth="1"/>
    <col min="23" max="23" width="15.5" style="200" customWidth="1"/>
    <col min="24" max="24" width="15.1640625" style="200" customWidth="1"/>
    <col min="25" max="25" width="15.6640625" style="200" customWidth="1"/>
    <col min="26" max="26" width="14.6640625" style="200" customWidth="1"/>
    <col min="27" max="27" width="15.1640625" style="200" customWidth="1"/>
    <col min="28" max="16384" width="11.5" style="200"/>
  </cols>
  <sheetData>
    <row r="2" spans="1:26">
      <c r="A2" s="217" t="s">
        <v>52</v>
      </c>
      <c r="C2" s="655"/>
      <c r="D2" s="655">
        <v>2018</v>
      </c>
      <c r="E2" s="655">
        <v>2017</v>
      </c>
      <c r="F2" s="219" t="s">
        <v>496</v>
      </c>
      <c r="G2" s="219" t="s">
        <v>497</v>
      </c>
      <c r="H2" s="219" t="s">
        <v>498</v>
      </c>
      <c r="J2" s="656" t="s">
        <v>642</v>
      </c>
      <c r="S2" s="656" t="s">
        <v>643</v>
      </c>
    </row>
    <row r="3" spans="1:26">
      <c r="C3" s="202" t="s">
        <v>1</v>
      </c>
      <c r="D3" s="216">
        <v>1746273</v>
      </c>
      <c r="E3" s="216">
        <v>2045075</v>
      </c>
      <c r="F3" s="216">
        <v>2413390</v>
      </c>
      <c r="G3" s="216">
        <v>2035122</v>
      </c>
      <c r="H3" s="216">
        <v>2260584</v>
      </c>
      <c r="J3" s="656" t="s">
        <v>199</v>
      </c>
      <c r="L3" s="655"/>
      <c r="M3" s="655">
        <v>2018</v>
      </c>
      <c r="N3" s="219" t="s">
        <v>495</v>
      </c>
      <c r="O3" s="219" t="s">
        <v>496</v>
      </c>
      <c r="P3" s="219" t="s">
        <v>497</v>
      </c>
      <c r="Q3" s="219" t="s">
        <v>498</v>
      </c>
      <c r="S3" s="656" t="s">
        <v>199</v>
      </c>
      <c r="U3" s="655"/>
      <c r="V3" s="655">
        <v>2018</v>
      </c>
      <c r="W3" s="219" t="s">
        <v>495</v>
      </c>
      <c r="X3" s="219" t="s">
        <v>496</v>
      </c>
      <c r="Y3" s="219" t="s">
        <v>497</v>
      </c>
      <c r="Z3" s="219" t="s">
        <v>498</v>
      </c>
    </row>
    <row r="4" spans="1:26" ht="18">
      <c r="C4" s="655"/>
      <c r="D4" s="655"/>
      <c r="E4" s="655"/>
      <c r="F4" s="655"/>
      <c r="G4" s="655"/>
      <c r="H4" s="655"/>
      <c r="K4" s="204" t="s">
        <v>151</v>
      </c>
      <c r="L4" s="202" t="s">
        <v>246</v>
      </c>
      <c r="M4" s="228">
        <v>1253845</v>
      </c>
      <c r="N4" s="228">
        <v>1247020</v>
      </c>
      <c r="O4" s="228">
        <v>1321452</v>
      </c>
      <c r="P4" s="228">
        <v>1013730</v>
      </c>
      <c r="Q4" s="228">
        <v>872336</v>
      </c>
      <c r="T4" s="204" t="s">
        <v>151</v>
      </c>
      <c r="U4" s="202" t="s">
        <v>246</v>
      </c>
      <c r="V4" s="228">
        <v>31614599</v>
      </c>
      <c r="W4" s="228">
        <v>36110780</v>
      </c>
      <c r="X4" s="228">
        <v>22284884</v>
      </c>
      <c r="Y4" s="228">
        <v>16236183</v>
      </c>
      <c r="Z4" s="228">
        <v>17745988</v>
      </c>
    </row>
    <row r="5" spans="1:26" ht="28">
      <c r="C5" s="211" t="s">
        <v>11</v>
      </c>
      <c r="D5" s="212">
        <v>322226</v>
      </c>
      <c r="E5" s="212">
        <v>415309</v>
      </c>
      <c r="F5" s="212">
        <v>487435</v>
      </c>
      <c r="G5" s="212">
        <v>422449</v>
      </c>
      <c r="H5" s="212">
        <v>491312</v>
      </c>
      <c r="L5" s="655"/>
      <c r="M5" s="234"/>
      <c r="N5" s="234"/>
      <c r="O5" s="234"/>
      <c r="P5" s="234"/>
      <c r="Q5" s="234"/>
      <c r="U5" s="655"/>
      <c r="V5" s="234"/>
      <c r="W5" s="234"/>
      <c r="X5" s="234"/>
      <c r="Y5" s="234"/>
      <c r="Z5" s="234"/>
    </row>
    <row r="6" spans="1:26" ht="42">
      <c r="C6" s="208" t="s">
        <v>2</v>
      </c>
      <c r="D6" s="212">
        <v>1099360</v>
      </c>
      <c r="E6" s="212">
        <v>1346648</v>
      </c>
      <c r="F6" s="212">
        <v>1420695</v>
      </c>
      <c r="G6" s="212">
        <v>1139166</v>
      </c>
      <c r="H6" s="212">
        <v>1154742</v>
      </c>
      <c r="K6" s="204" t="s">
        <v>499</v>
      </c>
      <c r="L6" s="211" t="s">
        <v>247</v>
      </c>
      <c r="M6" s="228">
        <v>34965</v>
      </c>
      <c r="N6" s="228">
        <v>37038</v>
      </c>
      <c r="O6" s="228">
        <v>42642</v>
      </c>
      <c r="P6" s="228">
        <v>53362</v>
      </c>
      <c r="Q6" s="228">
        <v>37010</v>
      </c>
      <c r="T6" s="204" t="s">
        <v>499</v>
      </c>
      <c r="U6" s="211" t="s">
        <v>247</v>
      </c>
      <c r="V6" s="228">
        <v>4910095</v>
      </c>
      <c r="W6" s="228">
        <v>3776744</v>
      </c>
      <c r="X6" s="228">
        <v>2581342</v>
      </c>
      <c r="Y6" s="228">
        <v>3655960</v>
      </c>
      <c r="Z6" s="228">
        <v>3880173</v>
      </c>
    </row>
    <row r="7" spans="1:26" ht="42">
      <c r="C7" s="208" t="s">
        <v>3</v>
      </c>
      <c r="D7" s="212">
        <v>180823</v>
      </c>
      <c r="E7" s="212">
        <v>224816</v>
      </c>
      <c r="F7" s="212">
        <v>344710</v>
      </c>
      <c r="G7" s="212">
        <v>230448</v>
      </c>
      <c r="H7" s="212">
        <v>282193</v>
      </c>
      <c r="L7" s="208" t="s">
        <v>248</v>
      </c>
      <c r="M7" s="212"/>
      <c r="N7" s="212"/>
      <c r="O7" s="212"/>
      <c r="P7" s="212"/>
      <c r="Q7" s="212"/>
      <c r="U7" s="208" t="s">
        <v>248</v>
      </c>
      <c r="V7" s="212"/>
      <c r="W7" s="212"/>
      <c r="X7" s="212"/>
      <c r="Y7" s="212"/>
      <c r="Z7" s="212"/>
    </row>
    <row r="8" spans="1:26" ht="28">
      <c r="C8" s="657" t="s">
        <v>8</v>
      </c>
      <c r="D8" s="658">
        <f t="shared" ref="D8:G8" si="0">SUM(D6:D7)</f>
        <v>1280183</v>
      </c>
      <c r="E8" s="658">
        <f t="shared" si="0"/>
        <v>1571464</v>
      </c>
      <c r="F8" s="658">
        <f t="shared" si="0"/>
        <v>1765405</v>
      </c>
      <c r="G8" s="658">
        <f t="shared" si="0"/>
        <v>1369614</v>
      </c>
      <c r="H8" s="658">
        <f>SUM(H6:H7)</f>
        <v>1436935</v>
      </c>
      <c r="L8" s="208" t="s">
        <v>249</v>
      </c>
      <c r="M8" s="212"/>
      <c r="N8" s="212"/>
      <c r="O8" s="212"/>
      <c r="P8" s="212"/>
      <c r="Q8" s="212"/>
      <c r="U8" s="208" t="s">
        <v>249</v>
      </c>
      <c r="V8" s="212"/>
      <c r="W8" s="212"/>
      <c r="X8" s="212"/>
      <c r="Y8" s="212"/>
      <c r="Z8" s="212"/>
    </row>
    <row r="9" spans="1:26" ht="28">
      <c r="C9" s="210" t="s">
        <v>12</v>
      </c>
      <c r="D9" s="212">
        <v>-94051</v>
      </c>
      <c r="E9" s="212">
        <v>-204044</v>
      </c>
      <c r="F9" s="212">
        <v>-155905</v>
      </c>
      <c r="G9" s="212">
        <v>-144106</v>
      </c>
      <c r="H9" s="212">
        <v>117702</v>
      </c>
      <c r="K9" s="204" t="s">
        <v>500</v>
      </c>
      <c r="L9" s="657" t="s">
        <v>250</v>
      </c>
      <c r="M9" s="228">
        <v>1162810</v>
      </c>
      <c r="N9" s="228">
        <v>1102375</v>
      </c>
      <c r="O9" s="228">
        <v>1086798</v>
      </c>
      <c r="P9" s="228">
        <v>764314</v>
      </c>
      <c r="Q9" s="228">
        <v>627553</v>
      </c>
      <c r="T9" s="204" t="s">
        <v>500</v>
      </c>
      <c r="U9" s="657" t="s">
        <v>250</v>
      </c>
      <c r="V9" s="228">
        <v>32465271</v>
      </c>
      <c r="W9" s="228">
        <v>31148377</v>
      </c>
      <c r="X9" s="228">
        <v>18829157</v>
      </c>
      <c r="Y9" s="228">
        <v>12568608</v>
      </c>
      <c r="Z9" s="228">
        <v>12688456</v>
      </c>
    </row>
    <row r="10" spans="1:26" ht="28">
      <c r="C10" s="208" t="s">
        <v>13</v>
      </c>
      <c r="D10" s="213">
        <v>3.4220000000000002</v>
      </c>
      <c r="E10" s="213">
        <v>-34.695999999999998</v>
      </c>
      <c r="F10" s="213">
        <v>-21.981000000000002</v>
      </c>
      <c r="G10" s="213">
        <v>-28.053000000000001</v>
      </c>
      <c r="H10" s="213">
        <v>7.06</v>
      </c>
      <c r="K10" s="204" t="s">
        <v>501</v>
      </c>
      <c r="L10" s="210" t="s">
        <v>251</v>
      </c>
      <c r="M10" s="228">
        <v>-22455</v>
      </c>
      <c r="N10" s="228">
        <v>-90008</v>
      </c>
      <c r="O10" s="228">
        <v>-14762</v>
      </c>
      <c r="P10" s="228">
        <v>4634</v>
      </c>
      <c r="Q10" s="228">
        <v>-40260</v>
      </c>
      <c r="T10" s="204" t="s">
        <v>501</v>
      </c>
      <c r="U10" s="210" t="s">
        <v>251</v>
      </c>
      <c r="V10" s="228">
        <v>-5887731</v>
      </c>
      <c r="W10" s="228">
        <v>-345016</v>
      </c>
      <c r="X10" s="228">
        <v>-826509</v>
      </c>
      <c r="Y10" s="228">
        <v>-1604181</v>
      </c>
      <c r="Z10" s="228">
        <v>113354</v>
      </c>
    </row>
    <row r="11" spans="1:26" ht="28">
      <c r="C11" s="208" t="s">
        <v>14</v>
      </c>
      <c r="D11" s="213">
        <v>0.91300000000000003</v>
      </c>
      <c r="E11" s="213">
        <v>-8.0350000000000001</v>
      </c>
      <c r="F11" s="213">
        <v>-5.9020000000000001</v>
      </c>
      <c r="G11" s="213">
        <v>-9.1739999999999995</v>
      </c>
      <c r="H11" s="213">
        <v>2.5720000000000001</v>
      </c>
      <c r="L11" s="208" t="s">
        <v>252</v>
      </c>
      <c r="M11" s="235"/>
      <c r="N11" s="235"/>
      <c r="O11" s="235"/>
      <c r="P11" s="235"/>
      <c r="Q11" s="235"/>
      <c r="U11" s="208" t="s">
        <v>252</v>
      </c>
      <c r="V11" s="235"/>
      <c r="W11" s="235"/>
      <c r="X11" s="235"/>
      <c r="Y11" s="235"/>
      <c r="Z11" s="235"/>
    </row>
    <row r="12" spans="1:26" ht="28">
      <c r="C12" s="208" t="s">
        <v>15</v>
      </c>
      <c r="D12" s="214">
        <v>241.36779000000001</v>
      </c>
      <c r="E12" s="214">
        <v>351.36125199999998</v>
      </c>
      <c r="F12" s="214">
        <v>460.71361100000001</v>
      </c>
      <c r="G12" s="214">
        <v>445.15173900000002</v>
      </c>
      <c r="H12" s="214">
        <v>457.88630000000001</v>
      </c>
      <c r="L12" s="208" t="s">
        <v>253</v>
      </c>
      <c r="M12" s="235"/>
      <c r="N12" s="235"/>
      <c r="O12" s="235"/>
      <c r="P12" s="235"/>
      <c r="Q12" s="235"/>
      <c r="U12" s="208" t="s">
        <v>253</v>
      </c>
      <c r="V12" s="235"/>
      <c r="W12" s="235"/>
      <c r="X12" s="235"/>
      <c r="Y12" s="235"/>
      <c r="Z12" s="235"/>
    </row>
    <row r="13" spans="1:26" ht="42">
      <c r="C13" s="659" t="s">
        <v>23</v>
      </c>
      <c r="D13" s="212">
        <v>466090</v>
      </c>
      <c r="E13" s="212">
        <v>473611</v>
      </c>
      <c r="F13" s="212">
        <v>647985</v>
      </c>
      <c r="G13" s="212">
        <v>665508</v>
      </c>
      <c r="H13" s="212">
        <v>823649</v>
      </c>
      <c r="L13" s="208" t="s">
        <v>254</v>
      </c>
      <c r="M13" s="235"/>
      <c r="N13" s="235"/>
      <c r="O13" s="235"/>
      <c r="P13" s="235"/>
      <c r="Q13" s="235"/>
      <c r="U13" s="208" t="s">
        <v>254</v>
      </c>
      <c r="V13" s="235"/>
      <c r="W13" s="235"/>
      <c r="X13" s="235"/>
      <c r="Y13" s="235"/>
      <c r="Z13" s="235"/>
    </row>
    <row r="14" spans="1:26" ht="18">
      <c r="K14" s="204" t="s">
        <v>502</v>
      </c>
      <c r="L14" s="659" t="s">
        <v>255</v>
      </c>
      <c r="M14" s="228">
        <v>91035</v>
      </c>
      <c r="N14" s="228">
        <v>144645</v>
      </c>
      <c r="O14" s="228">
        <v>234653</v>
      </c>
      <c r="P14" s="228">
        <v>249416</v>
      </c>
      <c r="Q14" s="228">
        <v>244782</v>
      </c>
      <c r="T14" s="204" t="s">
        <v>502</v>
      </c>
      <c r="U14" s="659" t="s">
        <v>255</v>
      </c>
      <c r="V14" s="228">
        <v>-850672</v>
      </c>
      <c r="W14" s="228">
        <v>4962404</v>
      </c>
      <c r="X14" s="228">
        <v>3455727</v>
      </c>
      <c r="Y14" s="228">
        <v>3667575</v>
      </c>
      <c r="Z14" s="228">
        <v>5057532</v>
      </c>
    </row>
    <row r="16" spans="1:26">
      <c r="A16" s="217" t="s">
        <v>56</v>
      </c>
    </row>
    <row r="17" spans="1:20">
      <c r="J17" s="656" t="s">
        <v>644</v>
      </c>
    </row>
    <row r="18" spans="1:20">
      <c r="C18" s="655"/>
      <c r="D18" s="655">
        <v>2019</v>
      </c>
      <c r="E18" s="655">
        <v>2018</v>
      </c>
      <c r="F18" s="219" t="s">
        <v>176</v>
      </c>
      <c r="G18" s="219" t="s">
        <v>177</v>
      </c>
      <c r="H18" s="219" t="s">
        <v>178</v>
      </c>
      <c r="J18" s="656" t="s">
        <v>561</v>
      </c>
      <c r="L18" s="655"/>
      <c r="M18" s="655">
        <v>2019</v>
      </c>
      <c r="N18" s="219" t="s">
        <v>175</v>
      </c>
      <c r="O18" s="219" t="s">
        <v>176</v>
      </c>
      <c r="P18" s="219" t="s">
        <v>177</v>
      </c>
      <c r="Q18" s="219" t="s">
        <v>178</v>
      </c>
    </row>
    <row r="19" spans="1:20" ht="17">
      <c r="C19" s="202" t="s">
        <v>1</v>
      </c>
      <c r="D19" s="216">
        <v>24009794.713124599</v>
      </c>
      <c r="E19" s="216">
        <v>149846000.02919</v>
      </c>
      <c r="F19" s="216">
        <v>149781000.0494</v>
      </c>
      <c r="G19" s="216">
        <v>142540000.00494099</v>
      </c>
      <c r="H19" s="216">
        <v>214708000.04137</v>
      </c>
      <c r="K19" s="204" t="s">
        <v>151</v>
      </c>
      <c r="L19" s="202" t="s">
        <v>246</v>
      </c>
      <c r="M19" s="660">
        <v>377357</v>
      </c>
      <c r="N19" s="660">
        <v>39356</v>
      </c>
      <c r="O19" s="660">
        <v>399584</v>
      </c>
      <c r="P19" s="660">
        <v>408371</v>
      </c>
      <c r="Q19" s="660">
        <v>445454</v>
      </c>
    </row>
    <row r="20" spans="1:20">
      <c r="C20" s="655"/>
      <c r="D20" s="655"/>
      <c r="E20" s="655"/>
      <c r="F20" s="655"/>
      <c r="G20" s="655"/>
      <c r="H20" s="655"/>
      <c r="L20" s="655"/>
      <c r="M20" s="234"/>
      <c r="N20" s="234"/>
      <c r="O20" s="234"/>
      <c r="P20" s="234"/>
      <c r="Q20" s="234"/>
    </row>
    <row r="21" spans="1:20" ht="42">
      <c r="C21" s="211" t="s">
        <v>11</v>
      </c>
      <c r="D21" s="212">
        <v>9133598.9840403199</v>
      </c>
      <c r="E21" s="212">
        <v>22999.9999691546</v>
      </c>
      <c r="F21" s="212">
        <v>40000.000175833702</v>
      </c>
      <c r="G21" s="212">
        <v>86999.999507367596</v>
      </c>
      <c r="H21" s="212">
        <v>49999.998740851901</v>
      </c>
      <c r="K21" s="204" t="s">
        <v>499</v>
      </c>
      <c r="L21" s="211" t="s">
        <v>247</v>
      </c>
      <c r="M21" s="661">
        <v>48702</v>
      </c>
      <c r="N21" s="661">
        <v>43952</v>
      </c>
      <c r="O21" s="661">
        <v>20437</v>
      </c>
      <c r="P21" s="661">
        <v>34769</v>
      </c>
      <c r="Q21" s="661">
        <v>37354</v>
      </c>
    </row>
    <row r="22" spans="1:20" ht="42">
      <c r="C22" s="208" t="s">
        <v>2</v>
      </c>
      <c r="D22" s="212">
        <v>0</v>
      </c>
      <c r="E22" s="212">
        <v>0</v>
      </c>
      <c r="F22" s="212">
        <v>0</v>
      </c>
      <c r="G22" s="212">
        <v>19737000.004249699</v>
      </c>
      <c r="H22" s="212">
        <v>22127000.0103135</v>
      </c>
      <c r="L22" s="208" t="s">
        <v>248</v>
      </c>
      <c r="M22" s="661">
        <v>397</v>
      </c>
      <c r="N22" s="661">
        <v>322</v>
      </c>
      <c r="O22" s="661">
        <v>26617</v>
      </c>
      <c r="P22" s="661">
        <v>259285</v>
      </c>
      <c r="Q22" s="661">
        <v>273019</v>
      </c>
    </row>
    <row r="23" spans="1:20" ht="28">
      <c r="C23" s="208" t="s">
        <v>3</v>
      </c>
      <c r="D23" s="212">
        <v>2324829.1305005602</v>
      </c>
      <c r="E23" s="212">
        <v>27053999.9637178</v>
      </c>
      <c r="F23" s="212">
        <v>25903999.992067199</v>
      </c>
      <c r="G23" s="212">
        <v>6493999.9632281102</v>
      </c>
      <c r="H23" s="212">
        <v>18243999.994591501</v>
      </c>
      <c r="L23" s="208" t="s">
        <v>249</v>
      </c>
      <c r="M23" s="661">
        <v>269636</v>
      </c>
      <c r="N23" s="661">
        <v>277646</v>
      </c>
      <c r="O23" s="661">
        <v>6386</v>
      </c>
      <c r="P23" s="661">
        <v>16322</v>
      </c>
      <c r="Q23" s="661">
        <v>16872</v>
      </c>
    </row>
    <row r="24" spans="1:20" ht="18">
      <c r="C24" s="657" t="s">
        <v>8</v>
      </c>
      <c r="D24" s="658">
        <f t="shared" ref="D24:G24" si="1">SUM(D22:D23)</f>
        <v>2324829.1305005602</v>
      </c>
      <c r="E24" s="658">
        <f t="shared" si="1"/>
        <v>27053999.9637178</v>
      </c>
      <c r="F24" s="658">
        <f t="shared" si="1"/>
        <v>25903999.992067199</v>
      </c>
      <c r="G24" s="658">
        <f t="shared" si="1"/>
        <v>26230999.96747781</v>
      </c>
      <c r="H24" s="658">
        <f>SUM(H22:H23)</f>
        <v>40371000.004905</v>
      </c>
      <c r="K24" s="204" t="s">
        <v>500</v>
      </c>
      <c r="L24" s="657" t="s">
        <v>250</v>
      </c>
      <c r="M24" s="228">
        <f>M22+M23</f>
        <v>270033</v>
      </c>
      <c r="N24" s="228">
        <f t="shared" ref="N24:P24" si="2">N22+N23</f>
        <v>277968</v>
      </c>
      <c r="O24" s="228">
        <f t="shared" si="2"/>
        <v>33003</v>
      </c>
      <c r="P24" s="228">
        <f t="shared" si="2"/>
        <v>275607</v>
      </c>
      <c r="Q24" s="228">
        <f>Q22+Q23</f>
        <v>289891</v>
      </c>
    </row>
    <row r="25" spans="1:20" ht="28">
      <c r="C25" s="210" t="s">
        <v>12</v>
      </c>
      <c r="D25" s="212">
        <v>7699544.3307906399</v>
      </c>
      <c r="E25" s="212">
        <v>-1086999.9985422201</v>
      </c>
      <c r="F25" s="212">
        <v>7568000.0332677402</v>
      </c>
      <c r="G25" s="212">
        <v>-53962000.0424712</v>
      </c>
      <c r="H25" s="212">
        <v>-1646999.95852366</v>
      </c>
      <c r="K25" s="204" t="s">
        <v>501</v>
      </c>
      <c r="L25" s="210" t="s">
        <v>251</v>
      </c>
      <c r="M25" s="661">
        <v>-8268</v>
      </c>
      <c r="N25" s="661">
        <v>-11435</v>
      </c>
      <c r="O25" s="661">
        <v>-31803</v>
      </c>
      <c r="P25" s="661">
        <v>-22798</v>
      </c>
      <c r="Q25" s="661">
        <v>-36272</v>
      </c>
    </row>
    <row r="26" spans="1:20" ht="28">
      <c r="C26" s="208" t="s">
        <v>13</v>
      </c>
      <c r="D26" s="213">
        <v>35.506</v>
      </c>
      <c r="E26" s="213">
        <v>-0.88500000000000001</v>
      </c>
      <c r="F26" s="213">
        <v>6.109</v>
      </c>
      <c r="G26" s="213">
        <v>-46.395000000000003</v>
      </c>
      <c r="H26" s="213">
        <v>-0.94499999999999995</v>
      </c>
      <c r="L26" s="208" t="s">
        <v>252</v>
      </c>
      <c r="M26" s="235"/>
      <c r="N26" s="235"/>
      <c r="O26" s="235"/>
      <c r="P26" s="235"/>
      <c r="Q26" s="235"/>
    </row>
    <row r="27" spans="1:20" ht="28">
      <c r="C27" s="208" t="s">
        <v>14</v>
      </c>
      <c r="D27" s="213">
        <v>32.067999999999998</v>
      </c>
      <c r="E27" s="213">
        <v>-0.72499999999999998</v>
      </c>
      <c r="F27" s="213">
        <v>5.0529999999999999</v>
      </c>
      <c r="G27" s="213">
        <v>-37.856999999999999</v>
      </c>
      <c r="H27" s="213">
        <v>-0.76700000000000002</v>
      </c>
      <c r="L27" s="208" t="s">
        <v>253</v>
      </c>
      <c r="M27" s="235"/>
      <c r="N27" s="235"/>
      <c r="O27" s="235"/>
      <c r="P27" s="235"/>
      <c r="Q27" s="235"/>
    </row>
    <row r="28" spans="1:20" ht="42">
      <c r="C28" s="208" t="s">
        <v>15</v>
      </c>
      <c r="D28" s="215" t="s">
        <v>22</v>
      </c>
      <c r="E28" s="214">
        <v>22.999999969154601</v>
      </c>
      <c r="F28" s="214">
        <v>3.33333338858704</v>
      </c>
      <c r="G28" s="214">
        <v>6.6923076187177299</v>
      </c>
      <c r="H28" s="214">
        <v>3.8461537056396198</v>
      </c>
      <c r="L28" s="208" t="s">
        <v>254</v>
      </c>
      <c r="M28" s="235"/>
      <c r="N28" s="235"/>
      <c r="O28" s="235"/>
      <c r="P28" s="235"/>
      <c r="Q28" s="235"/>
    </row>
    <row r="29" spans="1:20" ht="17">
      <c r="C29" s="659" t="s">
        <v>23</v>
      </c>
      <c r="D29" s="212">
        <v>21684965.5826241</v>
      </c>
      <c r="E29" s="212">
        <v>122790999.950399</v>
      </c>
      <c r="F29" s="212">
        <v>123878000.057337</v>
      </c>
      <c r="G29" s="212">
        <v>116309000.03746299</v>
      </c>
      <c r="H29" s="212">
        <v>174337000.03646499</v>
      </c>
      <c r="K29" s="204" t="s">
        <v>502</v>
      </c>
      <c r="L29" s="659" t="s">
        <v>255</v>
      </c>
      <c r="M29" s="661">
        <v>107324</v>
      </c>
      <c r="N29" s="661">
        <v>115592</v>
      </c>
      <c r="O29" s="661">
        <v>127028</v>
      </c>
      <c r="P29" s="661">
        <v>132764</v>
      </c>
      <c r="Q29" s="661">
        <v>155563</v>
      </c>
    </row>
    <row r="31" spans="1:20">
      <c r="A31" s="217"/>
      <c r="T31" s="656" t="s">
        <v>359</v>
      </c>
    </row>
    <row r="32" spans="1:20">
      <c r="C32" s="655"/>
      <c r="D32" s="655"/>
      <c r="E32" s="655"/>
      <c r="F32" s="219"/>
      <c r="G32" s="219"/>
      <c r="H32" s="219"/>
      <c r="J32" s="656"/>
      <c r="T32" s="656" t="s">
        <v>199</v>
      </c>
    </row>
    <row r="33" spans="1:27">
      <c r="C33" s="202"/>
      <c r="D33" s="216"/>
      <c r="E33" s="216"/>
      <c r="F33" s="216"/>
      <c r="G33" s="216"/>
      <c r="H33" s="216"/>
      <c r="J33" s="656"/>
      <c r="L33" s="655"/>
      <c r="M33" s="655"/>
      <c r="N33" s="219"/>
      <c r="O33" s="219"/>
      <c r="P33" s="219"/>
      <c r="Q33" s="219"/>
      <c r="V33" s="655"/>
      <c r="W33" s="655">
        <v>2020</v>
      </c>
      <c r="X33" s="219" t="s">
        <v>645</v>
      </c>
      <c r="Y33" s="219" t="s">
        <v>646</v>
      </c>
      <c r="Z33" s="219" t="s">
        <v>647</v>
      </c>
      <c r="AA33" s="219" t="s">
        <v>648</v>
      </c>
    </row>
    <row r="34" spans="1:27" ht="18">
      <c r="C34" s="655"/>
      <c r="D34" s="655"/>
      <c r="E34" s="655"/>
      <c r="F34" s="655"/>
      <c r="G34" s="655"/>
      <c r="H34" s="655"/>
      <c r="K34" s="204"/>
      <c r="L34" s="202"/>
      <c r="M34" s="228"/>
      <c r="N34" s="228"/>
      <c r="O34" s="228"/>
      <c r="P34" s="228"/>
      <c r="Q34" s="228"/>
      <c r="U34" s="204" t="s">
        <v>151</v>
      </c>
      <c r="V34" s="202" t="s">
        <v>246</v>
      </c>
      <c r="W34" s="228">
        <v>260038</v>
      </c>
      <c r="X34" s="228">
        <v>187056</v>
      </c>
      <c r="Y34" s="228">
        <v>214731</v>
      </c>
      <c r="Z34" s="228">
        <v>247274</v>
      </c>
      <c r="AA34" s="228">
        <v>287670</v>
      </c>
    </row>
    <row r="35" spans="1:27">
      <c r="C35" s="211"/>
      <c r="D35" s="212"/>
      <c r="E35" s="212"/>
      <c r="F35" s="212"/>
      <c r="G35" s="212"/>
      <c r="H35" s="212"/>
      <c r="L35" s="655"/>
      <c r="M35" s="234"/>
      <c r="N35" s="234"/>
      <c r="O35" s="234"/>
      <c r="P35" s="234"/>
      <c r="Q35" s="234"/>
      <c r="V35" s="655"/>
      <c r="W35" s="234"/>
      <c r="X35" s="234"/>
      <c r="Y35" s="234"/>
      <c r="Z35" s="234"/>
      <c r="AA35" s="234"/>
    </row>
    <row r="36" spans="1:27" ht="42">
      <c r="C36" s="208"/>
      <c r="D36" s="212"/>
      <c r="E36" s="212"/>
      <c r="F36" s="212"/>
      <c r="G36" s="212"/>
      <c r="H36" s="212"/>
      <c r="K36" s="204"/>
      <c r="L36" s="211"/>
      <c r="M36" s="228"/>
      <c r="N36" s="228"/>
      <c r="O36" s="228"/>
      <c r="P36" s="228"/>
      <c r="Q36" s="228"/>
      <c r="U36" s="204" t="s">
        <v>499</v>
      </c>
      <c r="V36" s="211" t="s">
        <v>247</v>
      </c>
      <c r="W36" s="228">
        <v>209877</v>
      </c>
      <c r="X36" s="228">
        <v>188755</v>
      </c>
      <c r="Y36" s="228">
        <v>184022</v>
      </c>
      <c r="Z36" s="228">
        <v>257921</v>
      </c>
      <c r="AA36" s="228">
        <v>274298</v>
      </c>
    </row>
    <row r="37" spans="1:27" ht="42">
      <c r="C37" s="208"/>
      <c r="D37" s="212"/>
      <c r="E37" s="212"/>
      <c r="F37" s="212"/>
      <c r="G37" s="212"/>
      <c r="H37" s="212"/>
      <c r="L37" s="208"/>
      <c r="M37" s="212"/>
      <c r="N37" s="212"/>
      <c r="O37" s="212"/>
      <c r="P37" s="212"/>
      <c r="Q37" s="212"/>
      <c r="V37" s="208" t="s">
        <v>248</v>
      </c>
      <c r="W37" s="212"/>
      <c r="X37" s="212"/>
      <c r="Y37" s="212"/>
      <c r="Z37" s="212"/>
      <c r="AA37" s="212"/>
    </row>
    <row r="38" spans="1:27" ht="28">
      <c r="C38" s="657"/>
      <c r="D38" s="658"/>
      <c r="E38" s="658"/>
      <c r="F38" s="658"/>
      <c r="G38" s="658"/>
      <c r="H38" s="658"/>
      <c r="L38" s="208"/>
      <c r="M38" s="212"/>
      <c r="N38" s="212"/>
      <c r="O38" s="212"/>
      <c r="P38" s="212"/>
      <c r="Q38" s="212"/>
      <c r="V38" s="208" t="s">
        <v>249</v>
      </c>
      <c r="W38" s="212"/>
      <c r="X38" s="212"/>
      <c r="Y38" s="212"/>
      <c r="Z38" s="212"/>
      <c r="AA38" s="212"/>
    </row>
    <row r="39" spans="1:27" ht="18">
      <c r="C39" s="210"/>
      <c r="D39" s="212"/>
      <c r="E39" s="212"/>
      <c r="F39" s="212"/>
      <c r="G39" s="212"/>
      <c r="H39" s="212"/>
      <c r="K39" s="204"/>
      <c r="L39" s="657"/>
      <c r="M39" s="228"/>
      <c r="N39" s="228"/>
      <c r="O39" s="228"/>
      <c r="P39" s="228"/>
      <c r="Q39" s="228"/>
      <c r="U39" s="204" t="s">
        <v>500</v>
      </c>
      <c r="V39" s="657" t="s">
        <v>250</v>
      </c>
      <c r="W39" s="228">
        <v>130553</v>
      </c>
      <c r="X39" s="228">
        <v>107826</v>
      </c>
      <c r="Y39" s="228">
        <v>115409</v>
      </c>
      <c r="Z39" s="228">
        <v>150575</v>
      </c>
      <c r="AA39" s="228">
        <v>181941</v>
      </c>
    </row>
    <row r="40" spans="1:27" ht="28">
      <c r="C40" s="208"/>
      <c r="D40" s="213"/>
      <c r="E40" s="213"/>
      <c r="F40" s="213"/>
      <c r="G40" s="213"/>
      <c r="H40" s="213"/>
      <c r="K40" s="204"/>
      <c r="L40" s="210"/>
      <c r="M40" s="228"/>
      <c r="N40" s="228"/>
      <c r="O40" s="228"/>
      <c r="P40" s="228"/>
      <c r="Q40" s="228"/>
      <c r="U40" s="204" t="s">
        <v>501</v>
      </c>
      <c r="V40" s="210" t="s">
        <v>251</v>
      </c>
      <c r="W40" s="228">
        <v>-16459</v>
      </c>
      <c r="X40" s="228">
        <v>-16297</v>
      </c>
      <c r="Y40" s="228">
        <v>7284</v>
      </c>
      <c r="Z40" s="228">
        <v>-15542</v>
      </c>
      <c r="AA40" s="228">
        <v>-10658</v>
      </c>
    </row>
    <row r="41" spans="1:27" ht="28">
      <c r="C41" s="208"/>
      <c r="D41" s="213"/>
      <c r="E41" s="213"/>
      <c r="F41" s="213"/>
      <c r="G41" s="213"/>
      <c r="H41" s="213"/>
      <c r="L41" s="208"/>
      <c r="M41" s="235"/>
      <c r="N41" s="235"/>
      <c r="O41" s="235"/>
      <c r="P41" s="235"/>
      <c r="Q41" s="235"/>
      <c r="V41" s="208" t="s">
        <v>252</v>
      </c>
      <c r="W41" s="235"/>
      <c r="X41" s="235"/>
      <c r="Y41" s="235"/>
      <c r="Z41" s="235"/>
      <c r="AA41" s="235"/>
    </row>
    <row r="42" spans="1:27" ht="28">
      <c r="C42" s="208"/>
      <c r="D42" s="215"/>
      <c r="E42" s="215"/>
      <c r="F42" s="215"/>
      <c r="G42" s="215"/>
      <c r="H42" s="215"/>
      <c r="L42" s="208"/>
      <c r="M42" s="235"/>
      <c r="N42" s="235"/>
      <c r="O42" s="235"/>
      <c r="P42" s="235"/>
      <c r="Q42" s="235"/>
      <c r="V42" s="208" t="s">
        <v>253</v>
      </c>
      <c r="W42" s="235"/>
      <c r="X42" s="235"/>
      <c r="Y42" s="235"/>
      <c r="Z42" s="235"/>
      <c r="AA42" s="235"/>
    </row>
    <row r="43" spans="1:27" ht="42">
      <c r="C43" s="659"/>
      <c r="D43" s="212"/>
      <c r="E43" s="212"/>
      <c r="F43" s="212"/>
      <c r="G43" s="212"/>
      <c r="H43" s="212"/>
      <c r="L43" s="208"/>
      <c r="M43" s="235"/>
      <c r="N43" s="235"/>
      <c r="O43" s="235"/>
      <c r="P43" s="235"/>
      <c r="Q43" s="235"/>
      <c r="V43" s="208" t="s">
        <v>254</v>
      </c>
      <c r="W43" s="235"/>
      <c r="X43" s="235"/>
      <c r="Y43" s="235"/>
      <c r="Z43" s="235"/>
      <c r="AA43" s="235"/>
    </row>
    <row r="44" spans="1:27" ht="18">
      <c r="K44" s="204"/>
      <c r="L44" s="659"/>
      <c r="M44" s="228"/>
      <c r="N44" s="228"/>
      <c r="O44" s="228"/>
      <c r="P44" s="228"/>
      <c r="Q44" s="228"/>
      <c r="U44" s="204" t="s">
        <v>502</v>
      </c>
      <c r="V44" s="659" t="s">
        <v>255</v>
      </c>
      <c r="W44" s="228">
        <v>129485</v>
      </c>
      <c r="X44" s="228">
        <v>79231</v>
      </c>
      <c r="Y44" s="228">
        <v>99322</v>
      </c>
      <c r="Z44" s="228">
        <v>96700</v>
      </c>
      <c r="AA44" s="228">
        <v>105730</v>
      </c>
    </row>
    <row r="45" spans="1:27">
      <c r="A45" s="217" t="s">
        <v>64</v>
      </c>
    </row>
    <row r="46" spans="1:27">
      <c r="C46" s="655"/>
      <c r="D46" s="655">
        <v>2020</v>
      </c>
      <c r="E46" s="655">
        <v>2019</v>
      </c>
      <c r="F46" s="219" t="s">
        <v>646</v>
      </c>
      <c r="G46" s="219" t="s">
        <v>647</v>
      </c>
      <c r="H46" s="219" t="s">
        <v>648</v>
      </c>
    </row>
    <row r="47" spans="1:27">
      <c r="C47" s="202" t="s">
        <v>1</v>
      </c>
      <c r="D47" s="216">
        <v>3961000</v>
      </c>
      <c r="E47" s="216">
        <v>9279000</v>
      </c>
      <c r="F47" s="216">
        <v>10848000</v>
      </c>
      <c r="G47" s="216">
        <v>17982000</v>
      </c>
      <c r="H47" s="216">
        <v>21666000</v>
      </c>
      <c r="J47" s="656" t="s">
        <v>649</v>
      </c>
      <c r="L47" s="655"/>
      <c r="M47" s="655">
        <v>2020</v>
      </c>
      <c r="N47" s="219" t="s">
        <v>645</v>
      </c>
      <c r="O47" s="219" t="s">
        <v>646</v>
      </c>
      <c r="P47" s="219" t="s">
        <v>647</v>
      </c>
      <c r="Q47" s="219" t="s">
        <v>648</v>
      </c>
      <c r="T47" s="656" t="s">
        <v>650</v>
      </c>
    </row>
    <row r="48" spans="1:27">
      <c r="C48" s="655"/>
      <c r="D48" s="655"/>
      <c r="E48" s="655"/>
      <c r="F48" s="655"/>
      <c r="G48" s="655"/>
      <c r="H48" s="655"/>
      <c r="J48" s="656" t="s">
        <v>651</v>
      </c>
      <c r="K48" s="204" t="s">
        <v>151</v>
      </c>
      <c r="L48" s="202" t="s">
        <v>246</v>
      </c>
      <c r="M48" s="216">
        <v>2640491</v>
      </c>
      <c r="N48" s="216">
        <v>2686396</v>
      </c>
      <c r="O48" s="216">
        <v>2276345</v>
      </c>
      <c r="P48" s="216">
        <v>2138228</v>
      </c>
      <c r="Q48" s="216">
        <v>2263592</v>
      </c>
      <c r="T48" s="656" t="s">
        <v>199</v>
      </c>
      <c r="V48" s="655"/>
      <c r="W48" s="655">
        <v>2020</v>
      </c>
      <c r="X48" s="219" t="s">
        <v>645</v>
      </c>
      <c r="Y48" s="219" t="s">
        <v>646</v>
      </c>
      <c r="Z48" s="219" t="s">
        <v>647</v>
      </c>
      <c r="AA48" s="219" t="s">
        <v>648</v>
      </c>
    </row>
    <row r="49" spans="1:27" ht="28">
      <c r="C49" s="211" t="s">
        <v>11</v>
      </c>
      <c r="D49" s="212">
        <v>1059000</v>
      </c>
      <c r="E49" s="212">
        <v>1417000</v>
      </c>
      <c r="F49" s="212">
        <v>562000</v>
      </c>
      <c r="G49" s="212">
        <v>2115000</v>
      </c>
      <c r="H49" s="212">
        <v>3237000</v>
      </c>
      <c r="L49" s="655"/>
      <c r="M49" s="234"/>
      <c r="N49" s="234"/>
      <c r="O49" s="234"/>
      <c r="P49" s="234"/>
      <c r="Q49" s="234"/>
      <c r="U49" s="204" t="s">
        <v>151</v>
      </c>
      <c r="V49" s="202" t="s">
        <v>246</v>
      </c>
      <c r="W49" s="228">
        <v>1041872</v>
      </c>
      <c r="X49" s="228">
        <v>1090019</v>
      </c>
      <c r="Y49" s="228">
        <v>948192</v>
      </c>
      <c r="Z49" s="228">
        <v>771904</v>
      </c>
      <c r="AA49" s="228">
        <v>1123505</v>
      </c>
    </row>
    <row r="50" spans="1:27" ht="42">
      <c r="C50" s="208" t="s">
        <v>2</v>
      </c>
      <c r="D50" s="212">
        <v>556000</v>
      </c>
      <c r="E50" s="212">
        <v>6716000</v>
      </c>
      <c r="F50" s="212">
        <v>7349000</v>
      </c>
      <c r="G50" s="212">
        <v>10164000</v>
      </c>
      <c r="H50" s="212">
        <v>6880000</v>
      </c>
      <c r="K50" s="204" t="s">
        <v>499</v>
      </c>
      <c r="L50" s="211" t="s">
        <v>247</v>
      </c>
      <c r="M50" s="212">
        <v>929739</v>
      </c>
      <c r="N50" s="212">
        <v>823195</v>
      </c>
      <c r="O50" s="212">
        <v>698476</v>
      </c>
      <c r="P50" s="212">
        <v>662158</v>
      </c>
      <c r="Q50" s="212">
        <v>657392</v>
      </c>
      <c r="V50" s="655"/>
      <c r="W50" s="234"/>
      <c r="X50" s="234"/>
      <c r="Y50" s="234"/>
      <c r="Z50" s="234"/>
      <c r="AA50" s="234"/>
    </row>
    <row r="51" spans="1:27" ht="42">
      <c r="C51" s="208" t="s">
        <v>3</v>
      </c>
      <c r="D51" s="212">
        <v>6545000</v>
      </c>
      <c r="E51" s="212">
        <v>770000</v>
      </c>
      <c r="F51" s="212">
        <v>464000</v>
      </c>
      <c r="G51" s="212">
        <v>859000</v>
      </c>
      <c r="H51" s="212">
        <v>4723000</v>
      </c>
      <c r="L51" s="208" t="s">
        <v>248</v>
      </c>
      <c r="M51" s="212">
        <v>759924</v>
      </c>
      <c r="N51" s="212">
        <v>1231730</v>
      </c>
      <c r="O51" s="212">
        <v>322122</v>
      </c>
      <c r="P51" s="212">
        <v>1099519</v>
      </c>
      <c r="Q51" s="212">
        <v>1227358</v>
      </c>
      <c r="U51" s="204" t="s">
        <v>499</v>
      </c>
      <c r="V51" s="211" t="s">
        <v>247</v>
      </c>
      <c r="W51" s="228">
        <v>4158387</v>
      </c>
      <c r="X51" s="228">
        <v>3564626</v>
      </c>
      <c r="Y51" s="228">
        <v>2477211</v>
      </c>
      <c r="Z51" s="228">
        <v>1938396</v>
      </c>
      <c r="AA51" s="228">
        <v>1668589</v>
      </c>
    </row>
    <row r="52" spans="1:27" ht="42">
      <c r="C52" s="657" t="s">
        <v>8</v>
      </c>
      <c r="D52" s="658">
        <f t="shared" ref="D52:G52" si="3">SUM(D50:D51)</f>
        <v>7101000</v>
      </c>
      <c r="E52" s="658">
        <f t="shared" si="3"/>
        <v>7486000</v>
      </c>
      <c r="F52" s="658">
        <f t="shared" si="3"/>
        <v>7813000</v>
      </c>
      <c r="G52" s="658">
        <f t="shared" si="3"/>
        <v>11023000</v>
      </c>
      <c r="H52" s="658">
        <f>SUM(H50:H51)</f>
        <v>11603000</v>
      </c>
      <c r="L52" s="208" t="s">
        <v>249</v>
      </c>
      <c r="M52" s="212">
        <v>682063</v>
      </c>
      <c r="N52" s="212">
        <v>392288</v>
      </c>
      <c r="O52" s="212">
        <v>930550</v>
      </c>
      <c r="P52" s="212">
        <v>271652</v>
      </c>
      <c r="Q52" s="212">
        <v>314148</v>
      </c>
      <c r="V52" s="208" t="s">
        <v>248</v>
      </c>
      <c r="W52" s="212"/>
      <c r="X52" s="212"/>
      <c r="Y52" s="212"/>
      <c r="Z52" s="212"/>
      <c r="AA52" s="212"/>
    </row>
    <row r="53" spans="1:27" ht="28">
      <c r="C53" s="210" t="s">
        <v>12</v>
      </c>
      <c r="D53" s="212">
        <v>-4663000</v>
      </c>
      <c r="E53" s="212">
        <v>-1222000</v>
      </c>
      <c r="F53" s="212">
        <v>-605000</v>
      </c>
      <c r="G53" s="212">
        <v>-3102000</v>
      </c>
      <c r="H53" s="212">
        <v>-155000</v>
      </c>
      <c r="K53" s="204" t="s">
        <v>500</v>
      </c>
      <c r="L53" s="657" t="s">
        <v>250</v>
      </c>
      <c r="M53" s="662">
        <f>M51+M52</f>
        <v>1441987</v>
      </c>
      <c r="N53" s="662">
        <f t="shared" ref="N53:Q53" si="4">N51+N52</f>
        <v>1624018</v>
      </c>
      <c r="O53" s="662">
        <f t="shared" si="4"/>
        <v>1252672</v>
      </c>
      <c r="P53" s="662">
        <f t="shared" si="4"/>
        <v>1371171</v>
      </c>
      <c r="Q53" s="662">
        <f t="shared" si="4"/>
        <v>1541506</v>
      </c>
      <c r="V53" s="208" t="s">
        <v>249</v>
      </c>
      <c r="W53" s="212"/>
      <c r="X53" s="212"/>
      <c r="Y53" s="212"/>
      <c r="Z53" s="212"/>
      <c r="AA53" s="212"/>
    </row>
    <row r="54" spans="1:27" ht="28">
      <c r="C54" s="208" t="s">
        <v>13</v>
      </c>
      <c r="D54" s="215" t="s">
        <v>4</v>
      </c>
      <c r="E54" s="213">
        <v>-67.986999999999995</v>
      </c>
      <c r="F54" s="213">
        <v>-19.835000000000001</v>
      </c>
      <c r="G54" s="213">
        <v>-42.722000000000001</v>
      </c>
      <c r="H54" s="213">
        <v>-1.7989999999999999</v>
      </c>
      <c r="J54" s="663"/>
      <c r="K54" s="204" t="s">
        <v>501</v>
      </c>
      <c r="L54" s="210" t="s">
        <v>251</v>
      </c>
      <c r="M54" s="212">
        <v>145643</v>
      </c>
      <c r="N54" s="212">
        <v>43805</v>
      </c>
      <c r="O54" s="212">
        <v>31139</v>
      </c>
      <c r="P54" s="212">
        <v>36688</v>
      </c>
      <c r="Q54" s="212">
        <v>-38553</v>
      </c>
      <c r="U54" s="204" t="s">
        <v>500</v>
      </c>
      <c r="V54" s="657" t="s">
        <v>250</v>
      </c>
      <c r="W54" s="228">
        <v>760504</v>
      </c>
      <c r="X54" s="228">
        <v>969596</v>
      </c>
      <c r="Y54" s="228">
        <v>885112</v>
      </c>
      <c r="Z54" s="228">
        <v>690195</v>
      </c>
      <c r="AA54" s="228">
        <v>955312</v>
      </c>
    </row>
    <row r="55" spans="1:27" ht="28">
      <c r="C55" s="208" t="s">
        <v>14</v>
      </c>
      <c r="D55" s="215" t="s">
        <v>4</v>
      </c>
      <c r="E55" s="213">
        <v>-13.137</v>
      </c>
      <c r="F55" s="213">
        <v>-11.099</v>
      </c>
      <c r="G55" s="213">
        <v>-16.533000000000001</v>
      </c>
      <c r="H55" s="213">
        <v>-0.83499999999999996</v>
      </c>
      <c r="L55" s="208" t="s">
        <v>252</v>
      </c>
      <c r="M55" s="235"/>
      <c r="N55" s="235"/>
      <c r="O55" s="235"/>
      <c r="P55" s="235"/>
      <c r="Q55" s="235"/>
      <c r="U55" s="204" t="s">
        <v>501</v>
      </c>
      <c r="V55" s="210" t="s">
        <v>251</v>
      </c>
      <c r="W55" s="228">
        <v>186829</v>
      </c>
      <c r="X55" s="228">
        <v>57312</v>
      </c>
      <c r="Y55" s="228">
        <v>-18629</v>
      </c>
      <c r="Z55" s="228">
        <v>-86576</v>
      </c>
      <c r="AA55" s="228">
        <v>-51449</v>
      </c>
    </row>
    <row r="56" spans="1:27" ht="28">
      <c r="C56" s="208" t="s">
        <v>15</v>
      </c>
      <c r="D56" s="214">
        <v>333.54330700000003</v>
      </c>
      <c r="E56" s="214">
        <v>312.252093</v>
      </c>
      <c r="F56" s="214">
        <v>229.95089999999999</v>
      </c>
      <c r="G56" s="214">
        <v>488.67837300000002</v>
      </c>
      <c r="H56" s="214">
        <v>677.19665299999997</v>
      </c>
      <c r="L56" s="208" t="s">
        <v>253</v>
      </c>
      <c r="M56" s="235"/>
      <c r="N56" s="235"/>
      <c r="O56" s="235"/>
      <c r="P56" s="235"/>
      <c r="Q56" s="235"/>
      <c r="V56" s="208" t="s">
        <v>252</v>
      </c>
      <c r="W56" s="235"/>
      <c r="X56" s="235"/>
      <c r="Y56" s="235"/>
      <c r="Z56" s="235"/>
      <c r="AA56" s="235"/>
    </row>
    <row r="57" spans="1:27" ht="42">
      <c r="C57" s="659" t="s">
        <v>23</v>
      </c>
      <c r="D57" s="212">
        <v>-3140000</v>
      </c>
      <c r="E57" s="212">
        <v>1793000</v>
      </c>
      <c r="F57" s="212">
        <v>3035000</v>
      </c>
      <c r="G57" s="212">
        <v>6959000</v>
      </c>
      <c r="H57" s="212">
        <v>10063000</v>
      </c>
      <c r="L57" s="208" t="s">
        <v>254</v>
      </c>
      <c r="M57" s="235"/>
      <c r="N57" s="235"/>
      <c r="O57" s="235"/>
      <c r="P57" s="235"/>
      <c r="Q57" s="235"/>
      <c r="V57" s="208" t="s">
        <v>253</v>
      </c>
      <c r="W57" s="235"/>
      <c r="X57" s="235"/>
      <c r="Y57" s="235"/>
      <c r="Z57" s="235"/>
      <c r="AA57" s="235"/>
    </row>
    <row r="58" spans="1:27" ht="42">
      <c r="K58" s="204" t="s">
        <v>502</v>
      </c>
      <c r="L58" s="659" t="s">
        <v>255</v>
      </c>
      <c r="M58" s="212">
        <v>1198504</v>
      </c>
      <c r="N58" s="212">
        <v>1062378</v>
      </c>
      <c r="O58" s="212">
        <v>1023673</v>
      </c>
      <c r="P58" s="212">
        <v>767057</v>
      </c>
      <c r="Q58" s="212">
        <v>722086</v>
      </c>
      <c r="V58" s="208" t="s">
        <v>254</v>
      </c>
      <c r="W58" s="235"/>
      <c r="X58" s="235"/>
      <c r="Y58" s="235"/>
      <c r="Z58" s="235"/>
      <c r="AA58" s="235"/>
    </row>
    <row r="59" spans="1:27" ht="18">
      <c r="A59" s="217" t="s">
        <v>65</v>
      </c>
      <c r="U59" s="204" t="s">
        <v>502</v>
      </c>
      <c r="V59" s="659" t="s">
        <v>255</v>
      </c>
      <c r="W59" s="228">
        <v>281368</v>
      </c>
      <c r="X59" s="228">
        <v>120423</v>
      </c>
      <c r="Y59" s="228">
        <v>63081</v>
      </c>
      <c r="Z59" s="228">
        <v>81709</v>
      </c>
      <c r="AA59" s="228">
        <v>168193</v>
      </c>
    </row>
    <row r="60" spans="1:27">
      <c r="A60" s="222" t="s">
        <v>66</v>
      </c>
      <c r="C60" s="655"/>
      <c r="D60" s="655">
        <v>2020</v>
      </c>
      <c r="E60" s="655">
        <v>2019</v>
      </c>
      <c r="F60" s="219" t="s">
        <v>646</v>
      </c>
      <c r="G60" s="219" t="s">
        <v>647</v>
      </c>
      <c r="H60" s="219" t="s">
        <v>648</v>
      </c>
    </row>
    <row r="61" spans="1:27">
      <c r="A61" s="222" t="s">
        <v>67</v>
      </c>
      <c r="C61" s="202" t="s">
        <v>1</v>
      </c>
      <c r="D61" s="216">
        <v>3961000</v>
      </c>
      <c r="E61" s="216">
        <v>9279000</v>
      </c>
      <c r="F61" s="216">
        <v>10848000</v>
      </c>
      <c r="G61" s="216">
        <v>17982000</v>
      </c>
      <c r="H61" s="216">
        <v>21666000</v>
      </c>
      <c r="J61" s="656" t="s">
        <v>652</v>
      </c>
      <c r="L61" s="655"/>
      <c r="M61" s="655">
        <v>2017</v>
      </c>
      <c r="N61" s="219" t="s">
        <v>503</v>
      </c>
      <c r="O61" s="219" t="s">
        <v>504</v>
      </c>
      <c r="P61" s="219" t="s">
        <v>505</v>
      </c>
      <c r="Q61" s="219" t="s">
        <v>506</v>
      </c>
    </row>
    <row r="62" spans="1:27" ht="18">
      <c r="C62" s="655"/>
      <c r="D62" s="655"/>
      <c r="E62" s="655"/>
      <c r="F62" s="655"/>
      <c r="G62" s="655"/>
      <c r="H62" s="655"/>
      <c r="J62" s="656" t="s">
        <v>199</v>
      </c>
      <c r="K62" s="204" t="s">
        <v>151</v>
      </c>
      <c r="L62" s="202" t="s">
        <v>246</v>
      </c>
      <c r="M62" s="228">
        <v>1138565</v>
      </c>
      <c r="N62" s="228">
        <v>786083</v>
      </c>
      <c r="O62" s="228">
        <v>514051</v>
      </c>
      <c r="P62" s="228">
        <v>460300</v>
      </c>
      <c r="Q62" s="228">
        <v>477680</v>
      </c>
    </row>
    <row r="63" spans="1:27" ht="28">
      <c r="C63" s="211" t="s">
        <v>11</v>
      </c>
      <c r="D63" s="212">
        <v>1059000</v>
      </c>
      <c r="E63" s="212">
        <v>1417000</v>
      </c>
      <c r="F63" s="212">
        <v>562000</v>
      </c>
      <c r="G63" s="212">
        <v>2115000</v>
      </c>
      <c r="H63" s="212">
        <v>3237000</v>
      </c>
      <c r="L63" s="655"/>
      <c r="M63" s="234"/>
      <c r="N63" s="234"/>
      <c r="O63" s="234"/>
      <c r="P63" s="234"/>
      <c r="Q63" s="234"/>
    </row>
    <row r="64" spans="1:27" ht="42">
      <c r="C64" s="208" t="s">
        <v>2</v>
      </c>
      <c r="D64" s="212">
        <v>556000</v>
      </c>
      <c r="E64" s="212">
        <v>6716000</v>
      </c>
      <c r="F64" s="212">
        <v>7349000</v>
      </c>
      <c r="G64" s="212">
        <v>10164000</v>
      </c>
      <c r="H64" s="212">
        <v>6880000</v>
      </c>
      <c r="K64" s="204" t="s">
        <v>499</v>
      </c>
      <c r="L64" s="211" t="s">
        <v>247</v>
      </c>
      <c r="M64" s="228">
        <v>1241798</v>
      </c>
      <c r="N64" s="228">
        <v>1039630</v>
      </c>
      <c r="O64" s="228">
        <v>963611</v>
      </c>
      <c r="P64" s="228">
        <v>849226</v>
      </c>
      <c r="Q64" s="228">
        <v>800489</v>
      </c>
    </row>
    <row r="65" spans="1:17" ht="42">
      <c r="C65" s="208" t="s">
        <v>3</v>
      </c>
      <c r="D65" s="212">
        <v>6545000</v>
      </c>
      <c r="E65" s="212">
        <v>770000</v>
      </c>
      <c r="F65" s="212">
        <v>464000</v>
      </c>
      <c r="G65" s="212">
        <v>859000</v>
      </c>
      <c r="H65" s="212">
        <v>4723000</v>
      </c>
      <c r="L65" s="208" t="s">
        <v>248</v>
      </c>
      <c r="M65" s="212"/>
      <c r="N65" s="212"/>
      <c r="O65" s="212"/>
      <c r="P65" s="212"/>
      <c r="Q65" s="212"/>
    </row>
    <row r="66" spans="1:17" ht="28">
      <c r="C66" s="657" t="s">
        <v>8</v>
      </c>
      <c r="D66" s="658">
        <f t="shared" ref="D66:G66" si="5">SUM(D64:D65)</f>
        <v>7101000</v>
      </c>
      <c r="E66" s="658">
        <f t="shared" si="5"/>
        <v>7486000</v>
      </c>
      <c r="F66" s="658">
        <f t="shared" si="5"/>
        <v>7813000</v>
      </c>
      <c r="G66" s="658">
        <f t="shared" si="5"/>
        <v>11023000</v>
      </c>
      <c r="H66" s="658">
        <f>SUM(H64:H65)</f>
        <v>11603000</v>
      </c>
      <c r="L66" s="208" t="s">
        <v>249</v>
      </c>
      <c r="M66" s="212"/>
      <c r="N66" s="212"/>
      <c r="O66" s="212"/>
      <c r="P66" s="212"/>
      <c r="Q66" s="212"/>
    </row>
    <row r="67" spans="1:17" ht="28">
      <c r="C67" s="210" t="s">
        <v>12</v>
      </c>
      <c r="D67" s="212">
        <v>-4663000</v>
      </c>
      <c r="E67" s="212">
        <v>-1222000</v>
      </c>
      <c r="F67" s="212">
        <v>-605000</v>
      </c>
      <c r="G67" s="212">
        <v>-3102000</v>
      </c>
      <c r="H67" s="212">
        <v>-155000</v>
      </c>
      <c r="K67" s="204" t="s">
        <v>500</v>
      </c>
      <c r="L67" s="657" t="s">
        <v>250</v>
      </c>
      <c r="M67" s="228">
        <v>791948</v>
      </c>
      <c r="N67" s="228">
        <v>503294</v>
      </c>
      <c r="O67" s="228">
        <v>208193</v>
      </c>
      <c r="P67" s="228">
        <v>172164</v>
      </c>
      <c r="Q67" s="228">
        <v>186462</v>
      </c>
    </row>
    <row r="68" spans="1:17" ht="28">
      <c r="C68" s="208" t="s">
        <v>13</v>
      </c>
      <c r="D68" s="215" t="s">
        <v>4</v>
      </c>
      <c r="E68" s="213">
        <v>-67.986999999999995</v>
      </c>
      <c r="F68" s="213">
        <v>-19.835000000000001</v>
      </c>
      <c r="G68" s="213">
        <v>-42.722000000000001</v>
      </c>
      <c r="H68" s="213">
        <v>-1.7989999999999999</v>
      </c>
      <c r="K68" s="204" t="s">
        <v>501</v>
      </c>
      <c r="L68" s="210" t="s">
        <v>251</v>
      </c>
      <c r="M68" s="228">
        <v>45627</v>
      </c>
      <c r="N68" s="228">
        <v>53009</v>
      </c>
      <c r="O68" s="228">
        <v>46489</v>
      </c>
      <c r="P68" s="228">
        <v>40801</v>
      </c>
      <c r="Q68" s="228">
        <v>31684</v>
      </c>
    </row>
    <row r="69" spans="1:17" ht="28">
      <c r="C69" s="208" t="s">
        <v>14</v>
      </c>
      <c r="D69" s="215" t="s">
        <v>4</v>
      </c>
      <c r="E69" s="213">
        <v>-13.137</v>
      </c>
      <c r="F69" s="213">
        <v>-11.099</v>
      </c>
      <c r="G69" s="213">
        <v>-16.533000000000001</v>
      </c>
      <c r="H69" s="213">
        <v>-0.83499999999999996</v>
      </c>
      <c r="L69" s="208" t="s">
        <v>252</v>
      </c>
      <c r="M69" s="235"/>
      <c r="N69" s="235"/>
      <c r="O69" s="235"/>
      <c r="P69" s="235"/>
      <c r="Q69" s="235"/>
    </row>
    <row r="70" spans="1:17" ht="28">
      <c r="C70" s="208" t="s">
        <v>15</v>
      </c>
      <c r="D70" s="214">
        <v>333.54330700000003</v>
      </c>
      <c r="E70" s="214">
        <v>312.252093</v>
      </c>
      <c r="F70" s="214">
        <v>229.95089999999999</v>
      </c>
      <c r="G70" s="214">
        <v>488.67837300000002</v>
      </c>
      <c r="H70" s="214">
        <v>677.19665299999997</v>
      </c>
      <c r="L70" s="208" t="s">
        <v>253</v>
      </c>
      <c r="M70" s="235"/>
      <c r="N70" s="235"/>
      <c r="O70" s="235"/>
      <c r="P70" s="235"/>
      <c r="Q70" s="235"/>
    </row>
    <row r="71" spans="1:17" ht="42">
      <c r="C71" s="659" t="s">
        <v>23</v>
      </c>
      <c r="D71" s="212">
        <v>-3140000</v>
      </c>
      <c r="E71" s="212">
        <v>1793000</v>
      </c>
      <c r="F71" s="212">
        <v>3035000</v>
      </c>
      <c r="G71" s="212">
        <v>6959000</v>
      </c>
      <c r="H71" s="212">
        <v>10063000</v>
      </c>
      <c r="L71" s="208" t="s">
        <v>254</v>
      </c>
      <c r="M71" s="235"/>
      <c r="N71" s="235"/>
      <c r="O71" s="235"/>
      <c r="P71" s="235"/>
      <c r="Q71" s="235"/>
    </row>
    <row r="72" spans="1:17" ht="18">
      <c r="K72" s="204" t="s">
        <v>502</v>
      </c>
      <c r="L72" s="659" t="s">
        <v>255</v>
      </c>
      <c r="M72" s="228">
        <v>346616</v>
      </c>
      <c r="N72" s="228">
        <v>282789</v>
      </c>
      <c r="O72" s="228">
        <v>305857</v>
      </c>
      <c r="P72" s="228">
        <v>288136</v>
      </c>
      <c r="Q72" s="228">
        <v>291218</v>
      </c>
    </row>
    <row r="73" spans="1:17">
      <c r="A73" s="217"/>
    </row>
    <row r="74" spans="1:17">
      <c r="C74" s="655"/>
      <c r="D74" s="219"/>
      <c r="E74" s="219"/>
      <c r="F74" s="219"/>
      <c r="G74" s="219"/>
      <c r="H74" s="219"/>
    </row>
    <row r="75" spans="1:17">
      <c r="C75" s="202"/>
      <c r="D75" s="216"/>
      <c r="E75" s="216"/>
      <c r="F75" s="216"/>
      <c r="G75" s="216"/>
      <c r="H75" s="216"/>
      <c r="J75" s="204"/>
      <c r="L75" s="655"/>
      <c r="M75" s="655"/>
      <c r="N75" s="219"/>
      <c r="O75" s="219"/>
      <c r="P75" s="219"/>
      <c r="Q75" s="219"/>
    </row>
    <row r="76" spans="1:17" ht="18">
      <c r="C76" s="655"/>
      <c r="D76" s="655"/>
      <c r="E76" s="655"/>
      <c r="F76" s="655"/>
      <c r="G76" s="655"/>
      <c r="H76" s="655"/>
      <c r="K76" s="204"/>
      <c r="L76" s="202"/>
      <c r="M76" s="228"/>
      <c r="N76" s="228"/>
      <c r="O76" s="228"/>
      <c r="P76" s="228"/>
      <c r="Q76" s="228"/>
    </row>
    <row r="77" spans="1:17">
      <c r="C77" s="211"/>
      <c r="D77" s="212"/>
      <c r="E77" s="212"/>
      <c r="F77" s="212"/>
      <c r="G77" s="212"/>
      <c r="H77" s="212"/>
      <c r="L77" s="655"/>
      <c r="M77" s="234"/>
      <c r="N77" s="234"/>
      <c r="O77" s="234"/>
      <c r="P77" s="234"/>
      <c r="Q77" s="234"/>
    </row>
    <row r="78" spans="1:17" ht="18">
      <c r="C78" s="208"/>
      <c r="D78" s="212"/>
      <c r="E78" s="212"/>
      <c r="F78" s="212"/>
      <c r="G78" s="212"/>
      <c r="H78" s="212"/>
      <c r="K78" s="204"/>
      <c r="L78" s="211"/>
      <c r="M78" s="228"/>
      <c r="N78" s="228"/>
      <c r="O78" s="228"/>
      <c r="P78" s="228"/>
      <c r="Q78" s="228"/>
    </row>
    <row r="79" spans="1:17">
      <c r="C79" s="208"/>
      <c r="D79" s="212"/>
      <c r="E79" s="212"/>
      <c r="F79" s="212"/>
      <c r="G79" s="212"/>
      <c r="H79" s="212"/>
      <c r="L79" s="208"/>
      <c r="M79" s="212"/>
      <c r="N79" s="212"/>
      <c r="O79" s="212"/>
      <c r="P79" s="212"/>
      <c r="Q79" s="212"/>
    </row>
    <row r="80" spans="1:17">
      <c r="C80" s="657"/>
      <c r="D80" s="658"/>
      <c r="E80" s="658"/>
      <c r="F80" s="658"/>
      <c r="G80" s="658"/>
      <c r="H80" s="658"/>
      <c r="L80" s="208"/>
      <c r="M80" s="212"/>
      <c r="N80" s="212"/>
      <c r="O80" s="212"/>
      <c r="P80" s="212"/>
      <c r="Q80" s="212"/>
    </row>
    <row r="81" spans="1:17" ht="18">
      <c r="C81" s="210"/>
      <c r="D81" s="212"/>
      <c r="E81" s="212"/>
      <c r="F81" s="212"/>
      <c r="G81" s="212"/>
      <c r="H81" s="212"/>
      <c r="K81" s="204"/>
      <c r="L81" s="657"/>
      <c r="M81" s="228"/>
      <c r="N81" s="228"/>
      <c r="O81" s="228"/>
      <c r="P81" s="228"/>
      <c r="Q81" s="228"/>
    </row>
    <row r="82" spans="1:17" ht="18">
      <c r="C82" s="208"/>
      <c r="D82" s="44"/>
      <c r="E82" s="223"/>
      <c r="F82" s="223"/>
      <c r="G82" s="213"/>
      <c r="H82" s="213"/>
      <c r="K82" s="204"/>
      <c r="L82" s="210"/>
      <c r="M82" s="228"/>
      <c r="N82" s="228"/>
      <c r="O82" s="228"/>
      <c r="P82" s="228"/>
      <c r="Q82" s="228"/>
    </row>
    <row r="83" spans="1:17">
      <c r="C83" s="208"/>
      <c r="D83" s="213"/>
      <c r="E83" s="213"/>
      <c r="F83" s="213"/>
      <c r="G83" s="213"/>
      <c r="H83" s="213"/>
      <c r="L83" s="208"/>
      <c r="M83" s="235"/>
      <c r="N83" s="235"/>
      <c r="O83" s="235"/>
      <c r="P83" s="235"/>
      <c r="Q83" s="235"/>
    </row>
    <row r="84" spans="1:17">
      <c r="C84" s="208"/>
      <c r="D84" s="46"/>
      <c r="E84" s="47"/>
      <c r="F84" s="224"/>
      <c r="G84" s="214"/>
      <c r="H84" s="214"/>
      <c r="L84" s="208"/>
      <c r="M84" s="235"/>
      <c r="N84" s="235"/>
      <c r="O84" s="235"/>
      <c r="P84" s="235"/>
      <c r="Q84" s="235"/>
    </row>
    <row r="85" spans="1:17">
      <c r="C85" s="659"/>
      <c r="D85" s="212"/>
      <c r="E85" s="212"/>
      <c r="F85" s="212"/>
      <c r="G85" s="212"/>
      <c r="H85" s="212"/>
      <c r="L85" s="208"/>
      <c r="M85" s="235"/>
      <c r="N85" s="235"/>
      <c r="O85" s="235"/>
      <c r="P85" s="235"/>
      <c r="Q85" s="235"/>
    </row>
    <row r="86" spans="1:17" ht="18">
      <c r="K86" s="204"/>
      <c r="L86" s="659"/>
      <c r="M86" s="228"/>
      <c r="N86" s="228"/>
      <c r="O86" s="228"/>
      <c r="P86" s="228"/>
      <c r="Q86" s="228"/>
    </row>
    <row r="88" spans="1:17">
      <c r="M88" s="702"/>
    </row>
    <row r="89" spans="1:17">
      <c r="A89" s="204" t="s">
        <v>188</v>
      </c>
      <c r="J89" s="656" t="s">
        <v>653</v>
      </c>
    </row>
    <row r="90" spans="1:17">
      <c r="A90" s="236">
        <v>1</v>
      </c>
      <c r="C90" s="655"/>
      <c r="D90" s="219" t="s">
        <v>159</v>
      </c>
      <c r="E90" s="219" t="s">
        <v>160</v>
      </c>
      <c r="F90" s="219" t="s">
        <v>161</v>
      </c>
      <c r="G90" s="219" t="s">
        <v>162</v>
      </c>
      <c r="J90" s="656" t="s">
        <v>199</v>
      </c>
      <c r="L90" s="655"/>
      <c r="M90" s="655">
        <v>2021</v>
      </c>
      <c r="N90" s="219" t="s">
        <v>159</v>
      </c>
      <c r="O90" s="219" t="s">
        <v>160</v>
      </c>
      <c r="P90" s="219" t="s">
        <v>164</v>
      </c>
      <c r="Q90" s="219" t="s">
        <v>162</v>
      </c>
    </row>
    <row r="91" spans="1:17" ht="18">
      <c r="C91" s="202" t="s">
        <v>1</v>
      </c>
      <c r="D91" s="498">
        <v>168694251.27008599</v>
      </c>
      <c r="E91" s="498">
        <v>152735191.86939999</v>
      </c>
      <c r="F91" s="498">
        <v>171355926.12232301</v>
      </c>
      <c r="G91" s="498">
        <v>188440682.92336199</v>
      </c>
      <c r="H91" s="216"/>
      <c r="K91" s="204" t="s">
        <v>151</v>
      </c>
      <c r="L91" s="202" t="s">
        <v>246</v>
      </c>
      <c r="M91" s="456">
        <v>9015000</v>
      </c>
      <c r="N91" s="456">
        <v>9377000</v>
      </c>
      <c r="O91" s="456">
        <v>10242000</v>
      </c>
      <c r="P91" s="456">
        <v>7661000</v>
      </c>
      <c r="Q91" s="456">
        <v>7695000</v>
      </c>
    </row>
    <row r="92" spans="1:17">
      <c r="C92" s="655"/>
      <c r="D92" s="655"/>
      <c r="E92" s="655"/>
      <c r="F92" s="655"/>
      <c r="G92" s="655"/>
      <c r="H92" s="655"/>
      <c r="L92" s="655"/>
      <c r="M92" s="458"/>
      <c r="N92" s="458"/>
      <c r="O92" s="458"/>
      <c r="P92" s="458"/>
      <c r="Q92" s="458"/>
    </row>
    <row r="93" spans="1:17" ht="42">
      <c r="C93" s="211" t="s">
        <v>11</v>
      </c>
      <c r="D93" s="570">
        <v>53915707.887604803</v>
      </c>
      <c r="E93" s="570">
        <v>26925740.009963501</v>
      </c>
      <c r="F93" s="570">
        <v>26342117.3409671</v>
      </c>
      <c r="G93" s="570">
        <v>30912545.8118916</v>
      </c>
      <c r="H93" s="212"/>
      <c r="K93" s="204" t="s">
        <v>499</v>
      </c>
      <c r="L93" s="211" t="s">
        <v>247</v>
      </c>
      <c r="M93" s="456">
        <v>10006000</v>
      </c>
      <c r="N93" s="456">
        <v>10423000</v>
      </c>
      <c r="O93" s="456">
        <v>8992000</v>
      </c>
      <c r="P93" s="456">
        <v>9475000</v>
      </c>
      <c r="Q93" s="456">
        <v>8709000</v>
      </c>
    </row>
    <row r="94" spans="1:17" ht="42">
      <c r="C94" s="208" t="s">
        <v>2</v>
      </c>
      <c r="D94" s="570">
        <v>58618404.133543402</v>
      </c>
      <c r="E94" s="570">
        <v>57051024.402350202</v>
      </c>
      <c r="F94" s="570">
        <v>57763636.286169298</v>
      </c>
      <c r="G94" s="570">
        <v>61137637.296766102</v>
      </c>
      <c r="H94" s="212"/>
      <c r="L94" s="208" t="s">
        <v>248</v>
      </c>
      <c r="M94" s="214"/>
      <c r="N94" s="214"/>
      <c r="O94" s="214"/>
      <c r="P94" s="214"/>
      <c r="Q94" s="214"/>
    </row>
    <row r="95" spans="1:17" ht="28">
      <c r="C95" s="208" t="s">
        <v>3</v>
      </c>
      <c r="D95" s="570">
        <v>48113597.836151697</v>
      </c>
      <c r="E95" s="570">
        <v>40548291.106507197</v>
      </c>
      <c r="F95" s="570">
        <v>58571346.296593502</v>
      </c>
      <c r="G95" s="570">
        <v>66980755.471050702</v>
      </c>
      <c r="H95" s="212"/>
      <c r="L95" s="208" t="s">
        <v>249</v>
      </c>
      <c r="M95" s="214"/>
      <c r="N95" s="214"/>
      <c r="O95" s="214"/>
      <c r="P95" s="214"/>
      <c r="Q95" s="214"/>
    </row>
    <row r="96" spans="1:17" ht="18">
      <c r="C96" s="657" t="s">
        <v>8</v>
      </c>
      <c r="D96" s="658">
        <f t="shared" ref="D96:F96" si="6">SUM(D94:D95)</f>
        <v>106732001.96969509</v>
      </c>
      <c r="E96" s="658">
        <f t="shared" si="6"/>
        <v>97599315.508857399</v>
      </c>
      <c r="F96" s="658">
        <f t="shared" si="6"/>
        <v>116334982.58276281</v>
      </c>
      <c r="G96" s="658">
        <f>SUM(G94:G95)</f>
        <v>128118392.76781681</v>
      </c>
      <c r="H96" s="658"/>
      <c r="J96" s="200">
        <v>194000</v>
      </c>
      <c r="K96" s="204" t="s">
        <v>500</v>
      </c>
      <c r="L96" s="657" t="s">
        <v>250</v>
      </c>
      <c r="M96" s="456">
        <v>5262000</v>
      </c>
      <c r="N96" s="456">
        <v>5190000</v>
      </c>
      <c r="O96" s="456">
        <v>6416000</v>
      </c>
      <c r="P96" s="456">
        <v>3953000</v>
      </c>
      <c r="Q96" s="456">
        <v>3849000</v>
      </c>
    </row>
    <row r="97" spans="1:27" ht="28">
      <c r="C97" s="210" t="s">
        <v>12</v>
      </c>
      <c r="D97" s="212">
        <v>20229307.8081012</v>
      </c>
      <c r="E97" s="212">
        <v>22956377.868719399</v>
      </c>
      <c r="F97" s="212">
        <v>26047065.557703398</v>
      </c>
      <c r="G97" s="212">
        <v>29489159.6911401</v>
      </c>
      <c r="H97" s="212"/>
      <c r="K97" s="204" t="s">
        <v>501</v>
      </c>
      <c r="L97" s="210" t="s">
        <v>251</v>
      </c>
      <c r="M97" s="456">
        <v>194000</v>
      </c>
      <c r="N97" s="456">
        <v>126000</v>
      </c>
      <c r="O97" s="456">
        <v>-327000</v>
      </c>
      <c r="P97" s="456">
        <v>237000</v>
      </c>
      <c r="Q97" s="456">
        <v>512000</v>
      </c>
    </row>
    <row r="98" spans="1:27" ht="28">
      <c r="C98" s="208" t="s">
        <v>13</v>
      </c>
      <c r="D98" s="213">
        <v>32.648000000000003</v>
      </c>
      <c r="E98" s="213">
        <v>41.636000000000003</v>
      </c>
      <c r="F98" s="213">
        <v>47.34</v>
      </c>
      <c r="G98" s="213">
        <v>48.886000000000003</v>
      </c>
      <c r="H98" s="213"/>
      <c r="L98" s="208" t="s">
        <v>252</v>
      </c>
      <c r="M98" s="214"/>
      <c r="N98" s="214"/>
      <c r="O98" s="214"/>
      <c r="P98" s="214"/>
      <c r="Q98" s="214"/>
    </row>
    <row r="99" spans="1:27" ht="28">
      <c r="C99" s="208" t="s">
        <v>14</v>
      </c>
      <c r="D99" s="213">
        <v>11.992000000000001</v>
      </c>
      <c r="E99" s="213">
        <v>15.03</v>
      </c>
      <c r="F99" s="213">
        <v>15.201000000000001</v>
      </c>
      <c r="G99" s="213">
        <v>15.648999999999999</v>
      </c>
      <c r="H99" s="213"/>
      <c r="L99" s="208" t="s">
        <v>253</v>
      </c>
      <c r="M99" s="214"/>
      <c r="N99" s="214"/>
      <c r="O99" s="214"/>
      <c r="P99" s="214"/>
      <c r="Q99" s="214"/>
    </row>
    <row r="100" spans="1:27" ht="42">
      <c r="C100" s="208" t="s">
        <v>15</v>
      </c>
      <c r="D100" s="214">
        <v>619.72078034020501</v>
      </c>
      <c r="E100" s="214">
        <v>345.20179501413401</v>
      </c>
      <c r="F100" s="214">
        <v>325.21132522553802</v>
      </c>
      <c r="G100" s="214">
        <v>386.40682264864398</v>
      </c>
      <c r="H100" s="214"/>
      <c r="L100" s="208" t="s">
        <v>254</v>
      </c>
      <c r="M100" s="214"/>
      <c r="N100" s="214"/>
      <c r="O100" s="214"/>
      <c r="P100" s="214"/>
      <c r="Q100" s="214"/>
    </row>
    <row r="101" spans="1:27" ht="18">
      <c r="C101" s="659" t="s">
        <v>23</v>
      </c>
      <c r="D101" s="212">
        <v>61962249.300390497</v>
      </c>
      <c r="E101" s="212">
        <v>55135876.360543102</v>
      </c>
      <c r="F101" s="212">
        <v>55020943.539559796</v>
      </c>
      <c r="G101" s="212">
        <v>60322290.155544899</v>
      </c>
      <c r="H101" s="212"/>
      <c r="K101" s="204" t="s">
        <v>502</v>
      </c>
      <c r="L101" s="659" t="s">
        <v>255</v>
      </c>
      <c r="M101" s="456">
        <v>3753000</v>
      </c>
      <c r="N101" s="456">
        <v>4185000</v>
      </c>
      <c r="O101" s="456">
        <v>3826000</v>
      </c>
      <c r="P101" s="456">
        <v>3710000</v>
      </c>
      <c r="Q101" s="456">
        <v>3846000</v>
      </c>
    </row>
    <row r="104" spans="1:27">
      <c r="A104" s="204" t="s">
        <v>189</v>
      </c>
      <c r="J104" s="656" t="s">
        <v>654</v>
      </c>
      <c r="T104" s="656" t="s">
        <v>655</v>
      </c>
    </row>
    <row r="105" spans="1:27">
      <c r="A105" s="236">
        <v>1</v>
      </c>
      <c r="C105" s="655"/>
      <c r="D105" s="655" t="s">
        <v>163</v>
      </c>
      <c r="E105" s="655" t="s">
        <v>159</v>
      </c>
      <c r="F105" s="219" t="s">
        <v>160</v>
      </c>
      <c r="G105" s="219" t="s">
        <v>164</v>
      </c>
      <c r="H105" s="219" t="s">
        <v>162</v>
      </c>
      <c r="J105" s="656" t="s">
        <v>561</v>
      </c>
      <c r="L105" s="655"/>
      <c r="M105" s="655">
        <v>2021</v>
      </c>
      <c r="N105" s="219" t="s">
        <v>159</v>
      </c>
      <c r="O105" s="219" t="s">
        <v>160</v>
      </c>
      <c r="P105" s="219" t="s">
        <v>164</v>
      </c>
      <c r="Q105" s="219" t="s">
        <v>162</v>
      </c>
      <c r="T105" s="656" t="s">
        <v>561</v>
      </c>
      <c r="V105" s="655"/>
      <c r="W105" s="655">
        <v>2021</v>
      </c>
      <c r="X105" s="219" t="s">
        <v>159</v>
      </c>
      <c r="Y105" s="219" t="s">
        <v>160</v>
      </c>
      <c r="Z105" s="219" t="s">
        <v>164</v>
      </c>
      <c r="AA105" s="219" t="s">
        <v>162</v>
      </c>
    </row>
    <row r="106" spans="1:27">
      <c r="C106" s="202" t="s">
        <v>1</v>
      </c>
      <c r="D106" s="216">
        <v>6635912.03625526</v>
      </c>
      <c r="E106" s="216">
        <v>6565456.1046869503</v>
      </c>
      <c r="F106" s="216">
        <v>5587974.53725091</v>
      </c>
      <c r="G106" s="216">
        <v>6662690.4398563504</v>
      </c>
      <c r="H106" s="216">
        <v>6277076.0324651496</v>
      </c>
      <c r="K106" s="204" t="s">
        <v>151</v>
      </c>
      <c r="L106" s="202" t="s">
        <v>246</v>
      </c>
      <c r="M106" s="216">
        <v>22544783.871658102</v>
      </c>
      <c r="N106" s="216">
        <v>22029542.228817899</v>
      </c>
      <c r="O106" s="216">
        <v>18982004.338011101</v>
      </c>
      <c r="P106" s="216">
        <v>18492980.4124832</v>
      </c>
      <c r="Q106" s="216">
        <v>18666747.950509202</v>
      </c>
      <c r="U106" s="204" t="s">
        <v>151</v>
      </c>
      <c r="V106" s="202" t="s">
        <v>246</v>
      </c>
      <c r="W106" s="216">
        <v>13512471.2304771</v>
      </c>
      <c r="X106" s="216">
        <v>13751230.5991948</v>
      </c>
      <c r="Y106" s="216">
        <v>12702049.968153199</v>
      </c>
      <c r="Z106" s="216">
        <v>12215880.305826699</v>
      </c>
      <c r="AA106" s="216">
        <v>11837515.277370799</v>
      </c>
    </row>
    <row r="107" spans="1:27">
      <c r="C107" s="655"/>
      <c r="D107" s="655"/>
      <c r="E107" s="655"/>
      <c r="F107" s="655"/>
      <c r="G107" s="655"/>
      <c r="H107" s="655"/>
      <c r="L107" s="655"/>
      <c r="M107" s="234"/>
      <c r="N107" s="234"/>
      <c r="O107" s="234"/>
      <c r="P107" s="234"/>
      <c r="Q107" s="234"/>
      <c r="V107" s="655"/>
      <c r="W107" s="234"/>
      <c r="X107" s="234"/>
      <c r="Y107" s="234"/>
      <c r="Z107" s="234"/>
      <c r="AA107" s="234"/>
    </row>
    <row r="108" spans="1:27" ht="42">
      <c r="A108" s="222" t="s">
        <v>190</v>
      </c>
      <c r="C108" s="211" t="s">
        <v>11</v>
      </c>
      <c r="D108" s="212">
        <v>78454.759438030407</v>
      </c>
      <c r="E108" s="212">
        <v>84950.759851783499</v>
      </c>
      <c r="F108" s="212">
        <v>118767.99408146</v>
      </c>
      <c r="G108" s="212">
        <v>117525.31629808201</v>
      </c>
      <c r="H108" s="212">
        <v>120860.049252354</v>
      </c>
      <c r="K108" s="204" t="s">
        <v>499</v>
      </c>
      <c r="L108" s="211" t="s">
        <v>247</v>
      </c>
      <c r="M108" s="212">
        <v>317233.55011642003</v>
      </c>
      <c r="N108" s="212">
        <v>323446.65060937399</v>
      </c>
      <c r="O108" s="212">
        <v>306036.44295781897</v>
      </c>
      <c r="P108" s="212">
        <v>276524.740710855</v>
      </c>
      <c r="Q108" s="212">
        <v>270889.16075229598</v>
      </c>
      <c r="U108" s="204" t="s">
        <v>499</v>
      </c>
      <c r="V108" s="211" t="s">
        <v>247</v>
      </c>
      <c r="W108" s="212">
        <v>228344.664022326</v>
      </c>
      <c r="X108" s="212">
        <v>242438.44634294501</v>
      </c>
      <c r="Y108" s="212">
        <v>238838.26605230599</v>
      </c>
      <c r="Z108" s="212">
        <v>218181.817889214</v>
      </c>
      <c r="AA108" s="212">
        <v>215590.743944049</v>
      </c>
    </row>
    <row r="109" spans="1:27">
      <c r="C109" s="208" t="s">
        <v>165</v>
      </c>
      <c r="D109" s="212">
        <v>504500.21089515102</v>
      </c>
      <c r="E109" s="212">
        <v>489950.74953198398</v>
      </c>
      <c r="F109" s="212">
        <v>406848.17300840502</v>
      </c>
      <c r="G109" s="212">
        <v>504535.67251093697</v>
      </c>
      <c r="H109" s="212">
        <v>474984.41134495998</v>
      </c>
      <c r="L109" s="208" t="s">
        <v>105</v>
      </c>
      <c r="M109" s="212">
        <v>2635033.9307561498</v>
      </c>
      <c r="N109" s="212">
        <v>2498241.4369285102</v>
      </c>
      <c r="O109" s="212">
        <v>2325740.2922213101</v>
      </c>
      <c r="P109" s="212">
        <v>2150287.68411279</v>
      </c>
      <c r="Q109" s="212">
        <v>2132764.9302035598</v>
      </c>
      <c r="V109" s="208" t="s">
        <v>105</v>
      </c>
      <c r="W109" s="212">
        <v>1888095.17873079</v>
      </c>
      <c r="X109" s="212">
        <v>1761078.5014331299</v>
      </c>
      <c r="Y109" s="212">
        <v>1614122.98831344</v>
      </c>
      <c r="Z109" s="212">
        <v>1502646.71835303</v>
      </c>
      <c r="AA109" s="212">
        <v>1498051.1637106501</v>
      </c>
    </row>
    <row r="110" spans="1:27">
      <c r="C110" s="208" t="s">
        <v>166</v>
      </c>
      <c r="D110" s="216">
        <v>6635912.03625526</v>
      </c>
      <c r="E110" s="216">
        <v>6565456.1046869503</v>
      </c>
      <c r="F110" s="216">
        <v>5587974.53725091</v>
      </c>
      <c r="G110" s="216">
        <v>6662690.4398563504</v>
      </c>
      <c r="H110" s="216">
        <v>6277076.0324651496</v>
      </c>
      <c r="L110" s="208" t="s">
        <v>656</v>
      </c>
      <c r="M110" s="216">
        <v>22544783.871658102</v>
      </c>
      <c r="N110" s="216">
        <v>22029542.228817899</v>
      </c>
      <c r="O110" s="216">
        <v>18982004.338011101</v>
      </c>
      <c r="P110" s="216">
        <v>18492980.4124832</v>
      </c>
      <c r="Q110" s="216">
        <v>18666747.950509202</v>
      </c>
      <c r="V110" s="208" t="s">
        <v>656</v>
      </c>
      <c r="W110" s="216">
        <v>13512471.2304771</v>
      </c>
      <c r="X110" s="216">
        <v>13751230.5991948</v>
      </c>
      <c r="Y110" s="216">
        <v>12702049.968153199</v>
      </c>
      <c r="Z110" s="216">
        <v>12215880.305826699</v>
      </c>
      <c r="AA110" s="216">
        <v>11837515.277370799</v>
      </c>
    </row>
    <row r="111" spans="1:27" ht="18">
      <c r="C111" s="657" t="s">
        <v>8</v>
      </c>
      <c r="D111" s="658">
        <f>D110-D109</f>
        <v>6131411.8253601091</v>
      </c>
      <c r="E111" s="658">
        <f t="shared" ref="E111:H111" si="7">E110-E109</f>
        <v>6075505.355154966</v>
      </c>
      <c r="F111" s="658">
        <f t="shared" si="7"/>
        <v>5181126.3642425053</v>
      </c>
      <c r="G111" s="658">
        <f t="shared" si="7"/>
        <v>6158154.7673454136</v>
      </c>
      <c r="H111" s="658">
        <f t="shared" si="7"/>
        <v>5802091.6211201893</v>
      </c>
      <c r="K111" s="204" t="s">
        <v>500</v>
      </c>
      <c r="L111" s="657" t="s">
        <v>250</v>
      </c>
      <c r="M111" s="662">
        <f>M110-M109</f>
        <v>19909749.94090195</v>
      </c>
      <c r="N111" s="662">
        <f t="shared" ref="N111:Q111" si="8">N110-N109</f>
        <v>19531300.791889388</v>
      </c>
      <c r="O111" s="662">
        <f t="shared" si="8"/>
        <v>16656264.045789791</v>
      </c>
      <c r="P111" s="662">
        <f t="shared" si="8"/>
        <v>16342692.728370409</v>
      </c>
      <c r="Q111" s="662">
        <f t="shared" si="8"/>
        <v>16533983.020305641</v>
      </c>
      <c r="U111" s="204" t="s">
        <v>500</v>
      </c>
      <c r="V111" s="657" t="s">
        <v>250</v>
      </c>
      <c r="W111" s="662">
        <f>W110-W109</f>
        <v>11624376.051746311</v>
      </c>
      <c r="X111" s="662">
        <f t="shared" ref="X111:AA111" si="9">X110-X109</f>
        <v>11990152.09776167</v>
      </c>
      <c r="Y111" s="662">
        <f t="shared" si="9"/>
        <v>11087926.979839759</v>
      </c>
      <c r="Z111" s="662">
        <f t="shared" si="9"/>
        <v>10713233.58747367</v>
      </c>
      <c r="AA111" s="662">
        <f t="shared" si="9"/>
        <v>10339464.113660149</v>
      </c>
    </row>
    <row r="112" spans="1:27" ht="28">
      <c r="C112" s="210" t="s">
        <v>12</v>
      </c>
      <c r="D112" s="212">
        <v>30935.033040963099</v>
      </c>
      <c r="E112" s="212">
        <v>25912.895002082001</v>
      </c>
      <c r="F112" s="212">
        <v>27130.068025842302</v>
      </c>
      <c r="G112" s="212">
        <v>38535.903285488501</v>
      </c>
      <c r="H112" s="212">
        <v>55920.463096000298</v>
      </c>
      <c r="K112" s="204" t="s">
        <v>501</v>
      </c>
      <c r="L112" s="210" t="s">
        <v>251</v>
      </c>
      <c r="M112" s="212">
        <v>330158.71977806097</v>
      </c>
      <c r="N112" s="212">
        <v>232004.68342006201</v>
      </c>
      <c r="O112" s="212">
        <v>291913.436286151</v>
      </c>
      <c r="P112" s="212">
        <v>240506.32879137999</v>
      </c>
      <c r="Q112" s="212">
        <v>222533.49671512801</v>
      </c>
      <c r="U112" s="204" t="s">
        <v>501</v>
      </c>
      <c r="V112" s="210" t="s">
        <v>251</v>
      </c>
      <c r="W112" s="212">
        <v>260204.073451459</v>
      </c>
      <c r="X112" s="212">
        <v>204220.39338946299</v>
      </c>
      <c r="Y112" s="212">
        <v>234851.933524013</v>
      </c>
      <c r="Z112" s="212">
        <v>177445.33923268301</v>
      </c>
      <c r="AA112" s="212">
        <v>175395.859479904</v>
      </c>
    </row>
    <row r="113" spans="1:27" ht="28">
      <c r="C113" s="208" t="s">
        <v>13</v>
      </c>
      <c r="D113" s="213">
        <v>6.3239746287280001</v>
      </c>
      <c r="E113" s="213">
        <v>5.7031452483400003</v>
      </c>
      <c r="F113" s="213">
        <v>5.9875760097789996</v>
      </c>
      <c r="G113" s="213">
        <v>8.0848745605550008</v>
      </c>
      <c r="H113" s="213">
        <v>12.998374307835</v>
      </c>
      <c r="L113" s="208" t="s">
        <v>252</v>
      </c>
      <c r="M113" s="235"/>
      <c r="N113" s="235"/>
      <c r="O113" s="235"/>
      <c r="P113" s="235"/>
      <c r="Q113" s="235"/>
      <c r="V113" s="208" t="s">
        <v>252</v>
      </c>
      <c r="W113" s="235"/>
      <c r="X113" s="235"/>
      <c r="Y113" s="235"/>
      <c r="Z113" s="235"/>
      <c r="AA113" s="235"/>
    </row>
    <row r="114" spans="1:27" ht="28">
      <c r="C114" s="208" t="s">
        <v>14</v>
      </c>
      <c r="D114" s="213">
        <v>0.47645512234100001</v>
      </c>
      <c r="E114" s="213">
        <v>0.42075934558299999</v>
      </c>
      <c r="F114" s="213">
        <v>0.44539890480099997</v>
      </c>
      <c r="G114" s="213">
        <v>0.61201875760699997</v>
      </c>
      <c r="H114" s="213">
        <v>0.95386933032999999</v>
      </c>
      <c r="L114" s="208" t="s">
        <v>253</v>
      </c>
      <c r="M114" s="235"/>
      <c r="N114" s="235"/>
      <c r="O114" s="235"/>
      <c r="P114" s="235"/>
      <c r="Q114" s="235"/>
      <c r="V114" s="208" t="s">
        <v>253</v>
      </c>
      <c r="W114" s="235"/>
      <c r="X114" s="235"/>
      <c r="Y114" s="235"/>
      <c r="Z114" s="235"/>
      <c r="AA114" s="235"/>
    </row>
    <row r="115" spans="1:27" ht="42">
      <c r="C115" s="208" t="s">
        <v>15</v>
      </c>
      <c r="D115" s="214" t="s">
        <v>22</v>
      </c>
      <c r="E115" s="214" t="s">
        <v>22</v>
      </c>
      <c r="F115" s="214" t="s">
        <v>22</v>
      </c>
      <c r="G115" s="214" t="s">
        <v>22</v>
      </c>
      <c r="H115" s="214" t="s">
        <v>22</v>
      </c>
      <c r="I115" s="214"/>
      <c r="L115" s="208" t="s">
        <v>254</v>
      </c>
      <c r="M115" s="235"/>
      <c r="N115" s="235"/>
      <c r="O115" s="235"/>
      <c r="P115" s="235"/>
      <c r="Q115" s="235"/>
      <c r="V115" s="208" t="s">
        <v>254</v>
      </c>
      <c r="W115" s="235"/>
      <c r="X115" s="235"/>
      <c r="Y115" s="235"/>
      <c r="Z115" s="235"/>
      <c r="AA115" s="235"/>
    </row>
    <row r="116" spans="1:27" ht="18">
      <c r="C116" s="659" t="s">
        <v>23</v>
      </c>
      <c r="D116" s="214" t="s">
        <v>22</v>
      </c>
      <c r="E116" s="214" t="s">
        <v>22</v>
      </c>
      <c r="F116" s="214" t="s">
        <v>22</v>
      </c>
      <c r="G116" s="214" t="s">
        <v>22</v>
      </c>
      <c r="H116" s="214" t="s">
        <v>22</v>
      </c>
      <c r="K116" s="204" t="s">
        <v>502</v>
      </c>
      <c r="L116" s="659" t="s">
        <v>255</v>
      </c>
      <c r="M116" s="228">
        <v>23241000</v>
      </c>
      <c r="N116" s="228">
        <v>21310000</v>
      </c>
      <c r="O116" s="228">
        <v>20418000</v>
      </c>
      <c r="P116" s="228">
        <v>18686000</v>
      </c>
      <c r="Q116" s="228">
        <v>17509798</v>
      </c>
      <c r="U116" s="204" t="s">
        <v>502</v>
      </c>
      <c r="V116" s="659" t="s">
        <v>255</v>
      </c>
      <c r="W116" s="228">
        <v>16653000</v>
      </c>
      <c r="X116" s="228">
        <v>15022000</v>
      </c>
      <c r="Y116" s="228">
        <v>14172000</v>
      </c>
      <c r="Z116" s="228">
        <v>13058000</v>
      </c>
      <c r="AA116" s="228">
        <v>12299000</v>
      </c>
    </row>
    <row r="119" spans="1:27">
      <c r="T119" s="656" t="s">
        <v>657</v>
      </c>
    </row>
    <row r="120" spans="1:27">
      <c r="A120" s="204" t="s">
        <v>191</v>
      </c>
      <c r="C120" s="655"/>
      <c r="D120" s="655">
        <v>2015</v>
      </c>
      <c r="E120" s="219" t="s">
        <v>167</v>
      </c>
      <c r="F120" s="219" t="s">
        <v>168</v>
      </c>
      <c r="G120" s="219" t="s">
        <v>169</v>
      </c>
      <c r="H120" s="219" t="s">
        <v>170</v>
      </c>
      <c r="J120" s="656" t="s">
        <v>548</v>
      </c>
      <c r="T120" s="656" t="s">
        <v>199</v>
      </c>
      <c r="U120" s="655"/>
      <c r="V120" s="655">
        <v>2015</v>
      </c>
      <c r="W120" s="219" t="s">
        <v>167</v>
      </c>
      <c r="X120" s="219" t="s">
        <v>168</v>
      </c>
      <c r="Y120" s="219" t="s">
        <v>169</v>
      </c>
      <c r="Z120" s="219" t="s">
        <v>170</v>
      </c>
    </row>
    <row r="121" spans="1:27" ht="18">
      <c r="A121" s="222" t="s">
        <v>192</v>
      </c>
      <c r="C121" s="202" t="s">
        <v>1</v>
      </c>
      <c r="D121" s="498">
        <v>391444239.74499798</v>
      </c>
      <c r="E121" s="498">
        <v>453454432.85703701</v>
      </c>
      <c r="F121" s="498">
        <v>455240898.45453697</v>
      </c>
      <c r="G121" s="498">
        <v>379195546.47265702</v>
      </c>
      <c r="H121" s="498">
        <v>308724543.093225</v>
      </c>
      <c r="J121" s="656" t="s">
        <v>199</v>
      </c>
      <c r="L121" s="655"/>
      <c r="M121" s="655">
        <v>2015</v>
      </c>
      <c r="N121" s="219" t="s">
        <v>167</v>
      </c>
      <c r="O121" s="219" t="s">
        <v>168</v>
      </c>
      <c r="P121" s="219" t="s">
        <v>169</v>
      </c>
      <c r="Q121" s="219" t="s">
        <v>170</v>
      </c>
      <c r="U121" s="202" t="s">
        <v>246</v>
      </c>
      <c r="V121" s="228">
        <v>3025503</v>
      </c>
      <c r="W121" s="228">
        <v>2411477</v>
      </c>
      <c r="X121" s="228">
        <v>2224626</v>
      </c>
      <c r="Y121" s="228">
        <v>2350345</v>
      </c>
      <c r="Z121" s="228">
        <v>3528833</v>
      </c>
    </row>
    <row r="122" spans="1:27" ht="18">
      <c r="A122" s="236">
        <v>1</v>
      </c>
      <c r="C122" s="655"/>
      <c r="D122" s="655"/>
      <c r="E122" s="655"/>
      <c r="F122" s="655"/>
      <c r="G122" s="655"/>
      <c r="H122" s="655"/>
      <c r="K122" s="204" t="s">
        <v>151</v>
      </c>
      <c r="L122" s="202" t="s">
        <v>246</v>
      </c>
      <c r="M122" s="228">
        <v>7317000</v>
      </c>
      <c r="N122" s="228">
        <v>6624700</v>
      </c>
      <c r="O122" s="228">
        <v>5623200</v>
      </c>
      <c r="P122" s="228">
        <v>5159000</v>
      </c>
      <c r="Q122" s="228">
        <v>3999400</v>
      </c>
      <c r="U122" s="655"/>
      <c r="V122" s="234"/>
      <c r="W122" s="234"/>
      <c r="X122" s="234"/>
      <c r="Y122" s="234"/>
      <c r="Z122" s="234"/>
    </row>
    <row r="123" spans="1:27" ht="42">
      <c r="C123" s="211" t="s">
        <v>11</v>
      </c>
      <c r="D123" s="570">
        <v>7681866.7759008398</v>
      </c>
      <c r="E123" s="570">
        <v>4172863.7171391202</v>
      </c>
      <c r="F123" s="570">
        <v>4413119.8592290003</v>
      </c>
      <c r="G123" s="570">
        <v>4485959.7778755398</v>
      </c>
      <c r="H123" s="570">
        <v>4011090.1006414001</v>
      </c>
      <c r="L123" s="655"/>
      <c r="M123" s="234"/>
      <c r="N123" s="234"/>
      <c r="O123" s="234"/>
      <c r="P123" s="234"/>
      <c r="Q123" s="234"/>
      <c r="U123" s="211" t="s">
        <v>247</v>
      </c>
      <c r="V123" s="228">
        <v>3051243</v>
      </c>
      <c r="W123" s="228">
        <v>2453658</v>
      </c>
      <c r="X123" s="228">
        <v>2693167</v>
      </c>
      <c r="Y123" s="228">
        <v>2369906</v>
      </c>
      <c r="Z123" s="228">
        <v>3545959</v>
      </c>
    </row>
    <row r="124" spans="1:27" ht="42">
      <c r="C124" s="208" t="s">
        <v>2</v>
      </c>
      <c r="D124" s="570">
        <v>31300123.161826901</v>
      </c>
      <c r="E124" s="570">
        <v>35669061.524065398</v>
      </c>
      <c r="F124" s="570">
        <v>41510908.979121096</v>
      </c>
      <c r="G124" s="570">
        <v>42616618.428417303</v>
      </c>
      <c r="H124" s="570">
        <v>24713490.178484701</v>
      </c>
      <c r="K124" s="204" t="s">
        <v>499</v>
      </c>
      <c r="L124" s="211" t="s">
        <v>247</v>
      </c>
      <c r="M124" s="228">
        <v>6143000</v>
      </c>
      <c r="N124" s="228">
        <v>4749000</v>
      </c>
      <c r="O124" s="228">
        <v>4608700</v>
      </c>
      <c r="P124" s="228">
        <v>4073100</v>
      </c>
      <c r="Q124" s="228">
        <v>3689800</v>
      </c>
      <c r="U124" s="208" t="s">
        <v>248</v>
      </c>
      <c r="V124" s="212"/>
      <c r="W124" s="212"/>
      <c r="X124" s="212"/>
      <c r="Y124" s="212"/>
      <c r="Z124" s="212"/>
    </row>
    <row r="125" spans="1:27" ht="42">
      <c r="C125" s="208" t="s">
        <v>3</v>
      </c>
      <c r="D125" s="570">
        <v>256510769.476735</v>
      </c>
      <c r="E125" s="570">
        <v>299655811.15102297</v>
      </c>
      <c r="F125" s="570">
        <v>253754393.63264099</v>
      </c>
      <c r="G125" s="570">
        <v>176535713.74053201</v>
      </c>
      <c r="H125" s="570">
        <v>119556361.125672</v>
      </c>
      <c r="L125" s="208" t="s">
        <v>248</v>
      </c>
      <c r="M125" s="212"/>
      <c r="N125" s="212"/>
      <c r="O125" s="212"/>
      <c r="P125" s="212"/>
      <c r="Q125" s="212"/>
      <c r="U125" s="208" t="s">
        <v>249</v>
      </c>
      <c r="V125" s="212"/>
      <c r="W125" s="212"/>
      <c r="X125" s="212"/>
      <c r="Y125" s="212"/>
      <c r="Z125" s="212"/>
    </row>
    <row r="126" spans="1:27" ht="28">
      <c r="C126" s="657" t="s">
        <v>8</v>
      </c>
      <c r="D126" s="658">
        <f t="shared" ref="D126:G126" si="10">SUM(D124:D125)</f>
        <v>287810892.6385619</v>
      </c>
      <c r="E126" s="658">
        <f t="shared" si="10"/>
        <v>335324872.67508835</v>
      </c>
      <c r="F126" s="658">
        <f t="shared" si="10"/>
        <v>295265302.61176211</v>
      </c>
      <c r="G126" s="658">
        <f t="shared" si="10"/>
        <v>219152332.16894931</v>
      </c>
      <c r="H126" s="658">
        <f>SUM(H124:H125)</f>
        <v>144269851.30415669</v>
      </c>
      <c r="L126" s="208" t="s">
        <v>249</v>
      </c>
      <c r="M126" s="212"/>
      <c r="N126" s="212"/>
      <c r="O126" s="212"/>
      <c r="P126" s="212"/>
      <c r="Q126" s="212"/>
      <c r="U126" s="657" t="s">
        <v>250</v>
      </c>
      <c r="V126" s="228">
        <v>2170937</v>
      </c>
      <c r="W126" s="228">
        <v>1801114</v>
      </c>
      <c r="X126" s="228">
        <v>1657956</v>
      </c>
      <c r="Y126" s="228">
        <v>1494150</v>
      </c>
      <c r="Z126" s="228">
        <v>2688450</v>
      </c>
    </row>
    <row r="127" spans="1:27" ht="28">
      <c r="C127" s="210" t="s">
        <v>12</v>
      </c>
      <c r="D127" s="570">
        <v>-2131674.52066545</v>
      </c>
      <c r="E127" s="570">
        <v>-22791096.466571301</v>
      </c>
      <c r="F127" s="570">
        <v>-6619679.8710803399</v>
      </c>
      <c r="G127" s="570">
        <v>-7256699.80965346</v>
      </c>
      <c r="H127" s="570">
        <v>3493530.0068756202</v>
      </c>
      <c r="K127" s="204" t="s">
        <v>500</v>
      </c>
      <c r="L127" s="657" t="s">
        <v>250</v>
      </c>
      <c r="M127" s="228">
        <v>3211000</v>
      </c>
      <c r="N127" s="228">
        <v>3265300</v>
      </c>
      <c r="O127" s="228">
        <v>2799700</v>
      </c>
      <c r="P127" s="228">
        <v>2802100</v>
      </c>
      <c r="Q127" s="228">
        <v>1782500</v>
      </c>
      <c r="U127" s="210" t="s">
        <v>251</v>
      </c>
      <c r="V127" s="228">
        <v>-40163</v>
      </c>
      <c r="W127" s="228">
        <v>-21819</v>
      </c>
      <c r="X127" s="228">
        <v>-227363</v>
      </c>
      <c r="Y127" s="228">
        <v>450421</v>
      </c>
      <c r="Z127" s="228">
        <v>22896</v>
      </c>
    </row>
    <row r="128" spans="1:27" ht="28">
      <c r="C128" s="208" t="s">
        <v>13</v>
      </c>
      <c r="D128" s="495">
        <v>-2.0569999999999999</v>
      </c>
      <c r="E128" s="495">
        <v>-19.292999999999999</v>
      </c>
      <c r="F128" s="495">
        <v>-4.1379999999999999</v>
      </c>
      <c r="G128" s="495">
        <v>-4.5380000000000003</v>
      </c>
      <c r="H128" s="495">
        <v>2.1240000000000001</v>
      </c>
      <c r="K128" s="204" t="s">
        <v>501</v>
      </c>
      <c r="L128" s="210" t="s">
        <v>251</v>
      </c>
      <c r="M128" s="228">
        <v>648000</v>
      </c>
      <c r="N128" s="228">
        <v>394300</v>
      </c>
      <c r="O128" s="228">
        <v>412400</v>
      </c>
      <c r="P128" s="228">
        <v>477700</v>
      </c>
      <c r="Q128" s="228">
        <v>382100</v>
      </c>
      <c r="U128" s="208" t="s">
        <v>252</v>
      </c>
      <c r="V128" s="235"/>
      <c r="W128" s="235"/>
      <c r="X128" s="235"/>
      <c r="Y128" s="235"/>
      <c r="Z128" s="235"/>
    </row>
    <row r="129" spans="1:26" ht="28">
      <c r="C129" s="208" t="s">
        <v>14</v>
      </c>
      <c r="D129" s="495">
        <v>-0.54500000000000004</v>
      </c>
      <c r="E129" s="495">
        <v>-5.0259999999999998</v>
      </c>
      <c r="F129" s="495">
        <v>-1.454</v>
      </c>
      <c r="G129" s="495">
        <v>-1.9139999999999999</v>
      </c>
      <c r="H129" s="495">
        <v>1.1319999999999999</v>
      </c>
      <c r="L129" s="208" t="s">
        <v>252</v>
      </c>
      <c r="M129" s="235"/>
      <c r="N129" s="235"/>
      <c r="O129" s="235"/>
      <c r="P129" s="235"/>
      <c r="Q129" s="235"/>
      <c r="U129" s="208" t="s">
        <v>253</v>
      </c>
      <c r="V129" s="235"/>
      <c r="W129" s="235"/>
      <c r="X129" s="235"/>
      <c r="Y129" s="235"/>
      <c r="Z129" s="235"/>
    </row>
    <row r="130" spans="1:26" ht="42">
      <c r="C130" s="208" t="s">
        <v>15</v>
      </c>
      <c r="D130" s="496">
        <v>548.70476972341805</v>
      </c>
      <c r="E130" s="497" t="s">
        <v>22</v>
      </c>
      <c r="F130" s="497" t="s">
        <v>22</v>
      </c>
      <c r="G130" s="497" t="s">
        <v>22</v>
      </c>
      <c r="H130" s="497" t="s">
        <v>22</v>
      </c>
      <c r="L130" s="208" t="s">
        <v>253</v>
      </c>
      <c r="M130" s="235"/>
      <c r="N130" s="235"/>
      <c r="O130" s="235"/>
      <c r="P130" s="235"/>
      <c r="Q130" s="235"/>
      <c r="U130" s="208" t="s">
        <v>254</v>
      </c>
      <c r="V130" s="235"/>
      <c r="W130" s="235"/>
      <c r="X130" s="235"/>
      <c r="Y130" s="235"/>
      <c r="Z130" s="235"/>
    </row>
    <row r="131" spans="1:26" ht="42">
      <c r="C131" s="659" t="s">
        <v>23</v>
      </c>
      <c r="D131" s="570">
        <v>103633346.992929</v>
      </c>
      <c r="E131" s="570">
        <v>118129560.047359</v>
      </c>
      <c r="F131" s="570">
        <v>159975596.007249</v>
      </c>
      <c r="G131" s="570">
        <v>159911274.267997</v>
      </c>
      <c r="H131" s="570">
        <v>164454691.62212399</v>
      </c>
      <c r="L131" s="208" t="s">
        <v>254</v>
      </c>
      <c r="M131" s="235"/>
      <c r="N131" s="235"/>
      <c r="O131" s="235"/>
      <c r="P131" s="235"/>
      <c r="Q131" s="235"/>
      <c r="U131" s="659" t="s">
        <v>255</v>
      </c>
      <c r="V131" s="228">
        <v>854566</v>
      </c>
      <c r="W131" s="228">
        <v>610363</v>
      </c>
      <c r="X131" s="228">
        <v>566670</v>
      </c>
      <c r="Y131" s="228">
        <v>856195</v>
      </c>
      <c r="Z131" s="230">
        <v>840383</v>
      </c>
    </row>
    <row r="132" spans="1:26" ht="18">
      <c r="K132" s="204" t="s">
        <v>502</v>
      </c>
      <c r="L132" s="659" t="s">
        <v>255</v>
      </c>
      <c r="M132" s="228">
        <v>4106000</v>
      </c>
      <c r="N132" s="228">
        <v>3359400</v>
      </c>
      <c r="O132" s="228">
        <v>2823500</v>
      </c>
      <c r="P132" s="228">
        <v>2356900</v>
      </c>
      <c r="Q132" s="228">
        <v>2216900</v>
      </c>
    </row>
    <row r="134" spans="1:26">
      <c r="A134" s="204" t="s">
        <v>193</v>
      </c>
    </row>
    <row r="135" spans="1:26">
      <c r="A135" s="236">
        <v>0.51</v>
      </c>
      <c r="C135" s="655"/>
      <c r="D135" s="655">
        <v>2016</v>
      </c>
      <c r="E135" s="219" t="s">
        <v>171</v>
      </c>
      <c r="F135" s="219" t="s">
        <v>172</v>
      </c>
      <c r="G135" s="219" t="s">
        <v>173</v>
      </c>
      <c r="H135" s="219" t="s">
        <v>174</v>
      </c>
      <c r="J135" s="656" t="s">
        <v>658</v>
      </c>
    </row>
    <row r="136" spans="1:26">
      <c r="C136" s="202" t="s">
        <v>1</v>
      </c>
      <c r="D136" s="216">
        <v>1555100</v>
      </c>
      <c r="E136" s="216">
        <v>1753700</v>
      </c>
      <c r="F136" s="216">
        <v>1991600</v>
      </c>
      <c r="G136" s="216">
        <v>2164200</v>
      </c>
      <c r="H136" s="216">
        <v>1719700</v>
      </c>
      <c r="J136" s="656" t="s">
        <v>199</v>
      </c>
      <c r="L136" s="655"/>
      <c r="M136" s="655">
        <v>2016</v>
      </c>
      <c r="N136" s="219" t="s">
        <v>171</v>
      </c>
      <c r="O136" s="219" t="s">
        <v>172</v>
      </c>
      <c r="P136" s="219" t="s">
        <v>173</v>
      </c>
      <c r="Q136" s="219" t="s">
        <v>174</v>
      </c>
    </row>
    <row r="137" spans="1:26" ht="18">
      <c r="C137" s="655"/>
      <c r="D137" s="655"/>
      <c r="E137" s="655"/>
      <c r="F137" s="655"/>
      <c r="G137" s="655"/>
      <c r="H137" s="655"/>
      <c r="K137" s="204" t="s">
        <v>151</v>
      </c>
      <c r="L137" s="202" t="s">
        <v>246</v>
      </c>
      <c r="M137" s="228">
        <v>1123505</v>
      </c>
      <c r="N137" s="228">
        <v>942721</v>
      </c>
      <c r="O137" s="228">
        <v>1061592</v>
      </c>
      <c r="P137" s="228">
        <v>1006466</v>
      </c>
      <c r="Q137" s="230">
        <v>1532333</v>
      </c>
    </row>
    <row r="138" spans="1:26" ht="28">
      <c r="C138" s="211" t="s">
        <v>11</v>
      </c>
      <c r="D138" s="212">
        <v>237300</v>
      </c>
      <c r="E138" s="212">
        <v>366800</v>
      </c>
      <c r="F138" s="212">
        <v>321000</v>
      </c>
      <c r="G138" s="212">
        <v>249700</v>
      </c>
      <c r="H138" s="212">
        <v>173400</v>
      </c>
      <c r="L138" s="655"/>
      <c r="M138" s="234"/>
      <c r="N138" s="234"/>
      <c r="O138" s="234"/>
      <c r="P138" s="234"/>
      <c r="Q138" s="234"/>
    </row>
    <row r="139" spans="1:26" ht="42">
      <c r="C139" s="208" t="s">
        <v>2</v>
      </c>
      <c r="D139" s="212">
        <v>801200</v>
      </c>
      <c r="E139" s="212">
        <v>939400</v>
      </c>
      <c r="F139" s="212">
        <v>1188400</v>
      </c>
      <c r="G139" s="212">
        <v>1196200</v>
      </c>
      <c r="H139" s="212">
        <v>790900</v>
      </c>
      <c r="K139" s="204" t="s">
        <v>499</v>
      </c>
      <c r="L139" s="211" t="s">
        <v>247</v>
      </c>
      <c r="M139" s="228">
        <v>1668589</v>
      </c>
      <c r="N139" s="228">
        <v>2438860</v>
      </c>
      <c r="O139" s="228">
        <v>2951281</v>
      </c>
      <c r="P139" s="228">
        <v>2685755</v>
      </c>
      <c r="Q139" s="228">
        <v>3131208</v>
      </c>
    </row>
    <row r="140" spans="1:26" ht="42">
      <c r="C140" s="208" t="s">
        <v>3</v>
      </c>
      <c r="D140" s="212">
        <v>441000</v>
      </c>
      <c r="E140" s="212">
        <v>408400</v>
      </c>
      <c r="F140" s="212">
        <v>245500</v>
      </c>
      <c r="G140" s="212">
        <v>284300</v>
      </c>
      <c r="H140" s="212">
        <v>266400</v>
      </c>
      <c r="L140" s="208" t="s">
        <v>248</v>
      </c>
      <c r="M140" s="212"/>
      <c r="N140" s="212"/>
      <c r="O140" s="212"/>
      <c r="P140" s="212"/>
      <c r="Q140" s="212"/>
    </row>
    <row r="141" spans="1:26" ht="28">
      <c r="C141" s="657" t="s">
        <v>8</v>
      </c>
      <c r="D141" s="658">
        <f t="shared" ref="D141:G141" si="11">SUM(D139:D140)</f>
        <v>1242200</v>
      </c>
      <c r="E141" s="658">
        <f t="shared" si="11"/>
        <v>1347800</v>
      </c>
      <c r="F141" s="658">
        <f t="shared" si="11"/>
        <v>1433900</v>
      </c>
      <c r="G141" s="658">
        <f t="shared" si="11"/>
        <v>1480500</v>
      </c>
      <c r="H141" s="658">
        <f>SUM(H139:H140)</f>
        <v>1057300</v>
      </c>
      <c r="L141" s="208" t="s">
        <v>249</v>
      </c>
      <c r="M141" s="212"/>
      <c r="N141" s="212"/>
      <c r="O141" s="212"/>
      <c r="P141" s="212"/>
      <c r="Q141" s="212"/>
    </row>
    <row r="142" spans="1:26" ht="28">
      <c r="C142" s="210" t="s">
        <v>12</v>
      </c>
      <c r="D142" s="212">
        <v>-85600</v>
      </c>
      <c r="E142" s="212">
        <v>-150900</v>
      </c>
      <c r="F142" s="212">
        <v>-118500</v>
      </c>
      <c r="G142" s="212">
        <v>-103700</v>
      </c>
      <c r="H142" s="212">
        <v>-31000</v>
      </c>
      <c r="K142" s="204" t="s">
        <v>500</v>
      </c>
      <c r="L142" s="657" t="s">
        <v>250</v>
      </c>
      <c r="M142" s="228">
        <v>955312</v>
      </c>
      <c r="N142" s="228">
        <v>788050</v>
      </c>
      <c r="O142" s="228">
        <v>875675</v>
      </c>
      <c r="P142" s="228">
        <v>805292</v>
      </c>
      <c r="Q142" s="228">
        <v>1225205</v>
      </c>
    </row>
    <row r="143" spans="1:26" ht="28">
      <c r="C143" s="208" t="s">
        <v>13</v>
      </c>
      <c r="D143" s="213">
        <v>-29.722000000000001</v>
      </c>
      <c r="E143" s="213">
        <v>-37.398000000000003</v>
      </c>
      <c r="F143" s="213">
        <v>-22.413</v>
      </c>
      <c r="G143" s="213">
        <v>-22.905000000000001</v>
      </c>
      <c r="H143" s="213">
        <v>-1.766</v>
      </c>
      <c r="K143" s="204" t="s">
        <v>501</v>
      </c>
      <c r="L143" s="210" t="s">
        <v>251</v>
      </c>
      <c r="M143" s="228">
        <v>-51449</v>
      </c>
      <c r="N143" s="228">
        <v>-82950</v>
      </c>
      <c r="O143" s="228">
        <v>-21174</v>
      </c>
      <c r="P143" s="228">
        <v>59641</v>
      </c>
      <c r="Q143" s="228">
        <v>135224</v>
      </c>
    </row>
    <row r="144" spans="1:26" ht="28">
      <c r="C144" s="208" t="s">
        <v>14</v>
      </c>
      <c r="D144" s="213">
        <v>-5.98</v>
      </c>
      <c r="E144" s="213">
        <v>-8.6560000000000006</v>
      </c>
      <c r="F144" s="213">
        <v>-6.2759999999999998</v>
      </c>
      <c r="G144" s="213">
        <v>-7.2359999999999998</v>
      </c>
      <c r="H144" s="213">
        <v>-0.68</v>
      </c>
      <c r="L144" s="208" t="s">
        <v>252</v>
      </c>
      <c r="M144" s="235"/>
      <c r="N144" s="235"/>
      <c r="O144" s="235"/>
      <c r="P144" s="235"/>
      <c r="Q144" s="235"/>
    </row>
    <row r="145" spans="1:17" ht="28">
      <c r="C145" s="208" t="s">
        <v>15</v>
      </c>
      <c r="D145" s="215" t="s">
        <v>22</v>
      </c>
      <c r="E145" s="215" t="s">
        <v>22</v>
      </c>
      <c r="F145" s="214">
        <v>604.51977399999998</v>
      </c>
      <c r="G145" s="214">
        <v>480.19230800000003</v>
      </c>
      <c r="H145" s="214">
        <v>382.78145699999999</v>
      </c>
      <c r="L145" s="208" t="s">
        <v>253</v>
      </c>
      <c r="M145" s="235"/>
      <c r="N145" s="235"/>
      <c r="O145" s="235"/>
      <c r="P145" s="235"/>
      <c r="Q145" s="235"/>
    </row>
    <row r="146" spans="1:17" ht="42">
      <c r="C146" s="659" t="s">
        <v>23</v>
      </c>
      <c r="D146" s="212">
        <v>312900</v>
      </c>
      <c r="E146" s="212">
        <v>405900</v>
      </c>
      <c r="F146" s="212">
        <v>557700</v>
      </c>
      <c r="G146" s="212">
        <v>683700</v>
      </c>
      <c r="H146" s="212">
        <v>662400</v>
      </c>
      <c r="L146" s="208" t="s">
        <v>254</v>
      </c>
      <c r="M146" s="235"/>
      <c r="N146" s="235"/>
      <c r="O146" s="235"/>
      <c r="P146" s="235"/>
      <c r="Q146" s="235"/>
    </row>
    <row r="147" spans="1:17" ht="18">
      <c r="K147" s="204" t="s">
        <v>502</v>
      </c>
      <c r="L147" s="659" t="s">
        <v>255</v>
      </c>
      <c r="M147" s="228">
        <v>168193</v>
      </c>
      <c r="N147" s="228">
        <v>154672</v>
      </c>
      <c r="O147" s="228">
        <v>185917</v>
      </c>
      <c r="P147" s="228">
        <v>201174</v>
      </c>
      <c r="Q147" s="228">
        <v>307128</v>
      </c>
    </row>
    <row r="150" spans="1:17">
      <c r="A150" s="200" t="s">
        <v>194</v>
      </c>
      <c r="C150" s="655"/>
      <c r="D150" s="655">
        <v>2015</v>
      </c>
      <c r="E150" s="219" t="s">
        <v>167</v>
      </c>
      <c r="F150" s="219" t="s">
        <v>168</v>
      </c>
      <c r="G150" s="219" t="s">
        <v>169</v>
      </c>
      <c r="H150" s="219" t="s">
        <v>170</v>
      </c>
    </row>
    <row r="151" spans="1:17">
      <c r="A151" s="236">
        <v>0.25</v>
      </c>
      <c r="C151" s="202" t="s">
        <v>1</v>
      </c>
      <c r="D151" s="216">
        <v>154597.04491496101</v>
      </c>
      <c r="E151" s="216">
        <v>19908.7492283881</v>
      </c>
      <c r="F151" s="216">
        <v>32138.8154829741</v>
      </c>
      <c r="G151" s="216">
        <v>76494.613889604807</v>
      </c>
      <c r="H151" s="216">
        <v>97959.765065565705</v>
      </c>
    </row>
    <row r="152" spans="1:17">
      <c r="C152" s="655"/>
      <c r="D152" s="655"/>
      <c r="E152" s="655"/>
      <c r="F152" s="655"/>
      <c r="G152" s="655"/>
      <c r="H152" s="655"/>
    </row>
    <row r="153" spans="1:17" ht="28">
      <c r="C153" s="211" t="s">
        <v>11</v>
      </c>
      <c r="D153" s="212">
        <v>103405.218735337</v>
      </c>
      <c r="E153" s="212">
        <v>34756.798359856002</v>
      </c>
      <c r="F153" s="212">
        <v>54802.137635260799</v>
      </c>
      <c r="G153" s="212">
        <v>47602.513394057802</v>
      </c>
      <c r="H153" s="212">
        <v>48185.141307219899</v>
      </c>
    </row>
    <row r="154" spans="1:17">
      <c r="C154" s="208" t="s">
        <v>2</v>
      </c>
      <c r="D154" s="212">
        <v>22474.460273981102</v>
      </c>
      <c r="E154" s="212">
        <v>720.18845824897301</v>
      </c>
      <c r="F154" s="212">
        <v>2259.7039258181999</v>
      </c>
      <c r="G154" s="212">
        <v>15130.5206237733</v>
      </c>
      <c r="H154" s="212">
        <v>67011.685314774499</v>
      </c>
    </row>
    <row r="155" spans="1:17">
      <c r="C155" s="208" t="s">
        <v>3</v>
      </c>
      <c r="D155" s="212">
        <v>49602.722927928</v>
      </c>
      <c r="E155" s="212">
        <v>9140.6464477628506</v>
      </c>
      <c r="F155" s="212">
        <v>20626.480066448501</v>
      </c>
      <c r="G155" s="212">
        <v>54026.570835113504</v>
      </c>
      <c r="H155" s="212">
        <v>63403.5050588995</v>
      </c>
    </row>
    <row r="156" spans="1:17">
      <c r="C156" s="657" t="s">
        <v>8</v>
      </c>
      <c r="D156" s="658">
        <f t="shared" ref="D156:G156" si="12">SUM(D154:D155)</f>
        <v>72077.183201909094</v>
      </c>
      <c r="E156" s="658">
        <f t="shared" si="12"/>
        <v>9860.8349060118235</v>
      </c>
      <c r="F156" s="658">
        <f t="shared" si="12"/>
        <v>22886.183992266702</v>
      </c>
      <c r="G156" s="658">
        <f t="shared" si="12"/>
        <v>69157.091458886804</v>
      </c>
      <c r="H156" s="658">
        <f>SUM(H154:H155)</f>
        <v>130415.19037367401</v>
      </c>
    </row>
    <row r="157" spans="1:17" ht="28">
      <c r="C157" s="210" t="s">
        <v>12</v>
      </c>
      <c r="D157" s="212">
        <v>1021.56637609005</v>
      </c>
      <c r="E157" s="212">
        <v>869.17904379963898</v>
      </c>
      <c r="F157" s="212">
        <v>-8556.2499184012395</v>
      </c>
      <c r="G157" s="212">
        <v>-3546.14003062248</v>
      </c>
      <c r="H157" s="212">
        <v>-39318.697343423999</v>
      </c>
    </row>
    <row r="158" spans="1:17" ht="28">
      <c r="C158" s="208" t="s">
        <v>13</v>
      </c>
      <c r="D158" s="213">
        <v>6.327</v>
      </c>
      <c r="E158" s="213">
        <v>10.617000000000001</v>
      </c>
      <c r="F158" s="213">
        <v>-105.66</v>
      </c>
      <c r="G158" s="213">
        <v>-52.030999999999999</v>
      </c>
      <c r="H158" s="215" t="s">
        <v>4</v>
      </c>
    </row>
    <row r="159" spans="1:17" ht="28">
      <c r="C159" s="208" t="s">
        <v>14</v>
      </c>
      <c r="D159" s="213">
        <v>3.3769999999999998</v>
      </c>
      <c r="E159" s="213">
        <v>5.3579999999999997</v>
      </c>
      <c r="F159" s="213">
        <v>-30.419</v>
      </c>
      <c r="G159" s="213">
        <v>-4.9909999999999997</v>
      </c>
      <c r="H159" s="213">
        <v>-61.552</v>
      </c>
    </row>
    <row r="160" spans="1:17" ht="28">
      <c r="C160" s="208" t="s">
        <v>15</v>
      </c>
      <c r="D160" s="214">
        <v>156.437547252267</v>
      </c>
      <c r="E160" s="214">
        <v>82.951786028944795</v>
      </c>
      <c r="F160" s="214">
        <v>117.854059402372</v>
      </c>
      <c r="G160" s="214">
        <v>81.371817832067904</v>
      </c>
      <c r="H160" s="214">
        <v>62.014338798952103</v>
      </c>
    </row>
    <row r="161" spans="1:8">
      <c r="C161" s="659" t="s">
        <v>23</v>
      </c>
      <c r="D161" s="212">
        <v>82519.861713051796</v>
      </c>
      <c r="E161" s="212">
        <v>10047.9143223763</v>
      </c>
      <c r="F161" s="212">
        <v>9252.6314907073993</v>
      </c>
      <c r="G161" s="212">
        <v>7337.5224307179496</v>
      </c>
      <c r="H161" s="212">
        <v>-32455.425308108301</v>
      </c>
    </row>
    <row r="165" spans="1:8">
      <c r="A165" s="200" t="s">
        <v>195</v>
      </c>
      <c r="C165" s="655"/>
      <c r="D165" s="655">
        <v>2019</v>
      </c>
      <c r="E165" s="219" t="s">
        <v>175</v>
      </c>
      <c r="F165" s="219" t="s">
        <v>176</v>
      </c>
      <c r="G165" s="219" t="s">
        <v>177</v>
      </c>
      <c r="H165" s="219" t="s">
        <v>178</v>
      </c>
    </row>
    <row r="166" spans="1:8">
      <c r="A166" s="236">
        <v>0.13</v>
      </c>
      <c r="C166" s="202" t="s">
        <v>1</v>
      </c>
      <c r="D166" s="216">
        <v>21304.78335464</v>
      </c>
      <c r="E166" s="216">
        <v>24710.126549139601</v>
      </c>
      <c r="F166" s="216">
        <v>30118.635942384601</v>
      </c>
      <c r="G166" s="216">
        <v>33372.389602214098</v>
      </c>
      <c r="H166" s="216">
        <v>31277.184229373899</v>
      </c>
    </row>
    <row r="167" spans="1:8">
      <c r="C167" s="655"/>
      <c r="D167" s="655"/>
      <c r="E167" s="655"/>
      <c r="F167" s="655"/>
      <c r="G167" s="655"/>
      <c r="H167" s="655"/>
    </row>
    <row r="168" spans="1:8" ht="28">
      <c r="C168" s="211" t="s">
        <v>11</v>
      </c>
      <c r="D168" s="212">
        <v>21509.1113705188</v>
      </c>
      <c r="E168" s="212">
        <v>21176.294563084801</v>
      </c>
      <c r="F168" s="212">
        <v>31415.469078414098</v>
      </c>
      <c r="G168" s="212">
        <v>32291.183111816601</v>
      </c>
      <c r="H168" s="212">
        <v>28189.3295965791</v>
      </c>
    </row>
    <row r="169" spans="1:8">
      <c r="C169" s="208" t="s">
        <v>2</v>
      </c>
      <c r="D169" s="212">
        <v>3011.3894870877298</v>
      </c>
      <c r="E169" s="212">
        <v>2603.5673152655399</v>
      </c>
      <c r="F169" s="212">
        <v>4720.7064762934997</v>
      </c>
      <c r="G169" s="212">
        <v>4472.8538029789897</v>
      </c>
      <c r="H169" s="212">
        <v>6885.2438674718096</v>
      </c>
    </row>
    <row r="170" spans="1:8">
      <c r="C170" s="208" t="s">
        <v>3</v>
      </c>
      <c r="D170" s="212">
        <v>9269.3620804324692</v>
      </c>
      <c r="E170" s="212">
        <v>10677.100100755701</v>
      </c>
      <c r="F170" s="212">
        <v>13619.610291294801</v>
      </c>
      <c r="G170" s="212">
        <v>16633.8746157885</v>
      </c>
      <c r="H170" s="212">
        <v>10966.401539951599</v>
      </c>
    </row>
    <row r="171" spans="1:8">
      <c r="C171" s="657" t="s">
        <v>8</v>
      </c>
      <c r="D171" s="658">
        <f t="shared" ref="D171:G171" si="13">SUM(D169:D170)</f>
        <v>12280.751567520199</v>
      </c>
      <c r="E171" s="658">
        <f t="shared" si="13"/>
        <v>13280.667416021241</v>
      </c>
      <c r="F171" s="658">
        <f t="shared" si="13"/>
        <v>18340.316767588301</v>
      </c>
      <c r="G171" s="658">
        <f t="shared" si="13"/>
        <v>21106.728418767489</v>
      </c>
      <c r="H171" s="658">
        <f>SUM(H169:H170)</f>
        <v>17851.64540742341</v>
      </c>
    </row>
    <row r="172" spans="1:8" ht="28">
      <c r="C172" s="210" t="s">
        <v>12</v>
      </c>
      <c r="D172" s="212">
        <v>-1762.7562440112199</v>
      </c>
      <c r="E172" s="212">
        <v>806.78941203653801</v>
      </c>
      <c r="F172" s="212">
        <v>-2086.7235170900799</v>
      </c>
      <c r="G172" s="212">
        <v>-1214.1531253755099</v>
      </c>
      <c r="H172" s="212">
        <v>-1169.01245637238</v>
      </c>
    </row>
    <row r="173" spans="1:8" ht="28">
      <c r="C173" s="208" t="s">
        <v>13</v>
      </c>
      <c r="D173" s="213">
        <v>35.258000000000003</v>
      </c>
      <c r="E173" s="213">
        <v>7.3339999999999996</v>
      </c>
      <c r="F173" s="213">
        <v>-16.071999999999999</v>
      </c>
      <c r="G173" s="213">
        <v>-10.08</v>
      </c>
      <c r="H173" s="213">
        <v>-9.2430000000000003</v>
      </c>
    </row>
    <row r="174" spans="1:8" ht="28">
      <c r="C174" s="208" t="s">
        <v>14</v>
      </c>
      <c r="D174" s="213">
        <v>14.933999999999999</v>
      </c>
      <c r="E174" s="213">
        <v>3.3919999999999999</v>
      </c>
      <c r="F174" s="213">
        <v>-6.2850000000000001</v>
      </c>
      <c r="G174" s="213">
        <v>-3.7050000000000001</v>
      </c>
      <c r="H174" s="213">
        <v>-3.9670000000000001</v>
      </c>
    </row>
    <row r="175" spans="1:8" ht="28">
      <c r="C175" s="208" t="s">
        <v>15</v>
      </c>
      <c r="D175" s="214">
        <v>896.21297377161704</v>
      </c>
      <c r="E175" s="214">
        <v>365.108526898153</v>
      </c>
      <c r="F175" s="214">
        <v>1308.9778782266601</v>
      </c>
      <c r="G175" s="214">
        <v>1076.3727703552199</v>
      </c>
      <c r="H175" s="214">
        <v>1127.57318386316</v>
      </c>
    </row>
    <row r="176" spans="1:8">
      <c r="C176" s="659" t="s">
        <v>23</v>
      </c>
      <c r="D176" s="212">
        <v>9024.0317871198095</v>
      </c>
      <c r="E176" s="212">
        <v>11429.4591331184</v>
      </c>
      <c r="F176" s="212">
        <v>11778.319174796299</v>
      </c>
      <c r="G176" s="212">
        <v>12265.6611834466</v>
      </c>
      <c r="H176" s="212">
        <v>13425.5388219506</v>
      </c>
    </row>
    <row r="179" spans="1:15">
      <c r="A179" s="200" t="s">
        <v>196</v>
      </c>
      <c r="C179" s="655"/>
      <c r="D179" s="655">
        <v>2015</v>
      </c>
      <c r="E179" s="219" t="s">
        <v>167</v>
      </c>
      <c r="F179" s="219" t="s">
        <v>168</v>
      </c>
      <c r="G179" s="219" t="s">
        <v>169</v>
      </c>
      <c r="H179" s="219" t="s">
        <v>170</v>
      </c>
    </row>
    <row r="180" spans="1:15" ht="16" thickBot="1">
      <c r="A180" s="229" t="s">
        <v>197</v>
      </c>
      <c r="C180" s="202" t="s">
        <v>1</v>
      </c>
      <c r="D180" s="225">
        <v>945323</v>
      </c>
      <c r="E180" s="226">
        <v>1345002</v>
      </c>
      <c r="F180" s="225">
        <v>1298576</v>
      </c>
      <c r="G180" s="226">
        <v>2853540</v>
      </c>
      <c r="H180" s="227">
        <v>3385580</v>
      </c>
    </row>
    <row r="181" spans="1:15">
      <c r="A181" s="236">
        <v>1</v>
      </c>
      <c r="C181" s="655"/>
      <c r="D181" s="655"/>
      <c r="E181" s="655"/>
      <c r="F181" s="655"/>
      <c r="G181" s="655"/>
      <c r="H181" s="655"/>
    </row>
    <row r="182" spans="1:15" ht="28">
      <c r="C182" s="211" t="s">
        <v>11</v>
      </c>
      <c r="D182" s="228">
        <v>1001758</v>
      </c>
      <c r="E182" s="228">
        <v>1382856</v>
      </c>
      <c r="F182" s="228">
        <v>1752342</v>
      </c>
      <c r="G182" s="228">
        <v>1768463</v>
      </c>
      <c r="H182" s="228">
        <v>1644934</v>
      </c>
      <c r="K182" s="664">
        <v>-121022</v>
      </c>
      <c r="L182" s="665">
        <v>-202755</v>
      </c>
      <c r="M182" s="665">
        <v>538426</v>
      </c>
      <c r="N182" s="665">
        <v>309002</v>
      </c>
      <c r="O182" s="665">
        <v>175862</v>
      </c>
    </row>
    <row r="183" spans="1:15">
      <c r="C183" s="208" t="s">
        <v>2</v>
      </c>
      <c r="D183" s="212"/>
      <c r="E183" s="212"/>
      <c r="F183" s="212"/>
      <c r="G183" s="212"/>
      <c r="H183" s="212"/>
      <c r="K183" s="665">
        <v>126692</v>
      </c>
      <c r="L183" s="665">
        <v>248222</v>
      </c>
      <c r="M183" s="665">
        <v>567527</v>
      </c>
      <c r="N183" s="665">
        <v>1135439</v>
      </c>
      <c r="O183" s="665">
        <v>1023559</v>
      </c>
    </row>
    <row r="184" spans="1:15">
      <c r="C184" s="208" t="s">
        <v>3</v>
      </c>
      <c r="D184" s="212"/>
      <c r="E184" s="212"/>
      <c r="F184" s="212"/>
      <c r="G184" s="212"/>
      <c r="H184" s="212"/>
    </row>
    <row r="185" spans="1:15" ht="18">
      <c r="C185" s="657" t="s">
        <v>8</v>
      </c>
      <c r="D185" s="228">
        <v>818632</v>
      </c>
      <c r="E185" s="228">
        <v>1096781</v>
      </c>
      <c r="F185" s="228">
        <v>731049</v>
      </c>
      <c r="G185" s="228">
        <v>1718101</v>
      </c>
      <c r="H185" s="228">
        <v>2362021</v>
      </c>
    </row>
    <row r="186" spans="1:15" ht="28">
      <c r="C186" s="210" t="s">
        <v>12</v>
      </c>
      <c r="D186" s="228">
        <v>-121022</v>
      </c>
      <c r="E186" s="228">
        <v>-202755</v>
      </c>
      <c r="F186" s="228">
        <v>538426</v>
      </c>
      <c r="G186" s="228">
        <v>309002</v>
      </c>
      <c r="H186" s="230">
        <v>175862</v>
      </c>
      <c r="J186" s="228" t="s">
        <v>659</v>
      </c>
      <c r="K186" s="666" t="str">
        <f>K189</f>
        <v>-121 022</v>
      </c>
      <c r="L186" s="666" t="str">
        <f t="shared" ref="L186:O187" si="14">L189</f>
        <v>-202 755</v>
      </c>
      <c r="M186" s="666" t="str">
        <f t="shared" si="14"/>
        <v>538 426</v>
      </c>
      <c r="N186" s="666" t="str">
        <f t="shared" si="14"/>
        <v>309 002</v>
      </c>
      <c r="O186" s="666" t="str">
        <f t="shared" si="14"/>
        <v>175 862</v>
      </c>
    </row>
    <row r="187" spans="1:15" ht="28">
      <c r="C187" s="208" t="s">
        <v>13</v>
      </c>
      <c r="D187" s="213">
        <f>K182/((K183+L183)/2)</f>
        <v>-0.6455987239740314</v>
      </c>
      <c r="E187" s="213">
        <f t="shared" ref="E187:G187" si="15">L182/((L183+M183)/2)</f>
        <v>-0.49710143683902769</v>
      </c>
      <c r="F187" s="213">
        <f t="shared" si="15"/>
        <v>0.63233910718123554</v>
      </c>
      <c r="G187" s="213">
        <f t="shared" si="15"/>
        <v>0.28624574918550177</v>
      </c>
      <c r="H187" s="213">
        <v>6.4000000000000001E-2</v>
      </c>
      <c r="J187" s="204" t="s">
        <v>660</v>
      </c>
      <c r="K187" s="666" t="str">
        <f>K190</f>
        <v>126 692</v>
      </c>
      <c r="L187" s="666" t="str">
        <f t="shared" si="14"/>
        <v>248 222</v>
      </c>
      <c r="M187" s="666" t="str">
        <f t="shared" si="14"/>
        <v>567 527</v>
      </c>
      <c r="N187" s="666" t="str">
        <f t="shared" si="14"/>
        <v>1 135 439</v>
      </c>
      <c r="O187" s="666" t="str">
        <f t="shared" si="14"/>
        <v>1 023 559</v>
      </c>
    </row>
    <row r="188" spans="1:15" ht="28">
      <c r="C188" s="208" t="s">
        <v>14</v>
      </c>
      <c r="D188" s="231">
        <f>K182/((D180+E180)/2)</f>
        <v>-0.10568107146365691</v>
      </c>
      <c r="E188" s="231">
        <f t="shared" ref="E188:G188" si="16">L182/((E180+F180)/2)</f>
        <v>-0.1533943768634782</v>
      </c>
      <c r="F188" s="231">
        <f t="shared" si="16"/>
        <v>0.25935017229769108</v>
      </c>
      <c r="G188" s="231">
        <f t="shared" si="16"/>
        <v>9.9053071587018676E-2</v>
      </c>
      <c r="H188" s="213">
        <v>2.1999999999999999E-2</v>
      </c>
    </row>
    <row r="189" spans="1:15" ht="28">
      <c r="C189" s="208" t="s">
        <v>15</v>
      </c>
      <c r="D189" s="214"/>
      <c r="E189" s="214"/>
      <c r="F189" s="214"/>
      <c r="G189" s="214"/>
      <c r="H189" s="214"/>
      <c r="K189" s="667" t="s">
        <v>661</v>
      </c>
      <c r="L189" s="667" t="s">
        <v>662</v>
      </c>
      <c r="M189" s="667" t="s">
        <v>663</v>
      </c>
      <c r="N189" s="667" t="s">
        <v>664</v>
      </c>
      <c r="O189" s="668" t="s">
        <v>665</v>
      </c>
    </row>
    <row r="190" spans="1:15" ht="18">
      <c r="C190" s="659" t="s">
        <v>23</v>
      </c>
      <c r="D190" s="228">
        <v>126692</v>
      </c>
      <c r="E190" s="228">
        <v>248222</v>
      </c>
      <c r="F190" s="228">
        <v>567527</v>
      </c>
      <c r="G190" s="228">
        <v>1135439</v>
      </c>
      <c r="H190" s="230">
        <v>1023559</v>
      </c>
      <c r="K190" s="667" t="s">
        <v>666</v>
      </c>
      <c r="L190" s="667" t="s">
        <v>667</v>
      </c>
      <c r="M190" s="667" t="s">
        <v>668</v>
      </c>
      <c r="N190" s="667" t="s">
        <v>669</v>
      </c>
      <c r="O190" s="668" t="s">
        <v>670</v>
      </c>
    </row>
    <row r="193" spans="1:16">
      <c r="A193" s="204" t="s">
        <v>198</v>
      </c>
    </row>
    <row r="194" spans="1:16">
      <c r="A194" s="204" t="s">
        <v>199</v>
      </c>
      <c r="C194" s="655"/>
      <c r="D194" s="655">
        <v>2010</v>
      </c>
      <c r="E194" s="219" t="s">
        <v>179</v>
      </c>
      <c r="F194" s="219" t="s">
        <v>180</v>
      </c>
      <c r="G194" s="219" t="s">
        <v>181</v>
      </c>
      <c r="H194" s="219" t="s">
        <v>182</v>
      </c>
    </row>
    <row r="195" spans="1:16" ht="18">
      <c r="A195" s="236">
        <v>1</v>
      </c>
      <c r="B195" s="204" t="s">
        <v>151</v>
      </c>
      <c r="C195" s="202" t="s">
        <v>1</v>
      </c>
      <c r="D195" s="232">
        <v>378685</v>
      </c>
      <c r="E195" s="232">
        <v>329900</v>
      </c>
      <c r="F195" s="232">
        <v>894000</v>
      </c>
      <c r="G195" s="232">
        <v>650000</v>
      </c>
      <c r="H195" s="233">
        <v>1050100</v>
      </c>
      <c r="I195" s="228">
        <v>716300</v>
      </c>
    </row>
    <row r="196" spans="1:16">
      <c r="C196" s="655"/>
      <c r="D196" s="234"/>
      <c r="E196" s="234"/>
      <c r="F196" s="234"/>
      <c r="G196" s="234"/>
      <c r="H196" s="234"/>
    </row>
    <row r="197" spans="1:16" ht="28">
      <c r="B197" s="204" t="s">
        <v>499</v>
      </c>
      <c r="C197" s="211" t="s">
        <v>11</v>
      </c>
      <c r="D197" s="232">
        <v>157772</v>
      </c>
      <c r="E197" s="669">
        <v>174900</v>
      </c>
      <c r="F197" s="669">
        <v>1185600</v>
      </c>
      <c r="G197" s="669">
        <v>1209000</v>
      </c>
      <c r="H197" s="233">
        <v>1631900</v>
      </c>
    </row>
    <row r="198" spans="1:16">
      <c r="C198" s="208" t="s">
        <v>2</v>
      </c>
      <c r="D198" s="235"/>
      <c r="E198" s="235"/>
      <c r="F198" s="235"/>
      <c r="G198" s="235"/>
      <c r="H198" s="235"/>
    </row>
    <row r="199" spans="1:16">
      <c r="C199" s="208" t="s">
        <v>3</v>
      </c>
      <c r="D199" s="235"/>
      <c r="E199" s="235"/>
      <c r="F199" s="235"/>
      <c r="G199" s="235"/>
      <c r="H199" s="235"/>
    </row>
    <row r="200" spans="1:16" ht="18">
      <c r="B200" s="204" t="s">
        <v>500</v>
      </c>
      <c r="C200" s="657" t="s">
        <v>8</v>
      </c>
      <c r="D200" s="232">
        <v>99883</v>
      </c>
      <c r="E200" s="232">
        <v>73500</v>
      </c>
      <c r="F200" s="232">
        <v>680300</v>
      </c>
      <c r="G200" s="232">
        <v>480000</v>
      </c>
      <c r="H200" s="233">
        <v>899100</v>
      </c>
      <c r="I200" s="204"/>
      <c r="P200" s="200">
        <v>2005</v>
      </c>
    </row>
    <row r="201" spans="1:16" ht="28">
      <c r="B201" s="204" t="s">
        <v>501</v>
      </c>
      <c r="C201" s="210" t="s">
        <v>12</v>
      </c>
      <c r="D201" s="232">
        <v>22326</v>
      </c>
      <c r="E201" s="232">
        <v>69700</v>
      </c>
      <c r="F201" s="232">
        <v>62200</v>
      </c>
      <c r="G201" s="232">
        <v>36000</v>
      </c>
      <c r="H201" s="232">
        <v>117100</v>
      </c>
      <c r="K201" s="228">
        <v>278802</v>
      </c>
      <c r="L201" s="228">
        <v>256400</v>
      </c>
      <c r="M201" s="228">
        <v>213700</v>
      </c>
      <c r="N201" s="228">
        <v>170000</v>
      </c>
      <c r="O201" s="230">
        <v>151000</v>
      </c>
      <c r="P201" s="228">
        <v>150000</v>
      </c>
    </row>
    <row r="202" spans="1:16" ht="28">
      <c r="C202" s="208" t="s">
        <v>13</v>
      </c>
      <c r="D202" s="235">
        <f>D201/((K201+L201)/2)</f>
        <v>8.3430181501563894E-2</v>
      </c>
      <c r="E202" s="235">
        <f t="shared" ref="E202:H202" si="17">E201/((L201+M201)/2)</f>
        <v>0.2965326526271006</v>
      </c>
      <c r="F202" s="235">
        <f t="shared" si="17"/>
        <v>0.3242116236643211</v>
      </c>
      <c r="G202" s="235">
        <f t="shared" si="17"/>
        <v>0.22429906542056074</v>
      </c>
      <c r="H202" s="235">
        <f t="shared" si="17"/>
        <v>0.77807308970099665</v>
      </c>
    </row>
    <row r="203" spans="1:16" ht="28">
      <c r="C203" s="208" t="s">
        <v>14</v>
      </c>
      <c r="D203" s="235">
        <f>D201/((D195+E195)/2)</f>
        <v>6.3015728529393092E-2</v>
      </c>
      <c r="E203" s="235">
        <f t="shared" ref="E203:H203" si="18">E201/((E195+F195)/2)</f>
        <v>0.11389819429691968</v>
      </c>
      <c r="F203" s="235">
        <f t="shared" si="18"/>
        <v>8.0569948186528503E-2</v>
      </c>
      <c r="G203" s="235">
        <f t="shared" si="18"/>
        <v>4.2350449973530969E-2</v>
      </c>
      <c r="H203" s="235">
        <f t="shared" si="18"/>
        <v>0.13258605072463769</v>
      </c>
    </row>
    <row r="204" spans="1:16" ht="28">
      <c r="C204" s="208" t="s">
        <v>15</v>
      </c>
      <c r="D204" s="235"/>
      <c r="E204" s="235"/>
      <c r="F204" s="235"/>
      <c r="G204" s="235"/>
      <c r="H204" s="235"/>
    </row>
    <row r="205" spans="1:16" ht="18">
      <c r="B205" s="204" t="s">
        <v>671</v>
      </c>
      <c r="C205" s="659" t="s">
        <v>23</v>
      </c>
      <c r="D205" s="232">
        <v>278802</v>
      </c>
      <c r="E205" s="232">
        <v>256400</v>
      </c>
      <c r="F205" s="232">
        <v>213700</v>
      </c>
      <c r="G205" s="232">
        <v>170000</v>
      </c>
      <c r="H205" s="233">
        <v>151000</v>
      </c>
    </row>
    <row r="208" spans="1:16">
      <c r="A208" s="204" t="s">
        <v>200</v>
      </c>
    </row>
    <row r="209" spans="1:9">
      <c r="A209" s="670" t="s">
        <v>672</v>
      </c>
    </row>
    <row r="210" spans="1:9">
      <c r="C210" s="655"/>
      <c r="D210" s="655">
        <v>2007</v>
      </c>
      <c r="E210" s="219" t="s">
        <v>183</v>
      </c>
      <c r="F210" s="219" t="s">
        <v>184</v>
      </c>
      <c r="G210" s="219" t="s">
        <v>185</v>
      </c>
      <c r="H210" s="219" t="s">
        <v>186</v>
      </c>
    </row>
    <row r="211" spans="1:9" ht="18">
      <c r="B211" s="204" t="s">
        <v>151</v>
      </c>
      <c r="C211" s="202" t="s">
        <v>1</v>
      </c>
      <c r="D211" s="228" t="s">
        <v>673</v>
      </c>
      <c r="E211" s="228" t="s">
        <v>674</v>
      </c>
      <c r="F211" s="228" t="s">
        <v>675</v>
      </c>
      <c r="G211" s="228" t="s">
        <v>676</v>
      </c>
      <c r="H211" s="228" t="s">
        <v>677</v>
      </c>
      <c r="I211" s="228" t="s">
        <v>678</v>
      </c>
    </row>
    <row r="212" spans="1:9">
      <c r="C212" s="655"/>
      <c r="D212" s="234"/>
      <c r="E212" s="234"/>
      <c r="F212" s="234"/>
      <c r="G212" s="234"/>
      <c r="H212" s="234"/>
    </row>
    <row r="213" spans="1:9" ht="28">
      <c r="B213" s="204" t="s">
        <v>499</v>
      </c>
      <c r="C213" s="211" t="s">
        <v>11</v>
      </c>
      <c r="D213" s="228" t="s">
        <v>679</v>
      </c>
      <c r="E213" s="228" t="s">
        <v>680</v>
      </c>
      <c r="F213" s="228" t="s">
        <v>681</v>
      </c>
      <c r="G213" s="228" t="s">
        <v>682</v>
      </c>
      <c r="H213" s="230" t="s">
        <v>683</v>
      </c>
    </row>
    <row r="214" spans="1:9">
      <c r="C214" s="208" t="s">
        <v>2</v>
      </c>
      <c r="D214" s="235"/>
      <c r="E214" s="235"/>
      <c r="F214" s="235"/>
      <c r="G214" s="235"/>
      <c r="H214" s="235"/>
    </row>
    <row r="215" spans="1:9">
      <c r="C215" s="208" t="s">
        <v>3</v>
      </c>
      <c r="D215" s="235"/>
      <c r="E215" s="235"/>
      <c r="F215" s="235"/>
      <c r="G215" s="235"/>
      <c r="H215" s="235"/>
    </row>
    <row r="216" spans="1:9" ht="18">
      <c r="B216" s="204" t="s">
        <v>500</v>
      </c>
      <c r="C216" s="657" t="s">
        <v>8</v>
      </c>
      <c r="D216" s="228" t="s">
        <v>684</v>
      </c>
      <c r="E216" s="228" t="s">
        <v>685</v>
      </c>
      <c r="F216" s="228" t="s">
        <v>686</v>
      </c>
      <c r="G216" s="228" t="s">
        <v>687</v>
      </c>
      <c r="H216" s="228" t="s">
        <v>688</v>
      </c>
    </row>
    <row r="217" spans="1:9" ht="28">
      <c r="B217" s="204" t="s">
        <v>501</v>
      </c>
      <c r="C217" s="210" t="s">
        <v>12</v>
      </c>
      <c r="D217" s="228" t="s">
        <v>689</v>
      </c>
      <c r="E217" s="228" t="s">
        <v>690</v>
      </c>
      <c r="F217" s="228" t="s">
        <v>691</v>
      </c>
      <c r="G217" s="228" t="s">
        <v>692</v>
      </c>
      <c r="H217" s="230" t="s">
        <v>693</v>
      </c>
    </row>
    <row r="218" spans="1:9" ht="28">
      <c r="C218" s="208" t="s">
        <v>13</v>
      </c>
      <c r="D218" s="235" t="e">
        <f>D217/((K217+L217)/2)</f>
        <v>#VALUE!</v>
      </c>
      <c r="E218" s="235" t="e">
        <f t="shared" ref="E218:H218" si="19">E217/((L217+M217)/2)</f>
        <v>#VALUE!</v>
      </c>
      <c r="F218" s="235" t="e">
        <f t="shared" si="19"/>
        <v>#VALUE!</v>
      </c>
      <c r="G218" s="235" t="e">
        <f t="shared" si="19"/>
        <v>#VALUE!</v>
      </c>
      <c r="H218" s="235" t="e">
        <f t="shared" si="19"/>
        <v>#VALUE!</v>
      </c>
    </row>
    <row r="219" spans="1:9" ht="28">
      <c r="C219" s="208" t="s">
        <v>14</v>
      </c>
      <c r="D219" s="235" t="e">
        <f>D217/((D211+E211)/2)</f>
        <v>#VALUE!</v>
      </c>
      <c r="E219" s="235" t="e">
        <f t="shared" ref="E219:H219" si="20">E217/((E211+F211)/2)</f>
        <v>#VALUE!</v>
      </c>
      <c r="F219" s="235" t="e">
        <f t="shared" si="20"/>
        <v>#VALUE!</v>
      </c>
      <c r="G219" s="235" t="e">
        <f t="shared" si="20"/>
        <v>#VALUE!</v>
      </c>
      <c r="H219" s="235" t="e">
        <f t="shared" si="20"/>
        <v>#VALUE!</v>
      </c>
    </row>
    <row r="220" spans="1:9" ht="28">
      <c r="C220" s="208" t="s">
        <v>15</v>
      </c>
      <c r="D220" s="235"/>
      <c r="E220" s="235"/>
      <c r="F220" s="235"/>
      <c r="G220" s="235"/>
      <c r="H220" s="235"/>
    </row>
    <row r="221" spans="1:9" ht="18">
      <c r="B221" s="204" t="s">
        <v>671</v>
      </c>
      <c r="C221" s="659" t="s">
        <v>23</v>
      </c>
      <c r="D221" s="228" t="s">
        <v>694</v>
      </c>
      <c r="E221" s="228" t="s">
        <v>695</v>
      </c>
      <c r="F221" s="228" t="s">
        <v>696</v>
      </c>
      <c r="G221" s="228" t="s">
        <v>697</v>
      </c>
      <c r="H221" s="230" t="s">
        <v>698</v>
      </c>
      <c r="I221" s="230" t="s">
        <v>699</v>
      </c>
    </row>
    <row r="224" spans="1:9">
      <c r="A224" s="204" t="s">
        <v>201</v>
      </c>
    </row>
    <row r="225" spans="1:8">
      <c r="A225" s="204" t="s">
        <v>700</v>
      </c>
    </row>
    <row r="226" spans="1:8">
      <c r="A226" s="222" t="s">
        <v>701</v>
      </c>
      <c r="C226" s="655"/>
      <c r="D226" s="655">
        <v>2012</v>
      </c>
      <c r="E226" s="219" t="s">
        <v>213</v>
      </c>
      <c r="F226" s="219" t="s">
        <v>214</v>
      </c>
      <c r="G226" s="219" t="s">
        <v>215</v>
      </c>
      <c r="H226" s="219" t="s">
        <v>187</v>
      </c>
    </row>
    <row r="227" spans="1:8" ht="18">
      <c r="B227" s="204" t="s">
        <v>151</v>
      </c>
      <c r="C227" s="202" t="s">
        <v>246</v>
      </c>
      <c r="D227" s="228">
        <v>2730357</v>
      </c>
      <c r="E227" s="228">
        <v>2708057</v>
      </c>
      <c r="F227" s="228">
        <v>2745825</v>
      </c>
      <c r="G227" s="228">
        <v>3306540</v>
      </c>
      <c r="H227" s="230">
        <v>2742938</v>
      </c>
    </row>
    <row r="228" spans="1:8">
      <c r="C228" s="655"/>
      <c r="D228" s="234"/>
      <c r="E228" s="234"/>
      <c r="F228" s="234"/>
      <c r="G228" s="234"/>
      <c r="H228" s="234"/>
    </row>
    <row r="229" spans="1:8" ht="28">
      <c r="B229" s="204" t="s">
        <v>499</v>
      </c>
      <c r="C229" s="211" t="s">
        <v>247</v>
      </c>
      <c r="D229" s="228">
        <v>0</v>
      </c>
      <c r="E229" s="228">
        <v>0</v>
      </c>
      <c r="F229" s="228">
        <v>12547</v>
      </c>
      <c r="G229" s="228">
        <v>0</v>
      </c>
      <c r="H229" s="228">
        <v>106462</v>
      </c>
    </row>
    <row r="230" spans="1:8">
      <c r="C230" s="208" t="s">
        <v>248</v>
      </c>
      <c r="D230" s="235"/>
      <c r="E230" s="235"/>
      <c r="F230" s="235"/>
      <c r="G230" s="235"/>
      <c r="H230" s="235"/>
    </row>
    <row r="231" spans="1:8">
      <c r="C231" s="208" t="s">
        <v>249</v>
      </c>
      <c r="D231" s="235"/>
      <c r="E231" s="235"/>
      <c r="F231" s="235"/>
      <c r="G231" s="235"/>
      <c r="H231" s="235"/>
    </row>
    <row r="232" spans="1:8" ht="18">
      <c r="B232" s="204" t="s">
        <v>500</v>
      </c>
      <c r="C232" s="657" t="s">
        <v>250</v>
      </c>
      <c r="D232" s="228">
        <v>1518526</v>
      </c>
      <c r="E232" s="228">
        <v>1535148</v>
      </c>
      <c r="F232" s="228">
        <v>1599595</v>
      </c>
      <c r="G232" s="228">
        <v>2131996</v>
      </c>
      <c r="H232" s="228">
        <v>1761620</v>
      </c>
    </row>
    <row r="233" spans="1:8" ht="28">
      <c r="B233" s="204" t="s">
        <v>501</v>
      </c>
      <c r="C233" s="210" t="s">
        <v>251</v>
      </c>
      <c r="D233" s="228">
        <v>92723</v>
      </c>
      <c r="E233" s="228">
        <v>26678</v>
      </c>
      <c r="F233" s="228">
        <v>-28313</v>
      </c>
      <c r="G233" s="228">
        <v>62470</v>
      </c>
      <c r="H233" s="228">
        <v>-187944</v>
      </c>
    </row>
    <row r="234" spans="1:8" ht="28">
      <c r="C234" s="208" t="s">
        <v>252</v>
      </c>
      <c r="D234" s="235" t="e">
        <f>D233/((K233+L233)/2)</f>
        <v>#DIV/0!</v>
      </c>
      <c r="E234" s="235" t="e">
        <f t="shared" ref="E234:H234" si="21">E233/((L233+M233)/2)</f>
        <v>#DIV/0!</v>
      </c>
      <c r="F234" s="235" t="e">
        <f t="shared" si="21"/>
        <v>#DIV/0!</v>
      </c>
      <c r="G234" s="235" t="e">
        <f t="shared" si="21"/>
        <v>#DIV/0!</v>
      </c>
      <c r="H234" s="235" t="e">
        <f t="shared" si="21"/>
        <v>#DIV/0!</v>
      </c>
    </row>
    <row r="235" spans="1:8" ht="28">
      <c r="C235" s="208" t="s">
        <v>253</v>
      </c>
      <c r="D235" s="235">
        <f>D233/((D227+E227)/2)</f>
        <v>3.4099279679700736E-2</v>
      </c>
      <c r="E235" s="235">
        <f t="shared" ref="E235:H235" si="22">E233/((E227+F227)/2)</f>
        <v>9.7831232872291705E-3</v>
      </c>
      <c r="F235" s="235">
        <f t="shared" si="22"/>
        <v>-9.3560120713142708E-3</v>
      </c>
      <c r="G235" s="235">
        <f t="shared" si="22"/>
        <v>2.0653021632610284E-2</v>
      </c>
      <c r="H235" s="235">
        <f t="shared" si="22"/>
        <v>-0.13703846022039143</v>
      </c>
    </row>
    <row r="236" spans="1:8" ht="28">
      <c r="C236" s="208" t="s">
        <v>254</v>
      </c>
      <c r="D236" s="235"/>
      <c r="E236" s="235"/>
      <c r="F236" s="235"/>
      <c r="G236" s="235"/>
      <c r="H236" s="235"/>
    </row>
    <row r="237" spans="1:8" ht="18">
      <c r="B237" s="204" t="s">
        <v>502</v>
      </c>
      <c r="C237" s="659" t="s">
        <v>255</v>
      </c>
      <c r="D237" s="228">
        <v>1211831</v>
      </c>
      <c r="E237" s="228">
        <v>1172909</v>
      </c>
      <c r="F237" s="228">
        <v>1146231</v>
      </c>
      <c r="G237" s="228">
        <v>1174543</v>
      </c>
      <c r="H237" s="230">
        <v>981318</v>
      </c>
    </row>
    <row r="240" spans="1:8">
      <c r="A240" s="204" t="s">
        <v>232</v>
      </c>
    </row>
    <row r="241" spans="1:8">
      <c r="A241" s="204" t="s">
        <v>233</v>
      </c>
      <c r="C241" s="655"/>
      <c r="D241" s="655">
        <v>2011</v>
      </c>
      <c r="E241" s="219" t="s">
        <v>216</v>
      </c>
      <c r="F241" s="219" t="s">
        <v>217</v>
      </c>
      <c r="G241" s="219" t="s">
        <v>218</v>
      </c>
      <c r="H241" s="219" t="s">
        <v>219</v>
      </c>
    </row>
    <row r="242" spans="1:8" ht="18">
      <c r="B242" s="204" t="s">
        <v>151</v>
      </c>
      <c r="C242" s="202" t="s">
        <v>246</v>
      </c>
      <c r="D242" s="228">
        <v>1759190</v>
      </c>
      <c r="E242" s="228">
        <v>1881067</v>
      </c>
      <c r="F242" s="228">
        <v>2358396</v>
      </c>
      <c r="G242" s="228">
        <v>3890109</v>
      </c>
      <c r="H242" s="228">
        <v>2222359</v>
      </c>
    </row>
    <row r="243" spans="1:8">
      <c r="C243" s="655"/>
      <c r="D243" s="234"/>
      <c r="E243" s="234"/>
      <c r="F243" s="234"/>
      <c r="G243" s="234"/>
      <c r="H243" s="234"/>
    </row>
    <row r="244" spans="1:8" ht="28">
      <c r="B244" s="204" t="s">
        <v>499</v>
      </c>
      <c r="C244" s="211" t="s">
        <v>247</v>
      </c>
      <c r="D244" s="228">
        <v>1470228</v>
      </c>
      <c r="E244" s="228">
        <v>1331256</v>
      </c>
      <c r="F244" s="228">
        <v>1190763</v>
      </c>
      <c r="G244" s="228">
        <v>1014855</v>
      </c>
      <c r="H244" s="230">
        <v>889725</v>
      </c>
    </row>
    <row r="245" spans="1:8">
      <c r="C245" s="208" t="s">
        <v>248</v>
      </c>
      <c r="D245" s="235"/>
      <c r="E245" s="235"/>
      <c r="F245" s="235"/>
      <c r="G245" s="235"/>
      <c r="H245" s="235"/>
    </row>
    <row r="246" spans="1:8">
      <c r="C246" s="208" t="s">
        <v>249</v>
      </c>
      <c r="D246" s="235"/>
      <c r="E246" s="235"/>
      <c r="F246" s="235"/>
      <c r="G246" s="235"/>
      <c r="H246" s="235"/>
    </row>
    <row r="247" spans="1:8" ht="18">
      <c r="B247" s="204" t="s">
        <v>500</v>
      </c>
      <c r="C247" s="657" t="s">
        <v>250</v>
      </c>
      <c r="D247" s="228">
        <v>1072207</v>
      </c>
      <c r="E247" s="228">
        <v>1012292</v>
      </c>
      <c r="F247" s="228">
        <v>769968</v>
      </c>
      <c r="G247" s="228">
        <v>2289354</v>
      </c>
      <c r="H247" s="230">
        <v>1191118</v>
      </c>
    </row>
    <row r="248" spans="1:8" ht="28">
      <c r="B248" s="204" t="s">
        <v>501</v>
      </c>
      <c r="C248" s="210" t="s">
        <v>251</v>
      </c>
      <c r="D248" s="228">
        <v>-80609</v>
      </c>
      <c r="E248" s="228">
        <v>-687193</v>
      </c>
      <c r="F248" s="228">
        <v>-12327</v>
      </c>
      <c r="G248" s="228">
        <v>-44988</v>
      </c>
      <c r="H248" s="228">
        <v>46386</v>
      </c>
    </row>
    <row r="249" spans="1:8" ht="28">
      <c r="C249" s="208" t="s">
        <v>252</v>
      </c>
      <c r="D249" s="235" t="e">
        <f>D248/((K248+L248)/2)</f>
        <v>#DIV/0!</v>
      </c>
      <c r="E249" s="235" t="e">
        <f t="shared" ref="E249:H249" si="23">E248/((L248+M248)/2)</f>
        <v>#DIV/0!</v>
      </c>
      <c r="F249" s="235" t="e">
        <f t="shared" si="23"/>
        <v>#DIV/0!</v>
      </c>
      <c r="G249" s="235" t="e">
        <f t="shared" si="23"/>
        <v>#DIV/0!</v>
      </c>
      <c r="H249" s="235" t="e">
        <f t="shared" si="23"/>
        <v>#DIV/0!</v>
      </c>
    </row>
    <row r="250" spans="1:8" ht="28">
      <c r="C250" s="208" t="s">
        <v>253</v>
      </c>
      <c r="D250" s="235">
        <f>D248/((D242+E242)/2)</f>
        <v>-4.4287532446198166E-2</v>
      </c>
      <c r="E250" s="235">
        <f t="shared" ref="E250:H250" si="24">E248/((E242+F242)/2)</f>
        <v>-0.32418870031416713</v>
      </c>
      <c r="F250" s="235">
        <f t="shared" si="24"/>
        <v>-3.9455837836410469E-3</v>
      </c>
      <c r="G250" s="235">
        <f t="shared" si="24"/>
        <v>-1.4720077062162124E-2</v>
      </c>
      <c r="H250" s="235">
        <f t="shared" si="24"/>
        <v>4.1744830605676221E-2</v>
      </c>
    </row>
    <row r="251" spans="1:8" ht="28">
      <c r="C251" s="208" t="s">
        <v>254</v>
      </c>
      <c r="D251" s="235"/>
      <c r="E251" s="235"/>
      <c r="F251" s="235"/>
      <c r="G251" s="235"/>
      <c r="H251" s="235"/>
    </row>
    <row r="252" spans="1:8" ht="18">
      <c r="B252" s="204" t="s">
        <v>502</v>
      </c>
      <c r="C252" s="659" t="s">
        <v>255</v>
      </c>
      <c r="D252" s="228">
        <v>686983</v>
      </c>
      <c r="E252" s="228">
        <v>868775</v>
      </c>
      <c r="F252" s="228">
        <v>1588428</v>
      </c>
      <c r="G252" s="228">
        <v>1600755</v>
      </c>
      <c r="H252" s="228">
        <v>1031240</v>
      </c>
    </row>
    <row r="255" spans="1:8">
      <c r="A255" s="204" t="s">
        <v>234</v>
      </c>
    </row>
    <row r="256" spans="1:8">
      <c r="A256" s="222" t="s">
        <v>235</v>
      </c>
      <c r="C256" s="655"/>
      <c r="D256" s="655">
        <v>2011</v>
      </c>
      <c r="E256" s="219" t="s">
        <v>216</v>
      </c>
      <c r="F256" s="219" t="s">
        <v>217</v>
      </c>
      <c r="G256" s="219" t="s">
        <v>218</v>
      </c>
      <c r="H256" s="219" t="s">
        <v>219</v>
      </c>
    </row>
    <row r="257" spans="1:8" ht="18">
      <c r="B257" s="204" t="s">
        <v>151</v>
      </c>
      <c r="C257" s="202" t="s">
        <v>246</v>
      </c>
      <c r="D257" s="228">
        <v>200784</v>
      </c>
      <c r="E257" s="228">
        <v>197249</v>
      </c>
      <c r="F257" s="228">
        <v>373802</v>
      </c>
      <c r="G257" s="228">
        <v>572416</v>
      </c>
      <c r="H257" s="230">
        <v>552680</v>
      </c>
    </row>
    <row r="258" spans="1:8">
      <c r="C258" s="655"/>
      <c r="D258" s="234"/>
      <c r="E258" s="234"/>
      <c r="F258" s="234"/>
      <c r="G258" s="234"/>
      <c r="H258" s="234"/>
    </row>
    <row r="259" spans="1:8" ht="28">
      <c r="B259" s="204" t="s">
        <v>499</v>
      </c>
      <c r="C259" s="211" t="s">
        <v>247</v>
      </c>
      <c r="D259" s="228">
        <v>52777</v>
      </c>
      <c r="E259" s="228">
        <v>171837</v>
      </c>
      <c r="F259" s="228">
        <v>298303</v>
      </c>
      <c r="G259" s="228">
        <v>314608</v>
      </c>
      <c r="H259" s="230">
        <v>192981</v>
      </c>
    </row>
    <row r="260" spans="1:8">
      <c r="C260" s="208" t="s">
        <v>248</v>
      </c>
      <c r="D260" s="235"/>
      <c r="E260" s="235"/>
      <c r="F260" s="235"/>
      <c r="G260" s="235"/>
      <c r="H260" s="235"/>
    </row>
    <row r="261" spans="1:8">
      <c r="C261" s="208" t="s">
        <v>249</v>
      </c>
      <c r="D261" s="235"/>
      <c r="E261" s="235"/>
      <c r="F261" s="235"/>
      <c r="G261" s="235"/>
      <c r="H261" s="235"/>
    </row>
    <row r="262" spans="1:8" ht="18">
      <c r="B262" s="204" t="s">
        <v>500</v>
      </c>
      <c r="C262" s="657" t="s">
        <v>250</v>
      </c>
      <c r="D262" s="228">
        <v>75143</v>
      </c>
      <c r="E262" s="228">
        <v>31180</v>
      </c>
      <c r="F262" s="228">
        <v>207788</v>
      </c>
      <c r="G262" s="228">
        <v>267864</v>
      </c>
      <c r="H262" s="228">
        <v>259436</v>
      </c>
    </row>
    <row r="263" spans="1:8" ht="28">
      <c r="B263" s="204" t="s">
        <v>501</v>
      </c>
      <c r="C263" s="210" t="s">
        <v>251</v>
      </c>
      <c r="D263" s="228">
        <v>5567</v>
      </c>
      <c r="E263" s="228">
        <v>-15905</v>
      </c>
      <c r="F263" s="228">
        <v>-90877</v>
      </c>
      <c r="G263" s="228">
        <v>11035</v>
      </c>
      <c r="H263" s="228">
        <v>56584</v>
      </c>
    </row>
    <row r="264" spans="1:8" ht="28">
      <c r="C264" s="208" t="s">
        <v>252</v>
      </c>
      <c r="D264" s="235" t="e">
        <f>D263/((K263+L263)/2)</f>
        <v>#DIV/0!</v>
      </c>
      <c r="E264" s="235" t="e">
        <f t="shared" ref="E264:H264" si="25">E263/((L263+M263)/2)</f>
        <v>#DIV/0!</v>
      </c>
      <c r="F264" s="235" t="e">
        <f t="shared" si="25"/>
        <v>#DIV/0!</v>
      </c>
      <c r="G264" s="235" t="e">
        <f t="shared" si="25"/>
        <v>#DIV/0!</v>
      </c>
      <c r="H264" s="235" t="e">
        <f t="shared" si="25"/>
        <v>#DIV/0!</v>
      </c>
    </row>
    <row r="265" spans="1:8" ht="28">
      <c r="C265" s="208" t="s">
        <v>253</v>
      </c>
      <c r="D265" s="235">
        <f>D263/((D257+E257)/2)</f>
        <v>2.797255503940628E-2</v>
      </c>
      <c r="E265" s="235">
        <f t="shared" ref="E265:H265" si="26">E263/((E257+F257)/2)</f>
        <v>-5.570430662059956E-2</v>
      </c>
      <c r="F265" s="235">
        <f t="shared" si="26"/>
        <v>-0.19208469929762487</v>
      </c>
      <c r="G265" s="235">
        <f t="shared" si="26"/>
        <v>1.9616103870247516E-2</v>
      </c>
      <c r="H265" s="235">
        <f t="shared" si="26"/>
        <v>0.20476224940290946</v>
      </c>
    </row>
    <row r="266" spans="1:8" ht="28">
      <c r="C266" s="208" t="s">
        <v>254</v>
      </c>
      <c r="D266" s="235"/>
      <c r="E266" s="235"/>
      <c r="F266" s="235"/>
      <c r="G266" s="235"/>
      <c r="H266" s="235"/>
    </row>
    <row r="267" spans="1:8" ht="18">
      <c r="B267" s="204" t="s">
        <v>502</v>
      </c>
      <c r="C267" s="659" t="s">
        <v>255</v>
      </c>
      <c r="D267" s="228">
        <v>125641</v>
      </c>
      <c r="E267" s="228">
        <v>166070</v>
      </c>
      <c r="F267" s="228">
        <v>166014</v>
      </c>
      <c r="G267" s="228">
        <v>304552</v>
      </c>
      <c r="H267" s="230">
        <v>293245</v>
      </c>
    </row>
    <row r="270" spans="1:8">
      <c r="A270" s="204" t="s">
        <v>236</v>
      </c>
    </row>
    <row r="271" spans="1:8">
      <c r="A271" s="204" t="s">
        <v>237</v>
      </c>
      <c r="C271" s="655"/>
      <c r="D271" s="655">
        <v>2009</v>
      </c>
      <c r="E271" s="219" t="s">
        <v>220</v>
      </c>
      <c r="F271" s="219" t="s">
        <v>221</v>
      </c>
      <c r="G271" s="219" t="s">
        <v>222</v>
      </c>
      <c r="H271" s="219" t="s">
        <v>223</v>
      </c>
    </row>
    <row r="272" spans="1:8" ht="18">
      <c r="B272" s="204" t="s">
        <v>151</v>
      </c>
      <c r="C272" s="202" t="s">
        <v>246</v>
      </c>
      <c r="D272" s="228">
        <v>255140</v>
      </c>
      <c r="E272" s="228">
        <v>267953</v>
      </c>
      <c r="F272" s="228">
        <v>211614</v>
      </c>
      <c r="G272" s="228">
        <v>177642</v>
      </c>
      <c r="H272" s="230">
        <v>227175</v>
      </c>
    </row>
    <row r="273" spans="1:8">
      <c r="C273" s="655"/>
      <c r="D273" s="234"/>
      <c r="E273" s="234"/>
      <c r="F273" s="234"/>
      <c r="G273" s="234"/>
      <c r="H273" s="234"/>
    </row>
    <row r="274" spans="1:8" ht="28">
      <c r="B274" s="204" t="s">
        <v>499</v>
      </c>
      <c r="C274" s="211" t="s">
        <v>247</v>
      </c>
      <c r="D274" s="228">
        <v>283803</v>
      </c>
      <c r="E274" s="228">
        <v>345480</v>
      </c>
      <c r="F274" s="228">
        <v>298206</v>
      </c>
      <c r="G274" s="228">
        <v>257674</v>
      </c>
      <c r="H274" s="230">
        <v>270877</v>
      </c>
    </row>
    <row r="275" spans="1:8">
      <c r="C275" s="208" t="s">
        <v>248</v>
      </c>
      <c r="D275" s="235"/>
      <c r="E275" s="235"/>
      <c r="F275" s="235"/>
      <c r="G275" s="235"/>
      <c r="H275" s="235"/>
    </row>
    <row r="276" spans="1:8">
      <c r="C276" s="208" t="s">
        <v>249</v>
      </c>
      <c r="D276" s="235"/>
      <c r="E276" s="235"/>
      <c r="F276" s="235"/>
      <c r="G276" s="235"/>
      <c r="H276" s="235"/>
    </row>
    <row r="277" spans="1:8" ht="18">
      <c r="B277" s="204" t="s">
        <v>500</v>
      </c>
      <c r="C277" s="657" t="s">
        <v>250</v>
      </c>
      <c r="D277" s="228">
        <v>169476</v>
      </c>
      <c r="E277" s="228">
        <v>179808</v>
      </c>
      <c r="F277" s="228">
        <v>108476</v>
      </c>
      <c r="G277" s="228">
        <v>85076</v>
      </c>
      <c r="H277" s="228">
        <v>118726</v>
      </c>
    </row>
    <row r="278" spans="1:8" ht="28">
      <c r="B278" s="204" t="s">
        <v>501</v>
      </c>
      <c r="C278" s="210" t="s">
        <v>251</v>
      </c>
      <c r="D278" s="228">
        <v>37566</v>
      </c>
      <c r="E278" s="228">
        <v>67904</v>
      </c>
      <c r="F278" s="228">
        <v>47279</v>
      </c>
      <c r="G278" s="228">
        <v>31916</v>
      </c>
      <c r="H278" s="230">
        <v>52208</v>
      </c>
    </row>
    <row r="279" spans="1:8" ht="28">
      <c r="C279" s="208" t="s">
        <v>252</v>
      </c>
      <c r="D279" s="235" t="e">
        <f>D278/((K278+L278)/2)</f>
        <v>#DIV/0!</v>
      </c>
      <c r="E279" s="235" t="e">
        <f t="shared" ref="E279:H279" si="27">E278/((L278+M278)/2)</f>
        <v>#DIV/0!</v>
      </c>
      <c r="F279" s="235" t="e">
        <f t="shared" si="27"/>
        <v>#DIV/0!</v>
      </c>
      <c r="G279" s="235" t="e">
        <f t="shared" si="27"/>
        <v>#DIV/0!</v>
      </c>
      <c r="H279" s="235" t="e">
        <f t="shared" si="27"/>
        <v>#DIV/0!</v>
      </c>
    </row>
    <row r="280" spans="1:8" ht="28">
      <c r="C280" s="208" t="s">
        <v>253</v>
      </c>
      <c r="D280" s="235">
        <f>D278/((D272+E272)/2)</f>
        <v>0.14363029136310368</v>
      </c>
      <c r="E280" s="235">
        <f t="shared" ref="E280:H280" si="28">E278/((E272+F272)/2)</f>
        <v>0.2831887932238874</v>
      </c>
      <c r="F280" s="235">
        <f t="shared" si="28"/>
        <v>0.24291982654088826</v>
      </c>
      <c r="G280" s="235">
        <f t="shared" si="28"/>
        <v>0.15768112505156651</v>
      </c>
      <c r="H280" s="235">
        <f t="shared" si="28"/>
        <v>0.45962804005722463</v>
      </c>
    </row>
    <row r="281" spans="1:8" ht="28">
      <c r="C281" s="208" t="s">
        <v>254</v>
      </c>
      <c r="D281" s="235"/>
      <c r="E281" s="235"/>
      <c r="F281" s="235"/>
      <c r="G281" s="235"/>
      <c r="H281" s="235"/>
    </row>
    <row r="282" spans="1:8" ht="18">
      <c r="B282" s="204" t="s">
        <v>502</v>
      </c>
      <c r="C282" s="659" t="s">
        <v>255</v>
      </c>
      <c r="D282" s="228">
        <v>85664</v>
      </c>
      <c r="E282" s="228">
        <v>88145</v>
      </c>
      <c r="F282" s="228">
        <v>103138</v>
      </c>
      <c r="G282" s="228">
        <v>92566</v>
      </c>
      <c r="H282" s="230">
        <v>108451</v>
      </c>
    </row>
    <row r="285" spans="1:8">
      <c r="A285" s="204" t="s">
        <v>238</v>
      </c>
    </row>
    <row r="286" spans="1:8">
      <c r="A286" s="204" t="s">
        <v>239</v>
      </c>
      <c r="C286" s="655"/>
      <c r="D286" s="655">
        <v>2008</v>
      </c>
      <c r="E286" s="219" t="s">
        <v>224</v>
      </c>
      <c r="F286" s="219" t="s">
        <v>225</v>
      </c>
      <c r="G286" s="219" t="s">
        <v>226</v>
      </c>
      <c r="H286" s="219" t="s">
        <v>227</v>
      </c>
    </row>
    <row r="287" spans="1:8" ht="18">
      <c r="B287" s="204" t="s">
        <v>151</v>
      </c>
      <c r="C287" s="202" t="s">
        <v>246</v>
      </c>
      <c r="D287" s="228">
        <v>52549</v>
      </c>
      <c r="E287" s="228">
        <v>66722</v>
      </c>
      <c r="F287" s="228">
        <v>56154</v>
      </c>
      <c r="G287" s="228">
        <v>52427</v>
      </c>
      <c r="H287" s="228">
        <v>51351</v>
      </c>
    </row>
    <row r="288" spans="1:8">
      <c r="C288" s="655"/>
      <c r="D288" s="234"/>
      <c r="E288" s="234"/>
      <c r="F288" s="234"/>
      <c r="G288" s="234"/>
      <c r="H288" s="234"/>
    </row>
    <row r="289" spans="1:8" ht="28">
      <c r="B289" s="204" t="s">
        <v>499</v>
      </c>
      <c r="C289" s="211" t="s">
        <v>247</v>
      </c>
      <c r="D289" s="228">
        <v>50700</v>
      </c>
      <c r="E289" s="228">
        <v>52987</v>
      </c>
      <c r="F289" s="228">
        <v>52226</v>
      </c>
      <c r="G289" s="228">
        <v>54738</v>
      </c>
      <c r="H289" s="230">
        <v>54577</v>
      </c>
    </row>
    <row r="290" spans="1:8">
      <c r="C290" s="208" t="s">
        <v>248</v>
      </c>
      <c r="D290" s="235"/>
      <c r="E290" s="235"/>
      <c r="F290" s="235"/>
      <c r="G290" s="235"/>
      <c r="H290" s="235"/>
    </row>
    <row r="291" spans="1:8">
      <c r="C291" s="208" t="s">
        <v>249</v>
      </c>
      <c r="D291" s="235"/>
      <c r="E291" s="235"/>
      <c r="F291" s="235"/>
      <c r="G291" s="235"/>
      <c r="H291" s="235"/>
    </row>
    <row r="292" spans="1:8" ht="18">
      <c r="B292" s="204" t="s">
        <v>500</v>
      </c>
      <c r="C292" s="657" t="s">
        <v>250</v>
      </c>
      <c r="D292" s="228">
        <v>30996</v>
      </c>
      <c r="E292" s="228">
        <v>42443</v>
      </c>
      <c r="F292" s="228">
        <v>32245</v>
      </c>
      <c r="G292" s="228">
        <v>25222</v>
      </c>
      <c r="H292" s="230">
        <v>21226</v>
      </c>
    </row>
    <row r="293" spans="1:8" ht="28">
      <c r="B293" s="204" t="s">
        <v>501</v>
      </c>
      <c r="C293" s="210" t="s">
        <v>251</v>
      </c>
      <c r="D293" s="228">
        <v>-115</v>
      </c>
      <c r="E293" s="228">
        <v>3865</v>
      </c>
      <c r="F293" s="228">
        <v>4676</v>
      </c>
      <c r="G293" s="228">
        <v>2471</v>
      </c>
      <c r="H293" s="230">
        <v>11482</v>
      </c>
    </row>
    <row r="294" spans="1:8" ht="28">
      <c r="C294" s="208" t="s">
        <v>252</v>
      </c>
      <c r="D294" s="235" t="e">
        <f>D293/((K293+L293)/2)</f>
        <v>#DIV/0!</v>
      </c>
      <c r="E294" s="235" t="e">
        <f t="shared" ref="E294:H294" si="29">E293/((L293+M293)/2)</f>
        <v>#DIV/0!</v>
      </c>
      <c r="F294" s="235" t="e">
        <f t="shared" si="29"/>
        <v>#DIV/0!</v>
      </c>
      <c r="G294" s="235" t="e">
        <f t="shared" si="29"/>
        <v>#DIV/0!</v>
      </c>
      <c r="H294" s="235" t="e">
        <f t="shared" si="29"/>
        <v>#DIV/0!</v>
      </c>
    </row>
    <row r="295" spans="1:8" ht="28">
      <c r="C295" s="208" t="s">
        <v>253</v>
      </c>
      <c r="D295" s="235">
        <f>D293/((D287+E287)/2)</f>
        <v>-1.928381584794292E-3</v>
      </c>
      <c r="E295" s="235">
        <f t="shared" ref="E295:H295" si="30">E293/((E287+F287)/2)</f>
        <v>6.290894885901234E-2</v>
      </c>
      <c r="F295" s="235">
        <f t="shared" si="30"/>
        <v>8.6129249131984414E-2</v>
      </c>
      <c r="G295" s="235">
        <f t="shared" si="30"/>
        <v>4.7620883038794352E-2</v>
      </c>
      <c r="H295" s="235">
        <f t="shared" si="30"/>
        <v>0.44719674397772197</v>
      </c>
    </row>
    <row r="296" spans="1:8" ht="28">
      <c r="C296" s="208" t="s">
        <v>254</v>
      </c>
      <c r="D296" s="235"/>
      <c r="E296" s="235"/>
      <c r="F296" s="235"/>
      <c r="G296" s="235"/>
      <c r="H296" s="235"/>
    </row>
    <row r="297" spans="1:8" ht="18">
      <c r="B297" s="204" t="s">
        <v>502</v>
      </c>
      <c r="C297" s="659" t="s">
        <v>255</v>
      </c>
      <c r="D297" s="228">
        <v>21553</v>
      </c>
      <c r="E297" s="228">
        <v>24279</v>
      </c>
      <c r="F297" s="228">
        <v>23909</v>
      </c>
      <c r="G297" s="228">
        <v>27205</v>
      </c>
      <c r="H297" s="230">
        <v>30125</v>
      </c>
    </row>
    <row r="300" spans="1:8">
      <c r="A300" s="204" t="s">
        <v>240</v>
      </c>
    </row>
    <row r="301" spans="1:8">
      <c r="A301" s="204" t="s">
        <v>241</v>
      </c>
    </row>
    <row r="302" spans="1:8">
      <c r="C302" s="655"/>
      <c r="D302" s="655">
        <v>2016</v>
      </c>
      <c r="E302" s="219" t="s">
        <v>171</v>
      </c>
      <c r="F302" s="219" t="s">
        <v>172</v>
      </c>
      <c r="G302" s="219" t="s">
        <v>173</v>
      </c>
      <c r="H302" s="219" t="s">
        <v>174</v>
      </c>
    </row>
    <row r="303" spans="1:8">
      <c r="B303" s="204" t="s">
        <v>151</v>
      </c>
      <c r="C303" s="202" t="s">
        <v>246</v>
      </c>
      <c r="D303" s="216">
        <v>104134</v>
      </c>
      <c r="E303" s="216">
        <v>29815</v>
      </c>
      <c r="F303" s="216">
        <v>41059</v>
      </c>
      <c r="G303" s="216">
        <v>48253.124539822304</v>
      </c>
      <c r="H303" s="216">
        <v>7177.9174040257903</v>
      </c>
    </row>
    <row r="304" spans="1:8">
      <c r="C304" s="655"/>
      <c r="D304" s="234"/>
      <c r="E304" s="234"/>
      <c r="F304" s="234"/>
      <c r="G304" s="234"/>
      <c r="H304" s="234"/>
    </row>
    <row r="305" spans="1:26" ht="28">
      <c r="B305" s="204" t="s">
        <v>499</v>
      </c>
      <c r="C305" s="211" t="s">
        <v>247</v>
      </c>
      <c r="D305" s="212">
        <v>3845</v>
      </c>
      <c r="E305" s="212">
        <v>4413</v>
      </c>
      <c r="F305" s="212">
        <v>4479</v>
      </c>
      <c r="G305" s="212">
        <v>1898.0262976884801</v>
      </c>
      <c r="H305" s="212">
        <v>874.86534878611599</v>
      </c>
    </row>
    <row r="306" spans="1:26">
      <c r="C306" s="208" t="s">
        <v>248</v>
      </c>
      <c r="D306" s="212">
        <v>12850</v>
      </c>
      <c r="E306" s="212">
        <v>0</v>
      </c>
      <c r="F306" s="212">
        <v>0</v>
      </c>
      <c r="G306" s="212">
        <v>0</v>
      </c>
      <c r="H306" s="212">
        <v>0</v>
      </c>
    </row>
    <row r="307" spans="1:26">
      <c r="C307" s="208" t="s">
        <v>249</v>
      </c>
      <c r="D307" s="212">
        <v>7789</v>
      </c>
      <c r="E307" s="212">
        <v>5170</v>
      </c>
      <c r="F307" s="212">
        <v>4748</v>
      </c>
      <c r="G307" s="212">
        <v>5867.7631019353903</v>
      </c>
      <c r="H307" s="212">
        <v>1764.9910207092801</v>
      </c>
    </row>
    <row r="308" spans="1:26" ht="18">
      <c r="B308" s="204" t="s">
        <v>500</v>
      </c>
      <c r="C308" s="657" t="s">
        <v>250</v>
      </c>
      <c r="D308" s="662">
        <f>D306+D307</f>
        <v>20639</v>
      </c>
      <c r="E308" s="662">
        <f t="shared" ref="E308:H308" si="31">E306+E307</f>
        <v>5170</v>
      </c>
      <c r="F308" s="662">
        <f t="shared" si="31"/>
        <v>4748</v>
      </c>
      <c r="G308" s="662">
        <f t="shared" si="31"/>
        <v>5867.7631019353903</v>
      </c>
      <c r="H308" s="662">
        <f t="shared" si="31"/>
        <v>1764.9910207092801</v>
      </c>
    </row>
    <row r="309" spans="1:26" ht="28">
      <c r="B309" s="204" t="s">
        <v>501</v>
      </c>
      <c r="C309" s="210" t="s">
        <v>251</v>
      </c>
      <c r="D309" s="212">
        <v>-44213</v>
      </c>
      <c r="E309" s="212">
        <v>-31788</v>
      </c>
      <c r="F309" s="212">
        <v>-25796</v>
      </c>
      <c r="G309" s="212">
        <v>-13695.065658867399</v>
      </c>
      <c r="H309" s="212">
        <v>-8388.68939504027</v>
      </c>
    </row>
    <row r="310" spans="1:26" ht="28">
      <c r="C310" s="208" t="s">
        <v>252</v>
      </c>
      <c r="D310" s="235"/>
      <c r="E310" s="235"/>
      <c r="F310" s="235"/>
      <c r="G310" s="235"/>
      <c r="H310" s="235"/>
    </row>
    <row r="311" spans="1:26" ht="28">
      <c r="C311" s="208" t="s">
        <v>253</v>
      </c>
      <c r="D311" s="235"/>
      <c r="E311" s="235"/>
      <c r="F311" s="235"/>
      <c r="G311" s="235"/>
      <c r="H311" s="235"/>
    </row>
    <row r="312" spans="1:26" ht="28">
      <c r="C312" s="208" t="s">
        <v>254</v>
      </c>
      <c r="D312" s="235"/>
      <c r="E312" s="235"/>
      <c r="F312" s="235"/>
      <c r="G312" s="235"/>
      <c r="H312" s="235"/>
    </row>
    <row r="313" spans="1:26">
      <c r="B313" s="204" t="s">
        <v>502</v>
      </c>
      <c r="C313" s="659" t="s">
        <v>255</v>
      </c>
      <c r="D313" s="212">
        <v>83495</v>
      </c>
      <c r="E313" s="212">
        <v>24645</v>
      </c>
      <c r="F313" s="212">
        <v>36311</v>
      </c>
      <c r="G313" s="212">
        <v>42385.361437886997</v>
      </c>
      <c r="H313" s="212">
        <v>5412.9263833165196</v>
      </c>
    </row>
    <row r="316" spans="1:26">
      <c r="A316" s="204" t="s">
        <v>242</v>
      </c>
      <c r="J316" s="656" t="s">
        <v>702</v>
      </c>
      <c r="S316" s="204"/>
    </row>
    <row r="317" spans="1:26">
      <c r="A317" s="204" t="s">
        <v>243</v>
      </c>
      <c r="C317" s="655"/>
      <c r="D317" s="655">
        <v>2013</v>
      </c>
      <c r="E317" s="219" t="s">
        <v>228</v>
      </c>
      <c r="F317" s="219" t="s">
        <v>229</v>
      </c>
      <c r="G317" s="219" t="s">
        <v>230</v>
      </c>
      <c r="H317" s="219" t="s">
        <v>231</v>
      </c>
      <c r="J317" s="656" t="s">
        <v>199</v>
      </c>
      <c r="L317" s="655"/>
      <c r="M317" s="655">
        <v>2013</v>
      </c>
      <c r="N317" s="219" t="s">
        <v>228</v>
      </c>
      <c r="O317" s="219" t="s">
        <v>229</v>
      </c>
      <c r="P317" s="219" t="s">
        <v>230</v>
      </c>
      <c r="Q317" s="219" t="s">
        <v>231</v>
      </c>
      <c r="U317" s="655"/>
      <c r="V317" s="655"/>
      <c r="W317" s="219"/>
      <c r="X317" s="219"/>
      <c r="Y317" s="219"/>
      <c r="Z317" s="219"/>
    </row>
    <row r="318" spans="1:26" ht="18">
      <c r="B318" s="204" t="s">
        <v>151</v>
      </c>
      <c r="C318" s="202" t="s">
        <v>246</v>
      </c>
      <c r="D318" s="228">
        <v>474160</v>
      </c>
      <c r="E318" s="228">
        <v>464150</v>
      </c>
      <c r="F318" s="228">
        <v>525226</v>
      </c>
      <c r="G318" s="228">
        <v>582388</v>
      </c>
      <c r="H318" s="228">
        <v>578014</v>
      </c>
      <c r="K318" s="204" t="s">
        <v>151</v>
      </c>
      <c r="L318" s="202" t="s">
        <v>246</v>
      </c>
      <c r="M318" s="228">
        <v>166309</v>
      </c>
      <c r="N318" s="228">
        <v>168208</v>
      </c>
      <c r="O318" s="228">
        <v>188932</v>
      </c>
      <c r="P318" s="228">
        <v>208404</v>
      </c>
      <c r="Q318" s="228">
        <v>220027</v>
      </c>
      <c r="T318" s="204"/>
      <c r="U318" s="202"/>
      <c r="V318" s="228"/>
      <c r="W318" s="228"/>
      <c r="X318" s="228"/>
      <c r="Y318" s="228"/>
      <c r="Z318" s="228"/>
    </row>
    <row r="319" spans="1:26">
      <c r="C319" s="655"/>
      <c r="D319" s="234"/>
      <c r="E319" s="234"/>
      <c r="F319" s="234"/>
      <c r="G319" s="234"/>
      <c r="H319" s="234"/>
      <c r="L319" s="655"/>
      <c r="M319" s="234"/>
      <c r="N319" s="234"/>
      <c r="O319" s="234"/>
      <c r="P319" s="234"/>
      <c r="Q319" s="234"/>
      <c r="U319" s="655"/>
      <c r="V319" s="234"/>
      <c r="W319" s="234"/>
      <c r="X319" s="234"/>
      <c r="Y319" s="234"/>
      <c r="Z319" s="234"/>
    </row>
    <row r="320" spans="1:26" ht="42">
      <c r="B320" s="204" t="s">
        <v>499</v>
      </c>
      <c r="C320" s="211" t="s">
        <v>247</v>
      </c>
      <c r="D320" s="228">
        <v>364</v>
      </c>
      <c r="E320" s="228">
        <v>266</v>
      </c>
      <c r="F320" s="228">
        <v>379</v>
      </c>
      <c r="G320" s="228">
        <v>0</v>
      </c>
      <c r="H320" s="228">
        <v>0</v>
      </c>
      <c r="K320" s="204" t="s">
        <v>499</v>
      </c>
      <c r="L320" s="211" t="s">
        <v>247</v>
      </c>
      <c r="M320" s="228">
        <v>70</v>
      </c>
      <c r="N320" s="228">
        <v>7855</v>
      </c>
      <c r="O320" s="228">
        <v>9810</v>
      </c>
      <c r="P320" s="228">
        <v>12056</v>
      </c>
      <c r="Q320" s="228">
        <v>8978</v>
      </c>
      <c r="T320" s="204"/>
      <c r="U320" s="211"/>
      <c r="V320" s="228"/>
      <c r="W320" s="228"/>
      <c r="X320" s="228"/>
      <c r="Y320" s="228"/>
      <c r="Z320" s="228"/>
    </row>
    <row r="321" spans="1:35" ht="42">
      <c r="C321" s="208" t="s">
        <v>248</v>
      </c>
      <c r="D321" s="235"/>
      <c r="E321" s="235"/>
      <c r="F321" s="235"/>
      <c r="G321" s="235"/>
      <c r="H321" s="235"/>
      <c r="L321" s="208" t="s">
        <v>248</v>
      </c>
      <c r="M321" s="235"/>
      <c r="N321" s="235"/>
      <c r="O321" s="235"/>
      <c r="P321" s="235"/>
      <c r="Q321" s="235"/>
      <c r="U321" s="208"/>
      <c r="V321" s="235"/>
      <c r="W321" s="235"/>
      <c r="X321" s="235"/>
      <c r="Y321" s="235"/>
      <c r="Z321" s="235"/>
    </row>
    <row r="322" spans="1:35" ht="28">
      <c r="C322" s="208" t="s">
        <v>249</v>
      </c>
      <c r="D322" s="235"/>
      <c r="E322" s="235"/>
      <c r="F322" s="235"/>
      <c r="G322" s="235"/>
      <c r="H322" s="235"/>
      <c r="L322" s="208" t="s">
        <v>249</v>
      </c>
      <c r="M322" s="235"/>
      <c r="N322" s="235"/>
      <c r="O322" s="235"/>
      <c r="P322" s="235"/>
      <c r="Q322" s="235"/>
      <c r="U322" s="208"/>
      <c r="V322" s="235"/>
      <c r="W322" s="235"/>
      <c r="X322" s="235"/>
      <c r="Y322" s="235"/>
      <c r="Z322" s="235"/>
    </row>
    <row r="323" spans="1:35" ht="18">
      <c r="B323" s="204" t="s">
        <v>500</v>
      </c>
      <c r="C323" s="657" t="s">
        <v>250</v>
      </c>
      <c r="D323" s="228">
        <v>4778</v>
      </c>
      <c r="E323" s="228">
        <v>2841</v>
      </c>
      <c r="F323" s="228">
        <v>2554</v>
      </c>
      <c r="G323" s="228">
        <v>5400</v>
      </c>
      <c r="H323" s="230">
        <v>6003</v>
      </c>
      <c r="K323" s="204" t="s">
        <v>500</v>
      </c>
      <c r="L323" s="657" t="s">
        <v>250</v>
      </c>
      <c r="M323" s="228">
        <v>64681</v>
      </c>
      <c r="N323" s="228">
        <v>41149</v>
      </c>
      <c r="O323" s="228">
        <v>42413</v>
      </c>
      <c r="P323" s="228">
        <v>26318</v>
      </c>
      <c r="Q323" s="228">
        <v>19491</v>
      </c>
      <c r="T323" s="204"/>
      <c r="U323" s="657"/>
      <c r="V323" s="228"/>
      <c r="W323" s="228"/>
      <c r="X323" s="228"/>
      <c r="Y323" s="228"/>
      <c r="Z323" s="228"/>
    </row>
    <row r="324" spans="1:35" ht="28">
      <c r="B324" s="204" t="s">
        <v>501</v>
      </c>
      <c r="C324" s="210" t="s">
        <v>251</v>
      </c>
      <c r="D324" s="228">
        <v>7119</v>
      </c>
      <c r="E324" s="228">
        <v>-65476</v>
      </c>
      <c r="F324" s="228">
        <v>-21090</v>
      </c>
      <c r="G324" s="228">
        <v>4047</v>
      </c>
      <c r="H324" s="228">
        <v>-72484</v>
      </c>
      <c r="K324" s="204" t="s">
        <v>501</v>
      </c>
      <c r="L324" s="210" t="s">
        <v>251</v>
      </c>
      <c r="M324" s="228">
        <v>-23814</v>
      </c>
      <c r="N324" s="228">
        <v>-21308</v>
      </c>
      <c r="O324" s="228">
        <v>-29235</v>
      </c>
      <c r="P324" s="228">
        <v>-20905</v>
      </c>
      <c r="Q324" s="228">
        <v>-12730</v>
      </c>
      <c r="T324" s="204"/>
      <c r="U324" s="210"/>
      <c r="V324" s="228"/>
      <c r="W324" s="228"/>
      <c r="X324" s="228"/>
      <c r="Y324" s="228"/>
      <c r="Z324" s="228"/>
    </row>
    <row r="325" spans="1:35" ht="28">
      <c r="C325" s="208" t="s">
        <v>252</v>
      </c>
      <c r="D325" s="235" t="e">
        <f>D324/((K324+L324)/2)</f>
        <v>#VALUE!</v>
      </c>
      <c r="E325" s="235" t="e">
        <f t="shared" ref="E325:H325" si="32">E324/((L324+M324)/2)</f>
        <v>#VALUE!</v>
      </c>
      <c r="F325" s="235">
        <f t="shared" si="32"/>
        <v>0.93479898940649797</v>
      </c>
      <c r="G325" s="235">
        <f t="shared" si="32"/>
        <v>-0.16014087015016917</v>
      </c>
      <c r="H325" s="235">
        <f t="shared" si="32"/>
        <v>2.8912644595133625</v>
      </c>
      <c r="L325" s="208" t="s">
        <v>252</v>
      </c>
      <c r="M325" s="235"/>
      <c r="N325" s="235"/>
      <c r="O325" s="235"/>
      <c r="P325" s="235"/>
      <c r="Q325" s="235"/>
      <c r="U325" s="208"/>
      <c r="V325" s="235"/>
      <c r="W325" s="235"/>
      <c r="X325" s="235"/>
      <c r="Y325" s="235"/>
      <c r="Z325" s="235"/>
    </row>
    <row r="326" spans="1:35" ht="28">
      <c r="C326" s="208" t="s">
        <v>253</v>
      </c>
      <c r="D326" s="235">
        <f>D324/((D318+E318)/2)</f>
        <v>1.5174089586597181E-2</v>
      </c>
      <c r="E326" s="235">
        <f t="shared" ref="E326:H326" si="33">E324/((E318+F318)/2)</f>
        <v>-0.13235817323242124</v>
      </c>
      <c r="F326" s="235">
        <f t="shared" si="33"/>
        <v>-3.8081858842520952E-2</v>
      </c>
      <c r="G326" s="235">
        <f t="shared" si="33"/>
        <v>6.9751689500707516E-3</v>
      </c>
      <c r="H326" s="235">
        <f t="shared" si="33"/>
        <v>-0.25080361375330007</v>
      </c>
      <c r="L326" s="208" t="s">
        <v>253</v>
      </c>
      <c r="M326" s="235"/>
      <c r="N326" s="235"/>
      <c r="O326" s="235"/>
      <c r="P326" s="235"/>
      <c r="Q326" s="235"/>
      <c r="U326" s="208"/>
      <c r="V326" s="235"/>
      <c r="W326" s="235"/>
      <c r="X326" s="235"/>
      <c r="Y326" s="235"/>
      <c r="Z326" s="235"/>
    </row>
    <row r="327" spans="1:35" ht="42">
      <c r="C327" s="208" t="s">
        <v>254</v>
      </c>
      <c r="D327" s="235"/>
      <c r="E327" s="235"/>
      <c r="F327" s="235"/>
      <c r="G327" s="235"/>
      <c r="H327" s="235"/>
      <c r="L327" s="208" t="s">
        <v>254</v>
      </c>
      <c r="M327" s="235"/>
      <c r="N327" s="235"/>
      <c r="O327" s="235"/>
      <c r="P327" s="235"/>
      <c r="Q327" s="235"/>
      <c r="U327" s="208"/>
      <c r="V327" s="235"/>
      <c r="W327" s="235"/>
      <c r="X327" s="235"/>
      <c r="Y327" s="235"/>
      <c r="Z327" s="235"/>
    </row>
    <row r="328" spans="1:35" ht="18">
      <c r="B328" s="204" t="s">
        <v>502</v>
      </c>
      <c r="C328" s="659" t="s">
        <v>255</v>
      </c>
      <c r="D328" s="228">
        <v>469382</v>
      </c>
      <c r="E328" s="228">
        <v>461309</v>
      </c>
      <c r="F328" s="228">
        <v>522672</v>
      </c>
      <c r="G328" s="228">
        <v>576988</v>
      </c>
      <c r="H328" s="228">
        <v>572011</v>
      </c>
      <c r="K328" s="204" t="s">
        <v>502</v>
      </c>
      <c r="L328" s="659" t="s">
        <v>255</v>
      </c>
      <c r="M328" s="228">
        <v>101628</v>
      </c>
      <c r="N328" s="228">
        <v>127059</v>
      </c>
      <c r="O328" s="228">
        <v>146519</v>
      </c>
      <c r="P328" s="228">
        <v>182087</v>
      </c>
      <c r="Q328" s="228">
        <v>200536</v>
      </c>
      <c r="T328" s="204"/>
      <c r="U328" s="659"/>
      <c r="V328" s="228"/>
      <c r="W328" s="228"/>
      <c r="X328" s="228"/>
      <c r="Y328" s="228"/>
      <c r="Z328" s="228"/>
    </row>
    <row r="331" spans="1:35">
      <c r="A331" s="217" t="s">
        <v>287</v>
      </c>
    </row>
    <row r="332" spans="1:35">
      <c r="A332" s="204" t="s">
        <v>288</v>
      </c>
      <c r="J332" s="656" t="s">
        <v>703</v>
      </c>
      <c r="S332" s="656" t="s">
        <v>548</v>
      </c>
      <c r="AB332" s="656" t="s">
        <v>704</v>
      </c>
    </row>
    <row r="333" spans="1:35">
      <c r="A333" s="204" t="s">
        <v>199</v>
      </c>
      <c r="C333" s="655"/>
      <c r="D333" s="655">
        <v>2013</v>
      </c>
      <c r="E333" s="219" t="s">
        <v>228</v>
      </c>
      <c r="F333" s="219" t="s">
        <v>229</v>
      </c>
      <c r="G333" s="219" t="s">
        <v>230</v>
      </c>
      <c r="H333" s="219" t="s">
        <v>231</v>
      </c>
      <c r="J333" s="656" t="s">
        <v>199</v>
      </c>
      <c r="L333" s="655"/>
      <c r="M333" s="655">
        <v>2013</v>
      </c>
      <c r="N333" s="219" t="s">
        <v>228</v>
      </c>
      <c r="O333" s="219" t="s">
        <v>229</v>
      </c>
      <c r="P333" s="219" t="s">
        <v>230</v>
      </c>
      <c r="Q333" s="219" t="s">
        <v>231</v>
      </c>
      <c r="S333" s="656" t="s">
        <v>199</v>
      </c>
      <c r="U333" s="655"/>
      <c r="V333" s="655">
        <v>2013</v>
      </c>
      <c r="W333" s="219" t="s">
        <v>228</v>
      </c>
      <c r="X333" s="219" t="s">
        <v>229</v>
      </c>
      <c r="Y333" s="219" t="s">
        <v>230</v>
      </c>
      <c r="Z333" s="219" t="s">
        <v>231</v>
      </c>
      <c r="AB333" s="656" t="s">
        <v>199</v>
      </c>
      <c r="AD333" s="655"/>
      <c r="AE333" s="655">
        <v>2013</v>
      </c>
      <c r="AF333" s="219" t="s">
        <v>228</v>
      </c>
      <c r="AG333" s="219" t="s">
        <v>229</v>
      </c>
      <c r="AH333" s="219" t="s">
        <v>230</v>
      </c>
      <c r="AI333" s="219" t="s">
        <v>231</v>
      </c>
    </row>
    <row r="334" spans="1:35" ht="18">
      <c r="B334" s="204" t="s">
        <v>151</v>
      </c>
      <c r="C334" s="202" t="s">
        <v>246</v>
      </c>
      <c r="D334" s="228" t="s">
        <v>705</v>
      </c>
      <c r="E334" s="228" t="s">
        <v>706</v>
      </c>
      <c r="F334" s="228" t="s">
        <v>707</v>
      </c>
      <c r="G334" s="228" t="s">
        <v>708</v>
      </c>
      <c r="H334" s="228" t="s">
        <v>709</v>
      </c>
      <c r="K334" s="204" t="s">
        <v>151</v>
      </c>
      <c r="L334" s="202" t="s">
        <v>246</v>
      </c>
      <c r="M334" s="228">
        <v>17435000</v>
      </c>
      <c r="N334" s="228">
        <v>16274000</v>
      </c>
      <c r="O334" s="228">
        <v>15618000</v>
      </c>
      <c r="P334" s="228">
        <v>13977000</v>
      </c>
      <c r="Q334" s="228">
        <v>12366000</v>
      </c>
      <c r="T334" s="204" t="s">
        <v>151</v>
      </c>
      <c r="U334" s="202" t="s">
        <v>246</v>
      </c>
      <c r="V334" s="228">
        <v>5623200</v>
      </c>
      <c r="W334" s="228">
        <v>5159000</v>
      </c>
      <c r="X334" s="228">
        <v>3999400</v>
      </c>
      <c r="Y334" s="228">
        <v>3305300</v>
      </c>
      <c r="Z334" s="228">
        <v>3111500</v>
      </c>
      <c r="AC334" s="204" t="s">
        <v>151</v>
      </c>
      <c r="AD334" s="202" t="s">
        <v>246</v>
      </c>
      <c r="AE334" s="228">
        <v>1146930</v>
      </c>
      <c r="AF334" s="228">
        <v>887972</v>
      </c>
      <c r="AG334" s="228">
        <v>796607</v>
      </c>
      <c r="AH334" s="228">
        <v>908097</v>
      </c>
      <c r="AI334" s="228">
        <v>758646</v>
      </c>
    </row>
    <row r="335" spans="1:35">
      <c r="C335" s="655"/>
      <c r="D335" s="234"/>
      <c r="E335" s="234"/>
      <c r="F335" s="234"/>
      <c r="G335" s="234"/>
      <c r="H335" s="234"/>
      <c r="L335" s="655"/>
      <c r="M335" s="234"/>
      <c r="N335" s="234"/>
      <c r="O335" s="234"/>
      <c r="P335" s="234"/>
      <c r="Q335" s="234"/>
      <c r="U335" s="655"/>
      <c r="V335" s="234"/>
      <c r="W335" s="234"/>
      <c r="X335" s="234"/>
      <c r="Y335" s="234"/>
      <c r="Z335" s="234"/>
      <c r="AD335" s="655"/>
      <c r="AE335" s="234"/>
      <c r="AF335" s="234"/>
      <c r="AG335" s="234"/>
      <c r="AH335" s="234"/>
      <c r="AI335" s="234"/>
    </row>
    <row r="336" spans="1:35" ht="42">
      <c r="B336" s="204" t="s">
        <v>499</v>
      </c>
      <c r="C336" s="211" t="s">
        <v>247</v>
      </c>
      <c r="D336" s="228" t="s">
        <v>710</v>
      </c>
      <c r="E336" s="228" t="s">
        <v>711</v>
      </c>
      <c r="F336" s="228" t="s">
        <v>712</v>
      </c>
      <c r="G336" s="228" t="s">
        <v>713</v>
      </c>
      <c r="H336" s="230" t="s">
        <v>714</v>
      </c>
      <c r="K336" s="204" t="s">
        <v>499</v>
      </c>
      <c r="L336" s="211" t="s">
        <v>247</v>
      </c>
      <c r="M336" s="228">
        <v>16323000</v>
      </c>
      <c r="N336" s="228">
        <v>15652000</v>
      </c>
      <c r="O336" s="228">
        <v>15128000</v>
      </c>
      <c r="P336" s="228">
        <v>15497000</v>
      </c>
      <c r="Q336" s="228">
        <v>13816000</v>
      </c>
      <c r="T336" s="204" t="s">
        <v>499</v>
      </c>
      <c r="U336" s="211" t="s">
        <v>247</v>
      </c>
      <c r="V336" s="228">
        <v>4608700</v>
      </c>
      <c r="W336" s="228">
        <v>4073100</v>
      </c>
      <c r="X336" s="228">
        <v>3689800</v>
      </c>
      <c r="Y336" s="228">
        <v>3496200</v>
      </c>
      <c r="Z336" s="228">
        <v>3321300</v>
      </c>
      <c r="AC336" s="204" t="s">
        <v>499</v>
      </c>
      <c r="AD336" s="211" t="s">
        <v>247</v>
      </c>
      <c r="AE336" s="228">
        <v>1283047</v>
      </c>
      <c r="AF336" s="228">
        <v>1032984</v>
      </c>
      <c r="AG336" s="228">
        <v>991791</v>
      </c>
      <c r="AH336" s="228">
        <v>845974</v>
      </c>
      <c r="AI336" s="228">
        <v>867542</v>
      </c>
    </row>
    <row r="337" spans="1:35" ht="42">
      <c r="C337" s="208" t="s">
        <v>248</v>
      </c>
      <c r="D337" s="235"/>
      <c r="E337" s="235"/>
      <c r="F337" s="235"/>
      <c r="G337" s="235"/>
      <c r="H337" s="235"/>
      <c r="L337" s="208" t="s">
        <v>248</v>
      </c>
      <c r="M337" s="235"/>
      <c r="N337" s="235"/>
      <c r="O337" s="235"/>
      <c r="P337" s="235"/>
      <c r="Q337" s="235"/>
      <c r="U337" s="208" t="s">
        <v>248</v>
      </c>
      <c r="V337" s="235"/>
      <c r="W337" s="235"/>
      <c r="X337" s="235"/>
      <c r="Y337" s="235"/>
      <c r="Z337" s="235"/>
      <c r="AD337" s="208" t="s">
        <v>248</v>
      </c>
      <c r="AE337" s="235"/>
      <c r="AF337" s="235"/>
      <c r="AG337" s="235"/>
      <c r="AH337" s="235"/>
      <c r="AI337" s="235"/>
    </row>
    <row r="338" spans="1:35" ht="28">
      <c r="C338" s="208" t="s">
        <v>249</v>
      </c>
      <c r="D338" s="235"/>
      <c r="E338" s="235"/>
      <c r="F338" s="235"/>
      <c r="G338" s="235"/>
      <c r="H338" s="235"/>
      <c r="L338" s="208" t="s">
        <v>249</v>
      </c>
      <c r="M338" s="235"/>
      <c r="N338" s="235"/>
      <c r="O338" s="235"/>
      <c r="P338" s="235"/>
      <c r="Q338" s="235"/>
      <c r="U338" s="208" t="s">
        <v>249</v>
      </c>
      <c r="V338" s="235"/>
      <c r="W338" s="235"/>
      <c r="X338" s="235"/>
      <c r="Y338" s="235"/>
      <c r="Z338" s="235"/>
      <c r="AD338" s="208" t="s">
        <v>249</v>
      </c>
      <c r="AE338" s="235"/>
      <c r="AF338" s="235"/>
      <c r="AG338" s="235"/>
      <c r="AH338" s="235"/>
      <c r="AI338" s="235"/>
    </row>
    <row r="339" spans="1:35" ht="18">
      <c r="B339" s="204" t="s">
        <v>500</v>
      </c>
      <c r="C339" s="657" t="s">
        <v>250</v>
      </c>
      <c r="D339" s="228" t="s">
        <v>715</v>
      </c>
      <c r="E339" s="228" t="s">
        <v>716</v>
      </c>
      <c r="F339" s="228" t="s">
        <v>717</v>
      </c>
      <c r="G339" s="228" t="s">
        <v>718</v>
      </c>
      <c r="H339" s="228" t="s">
        <v>719</v>
      </c>
      <c r="K339" s="204" t="s">
        <v>500</v>
      </c>
      <c r="L339" s="657" t="s">
        <v>250</v>
      </c>
      <c r="M339" s="228">
        <v>10778000</v>
      </c>
      <c r="N339" s="228">
        <v>10000000</v>
      </c>
      <c r="O339" s="228">
        <v>10134000</v>
      </c>
      <c r="P339" s="228">
        <v>9096000</v>
      </c>
      <c r="Q339" s="228">
        <v>8640000</v>
      </c>
      <c r="T339" s="204" t="s">
        <v>500</v>
      </c>
      <c r="U339" s="657" t="s">
        <v>250</v>
      </c>
      <c r="V339" s="228">
        <v>2799700</v>
      </c>
      <c r="W339" s="228">
        <v>2802100</v>
      </c>
      <c r="X339" s="228">
        <v>1782500</v>
      </c>
      <c r="Y339" s="228">
        <v>1404600</v>
      </c>
      <c r="Z339" s="228">
        <v>1208800</v>
      </c>
      <c r="AC339" s="204" t="s">
        <v>500</v>
      </c>
      <c r="AD339" s="657" t="s">
        <v>250</v>
      </c>
      <c r="AE339" s="228">
        <v>798366</v>
      </c>
      <c r="AF339" s="228">
        <v>628485</v>
      </c>
      <c r="AG339" s="228">
        <v>531708</v>
      </c>
      <c r="AH339" s="228">
        <v>654520</v>
      </c>
      <c r="AI339" s="228">
        <v>500748</v>
      </c>
    </row>
    <row r="340" spans="1:35" ht="28">
      <c r="B340" s="204" t="s">
        <v>501</v>
      </c>
      <c r="C340" s="210" t="s">
        <v>251</v>
      </c>
      <c r="D340" s="228" t="s">
        <v>720</v>
      </c>
      <c r="E340" s="228" t="s">
        <v>721</v>
      </c>
      <c r="F340" s="228" t="s">
        <v>722</v>
      </c>
      <c r="G340" s="228" t="s">
        <v>723</v>
      </c>
      <c r="H340" s="230" t="s">
        <v>724</v>
      </c>
      <c r="K340" s="204" t="s">
        <v>501</v>
      </c>
      <c r="L340" s="210" t="s">
        <v>251</v>
      </c>
      <c r="M340" s="228">
        <v>1225000</v>
      </c>
      <c r="N340" s="228">
        <v>1320000</v>
      </c>
      <c r="O340" s="228">
        <v>1431000</v>
      </c>
      <c r="P340" s="228">
        <v>1495000</v>
      </c>
      <c r="Q340" s="228">
        <v>820000</v>
      </c>
      <c r="T340" s="204" t="s">
        <v>501</v>
      </c>
      <c r="U340" s="210" t="s">
        <v>251</v>
      </c>
      <c r="V340" s="228">
        <v>412400</v>
      </c>
      <c r="W340" s="228">
        <v>477700</v>
      </c>
      <c r="X340" s="228">
        <v>382100</v>
      </c>
      <c r="Y340" s="228">
        <v>73700</v>
      </c>
      <c r="Z340" s="228">
        <v>248800</v>
      </c>
      <c r="AC340" s="204" t="s">
        <v>501</v>
      </c>
      <c r="AD340" s="210" t="s">
        <v>251</v>
      </c>
      <c r="AE340" s="228">
        <v>89643</v>
      </c>
      <c r="AF340" s="228">
        <v>5446</v>
      </c>
      <c r="AG340" s="228">
        <v>19064</v>
      </c>
      <c r="AH340" s="228">
        <v>18297</v>
      </c>
      <c r="AI340" s="228">
        <v>61439</v>
      </c>
    </row>
    <row r="341" spans="1:35" ht="28">
      <c r="C341" s="208" t="s">
        <v>252</v>
      </c>
      <c r="D341" s="235" t="e">
        <f>D340/((K340+L340)/2)</f>
        <v>#VALUE!</v>
      </c>
      <c r="E341" s="235" t="e">
        <f t="shared" ref="E341:H341" si="34">E340/((L340+M340)/2)</f>
        <v>#VALUE!</v>
      </c>
      <c r="F341" s="235" t="e">
        <f t="shared" si="34"/>
        <v>#VALUE!</v>
      </c>
      <c r="G341" s="235" t="e">
        <f t="shared" si="34"/>
        <v>#VALUE!</v>
      </c>
      <c r="H341" s="235" t="e">
        <f t="shared" si="34"/>
        <v>#VALUE!</v>
      </c>
      <c r="L341" s="208" t="s">
        <v>252</v>
      </c>
      <c r="M341" s="235"/>
      <c r="N341" s="235"/>
      <c r="O341" s="235"/>
      <c r="P341" s="235"/>
      <c r="Q341" s="235"/>
      <c r="U341" s="208" t="s">
        <v>252</v>
      </c>
      <c r="V341" s="235"/>
      <c r="W341" s="235"/>
      <c r="X341" s="235"/>
      <c r="Y341" s="235"/>
      <c r="Z341" s="235"/>
      <c r="AD341" s="208" t="s">
        <v>252</v>
      </c>
      <c r="AE341" s="235"/>
      <c r="AF341" s="235"/>
      <c r="AG341" s="235"/>
      <c r="AH341" s="235"/>
      <c r="AI341" s="235"/>
    </row>
    <row r="342" spans="1:35" ht="28">
      <c r="C342" s="208" t="s">
        <v>253</v>
      </c>
      <c r="D342" s="235" t="e">
        <f>D340/((D334+E334)/2)</f>
        <v>#VALUE!</v>
      </c>
      <c r="E342" s="235" t="e">
        <f t="shared" ref="E342:H342" si="35">E340/((E334+F334)/2)</f>
        <v>#VALUE!</v>
      </c>
      <c r="F342" s="235" t="e">
        <f t="shared" si="35"/>
        <v>#VALUE!</v>
      </c>
      <c r="G342" s="235" t="e">
        <f t="shared" si="35"/>
        <v>#VALUE!</v>
      </c>
      <c r="H342" s="235" t="e">
        <f t="shared" si="35"/>
        <v>#VALUE!</v>
      </c>
      <c r="L342" s="208" t="s">
        <v>253</v>
      </c>
      <c r="M342" s="235"/>
      <c r="N342" s="235"/>
      <c r="O342" s="235"/>
      <c r="P342" s="235"/>
      <c r="Q342" s="235"/>
      <c r="U342" s="208" t="s">
        <v>253</v>
      </c>
      <c r="V342" s="235"/>
      <c r="W342" s="235"/>
      <c r="X342" s="235"/>
      <c r="Y342" s="235"/>
      <c r="Z342" s="235"/>
      <c r="AD342" s="208" t="s">
        <v>253</v>
      </c>
      <c r="AE342" s="235"/>
      <c r="AF342" s="235"/>
      <c r="AG342" s="235"/>
      <c r="AH342" s="235"/>
      <c r="AI342" s="235"/>
    </row>
    <row r="343" spans="1:35" ht="42">
      <c r="C343" s="208" t="s">
        <v>254</v>
      </c>
      <c r="D343" s="235"/>
      <c r="E343" s="235"/>
      <c r="F343" s="235"/>
      <c r="G343" s="235"/>
      <c r="H343" s="235"/>
      <c r="L343" s="208" t="s">
        <v>254</v>
      </c>
      <c r="M343" s="235"/>
      <c r="N343" s="235"/>
      <c r="O343" s="235"/>
      <c r="P343" s="235"/>
      <c r="Q343" s="235"/>
      <c r="U343" s="208" t="s">
        <v>254</v>
      </c>
      <c r="V343" s="235"/>
      <c r="W343" s="235"/>
      <c r="X343" s="235"/>
      <c r="Y343" s="235"/>
      <c r="Z343" s="235"/>
      <c r="AD343" s="208" t="s">
        <v>254</v>
      </c>
      <c r="AE343" s="235"/>
      <c r="AF343" s="235"/>
      <c r="AG343" s="235"/>
      <c r="AH343" s="235"/>
      <c r="AI343" s="235"/>
    </row>
    <row r="344" spans="1:35" ht="18">
      <c r="B344" s="204" t="s">
        <v>502</v>
      </c>
      <c r="C344" s="659" t="s">
        <v>255</v>
      </c>
      <c r="D344" s="228" t="s">
        <v>725</v>
      </c>
      <c r="E344" s="228" t="s">
        <v>726</v>
      </c>
      <c r="F344" s="228" t="s">
        <v>727</v>
      </c>
      <c r="G344" s="228" t="s">
        <v>728</v>
      </c>
      <c r="H344" s="228" t="s">
        <v>729</v>
      </c>
      <c r="K344" s="204" t="s">
        <v>502</v>
      </c>
      <c r="L344" s="659" t="s">
        <v>255</v>
      </c>
      <c r="M344" s="228">
        <v>6657000</v>
      </c>
      <c r="N344" s="228">
        <v>6274000</v>
      </c>
      <c r="O344" s="228">
        <v>5484000</v>
      </c>
      <c r="P344" s="228">
        <v>4881000</v>
      </c>
      <c r="Q344" s="228">
        <v>3726000</v>
      </c>
      <c r="T344" s="204" t="s">
        <v>502</v>
      </c>
      <c r="U344" s="659" t="s">
        <v>255</v>
      </c>
      <c r="V344" s="228">
        <v>2823500</v>
      </c>
      <c r="W344" s="228">
        <v>2356900</v>
      </c>
      <c r="X344" s="228">
        <v>2216900</v>
      </c>
      <c r="Y344" s="228">
        <v>1900700</v>
      </c>
      <c r="Z344" s="228">
        <v>1902700</v>
      </c>
      <c r="AC344" s="204" t="s">
        <v>502</v>
      </c>
      <c r="AD344" s="659" t="s">
        <v>255</v>
      </c>
      <c r="AE344" s="228">
        <v>348562</v>
      </c>
      <c r="AF344" s="228">
        <v>259487</v>
      </c>
      <c r="AG344" s="228">
        <v>264898</v>
      </c>
      <c r="AH344" s="228">
        <v>253578</v>
      </c>
      <c r="AI344" s="228">
        <v>257899</v>
      </c>
    </row>
    <row r="346" spans="1:35">
      <c r="A346" s="204" t="s">
        <v>289</v>
      </c>
    </row>
    <row r="347" spans="1:35">
      <c r="A347" s="200" t="s">
        <v>290</v>
      </c>
    </row>
    <row r="348" spans="1:35">
      <c r="C348" s="655"/>
      <c r="D348" s="655">
        <v>2019</v>
      </c>
      <c r="E348" s="219" t="s">
        <v>175</v>
      </c>
      <c r="F348" s="219" t="s">
        <v>176</v>
      </c>
      <c r="G348" s="219" t="s">
        <v>177</v>
      </c>
      <c r="H348" s="219" t="s">
        <v>178</v>
      </c>
      <c r="S348" s="656" t="s">
        <v>730</v>
      </c>
    </row>
    <row r="349" spans="1:35" ht="16" thickBot="1">
      <c r="B349" s="204" t="s">
        <v>151</v>
      </c>
      <c r="C349" s="202" t="s">
        <v>246</v>
      </c>
      <c r="D349" s="237" t="s">
        <v>731</v>
      </c>
      <c r="E349" s="237" t="s">
        <v>732</v>
      </c>
      <c r="F349" s="237" t="s">
        <v>733</v>
      </c>
      <c r="G349" s="237" t="s">
        <v>734</v>
      </c>
      <c r="H349" s="238" t="s">
        <v>735</v>
      </c>
      <c r="S349" s="656" t="s">
        <v>199</v>
      </c>
      <c r="U349" s="655"/>
      <c r="V349" s="655">
        <v>2019</v>
      </c>
      <c r="W349" s="219" t="s">
        <v>175</v>
      </c>
      <c r="X349" s="219" t="s">
        <v>176</v>
      </c>
      <c r="Y349" s="219" t="s">
        <v>177</v>
      </c>
      <c r="Z349" s="219" t="s">
        <v>178</v>
      </c>
    </row>
    <row r="350" spans="1:35" ht="18">
      <c r="C350" s="655"/>
      <c r="D350" s="234"/>
      <c r="E350" s="234"/>
      <c r="F350" s="234"/>
      <c r="G350" s="234"/>
      <c r="H350" s="234"/>
      <c r="J350" s="656" t="s">
        <v>736</v>
      </c>
      <c r="L350" s="655"/>
      <c r="M350" s="655">
        <v>2019</v>
      </c>
      <c r="N350" s="219" t="s">
        <v>175</v>
      </c>
      <c r="O350" s="219" t="s">
        <v>176</v>
      </c>
      <c r="P350" s="219" t="s">
        <v>177</v>
      </c>
      <c r="Q350" s="219" t="s">
        <v>178</v>
      </c>
      <c r="T350" s="204" t="s">
        <v>151</v>
      </c>
      <c r="U350" s="202" t="s">
        <v>246</v>
      </c>
      <c r="V350" s="228">
        <v>57413000</v>
      </c>
      <c r="W350" s="228">
        <v>52509000</v>
      </c>
      <c r="X350" s="228">
        <v>53408000</v>
      </c>
      <c r="Y350" s="228">
        <v>55604000</v>
      </c>
      <c r="Z350" s="228">
        <v>54238000</v>
      </c>
    </row>
    <row r="351" spans="1:35" ht="29" thickBot="1">
      <c r="B351" s="204" t="s">
        <v>499</v>
      </c>
      <c r="C351" s="211" t="s">
        <v>247</v>
      </c>
      <c r="D351" s="225" t="s">
        <v>737</v>
      </c>
      <c r="E351" s="226" t="s">
        <v>738</v>
      </c>
      <c r="F351" s="225" t="s">
        <v>739</v>
      </c>
      <c r="G351" s="226" t="s">
        <v>740</v>
      </c>
      <c r="H351" s="225" t="s">
        <v>741</v>
      </c>
      <c r="J351" s="656" t="s">
        <v>199</v>
      </c>
      <c r="K351" s="204" t="s">
        <v>151</v>
      </c>
      <c r="L351" s="202" t="s">
        <v>246</v>
      </c>
      <c r="M351" s="228">
        <v>225736</v>
      </c>
      <c r="N351" s="228">
        <v>286254</v>
      </c>
      <c r="O351" s="228">
        <v>587503</v>
      </c>
      <c r="P351" s="228">
        <v>689736</v>
      </c>
      <c r="Q351" s="228">
        <v>902463</v>
      </c>
      <c r="U351" s="655"/>
      <c r="V351" s="234"/>
      <c r="W351" s="234"/>
      <c r="X351" s="234"/>
      <c r="Y351" s="234"/>
      <c r="Z351" s="234"/>
    </row>
    <row r="352" spans="1:35" ht="42">
      <c r="C352" s="208" t="s">
        <v>248</v>
      </c>
      <c r="D352" s="235"/>
      <c r="E352" s="235"/>
      <c r="F352" s="235"/>
      <c r="G352" s="235"/>
      <c r="H352" s="235"/>
      <c r="L352" s="655"/>
      <c r="M352" s="234"/>
      <c r="N352" s="234"/>
      <c r="O352" s="234"/>
      <c r="P352" s="234"/>
      <c r="Q352" s="234"/>
      <c r="T352" s="204" t="s">
        <v>499</v>
      </c>
      <c r="U352" s="211" t="s">
        <v>247</v>
      </c>
      <c r="V352" s="228">
        <v>43994000</v>
      </c>
      <c r="W352" s="228">
        <v>40837000</v>
      </c>
      <c r="X352" s="228">
        <v>39561000</v>
      </c>
      <c r="Y352" s="228">
        <v>37758000</v>
      </c>
      <c r="Z352" s="228">
        <v>33198000</v>
      </c>
    </row>
    <row r="353" spans="1:26" ht="42">
      <c r="C353" s="208" t="s">
        <v>249</v>
      </c>
      <c r="D353" s="235"/>
      <c r="E353" s="235"/>
      <c r="F353" s="235"/>
      <c r="G353" s="235"/>
      <c r="H353" s="235"/>
      <c r="K353" s="204" t="s">
        <v>499</v>
      </c>
      <c r="L353" s="211" t="s">
        <v>247</v>
      </c>
      <c r="M353" s="228">
        <v>364126</v>
      </c>
      <c r="N353" s="228">
        <v>303358</v>
      </c>
      <c r="O353" s="228">
        <v>649663</v>
      </c>
      <c r="P353" s="228">
        <v>718296</v>
      </c>
      <c r="Q353" s="228">
        <v>1171983</v>
      </c>
      <c r="U353" s="208" t="s">
        <v>248</v>
      </c>
      <c r="V353" s="235"/>
      <c r="W353" s="235"/>
      <c r="X353" s="235"/>
      <c r="Y353" s="235"/>
      <c r="Z353" s="235"/>
    </row>
    <row r="354" spans="1:26" ht="43" thickBot="1">
      <c r="B354" s="204" t="s">
        <v>500</v>
      </c>
      <c r="C354" s="657" t="s">
        <v>250</v>
      </c>
      <c r="D354" s="225" t="s">
        <v>742</v>
      </c>
      <c r="E354" s="226" t="s">
        <v>743</v>
      </c>
      <c r="F354" s="225" t="s">
        <v>744</v>
      </c>
      <c r="G354" s="226" t="s">
        <v>745</v>
      </c>
      <c r="H354" s="225" t="s">
        <v>746</v>
      </c>
      <c r="L354" s="208" t="s">
        <v>248</v>
      </c>
      <c r="M354" s="235"/>
      <c r="N354" s="235"/>
      <c r="O354" s="235"/>
      <c r="P354" s="235"/>
      <c r="Q354" s="235"/>
      <c r="U354" s="208" t="s">
        <v>249</v>
      </c>
      <c r="V354" s="235"/>
      <c r="W354" s="235"/>
      <c r="X354" s="235"/>
      <c r="Y354" s="235"/>
      <c r="Z354" s="235"/>
    </row>
    <row r="355" spans="1:26" ht="29" thickBot="1">
      <c r="B355" s="204" t="s">
        <v>501</v>
      </c>
      <c r="C355" s="210" t="s">
        <v>251</v>
      </c>
      <c r="D355" s="225" t="s">
        <v>747</v>
      </c>
      <c r="E355" s="226" t="s">
        <v>748</v>
      </c>
      <c r="F355" s="225" t="s">
        <v>749</v>
      </c>
      <c r="G355" s="226" t="s">
        <v>750</v>
      </c>
      <c r="H355" s="225" t="s">
        <v>751</v>
      </c>
      <c r="I355" s="225"/>
      <c r="L355" s="208" t="s">
        <v>249</v>
      </c>
      <c r="M355" s="235"/>
      <c r="N355" s="235"/>
      <c r="O355" s="235"/>
      <c r="P355" s="235"/>
      <c r="Q355" s="235"/>
      <c r="T355" s="204" t="s">
        <v>500</v>
      </c>
      <c r="U355" s="657" t="s">
        <v>250</v>
      </c>
      <c r="V355" s="228">
        <v>22501000</v>
      </c>
      <c r="W355" s="228">
        <v>18429000</v>
      </c>
      <c r="X355" s="228">
        <v>18570000</v>
      </c>
      <c r="Y355" s="228">
        <v>21728000</v>
      </c>
      <c r="Z355" s="228">
        <v>20492000</v>
      </c>
    </row>
    <row r="356" spans="1:26" ht="28">
      <c r="C356" s="208" t="s">
        <v>252</v>
      </c>
      <c r="D356" s="235" t="e">
        <f>D355/((K355+L355)/2)</f>
        <v>#VALUE!</v>
      </c>
      <c r="E356" s="235" t="e">
        <f t="shared" ref="E356:H356" si="36">E355/((L355+M355)/2)</f>
        <v>#VALUE!</v>
      </c>
      <c r="F356" s="235" t="e">
        <f t="shared" si="36"/>
        <v>#VALUE!</v>
      </c>
      <c r="G356" s="235" t="e">
        <f t="shared" si="36"/>
        <v>#VALUE!</v>
      </c>
      <c r="H356" s="235" t="e">
        <f t="shared" si="36"/>
        <v>#VALUE!</v>
      </c>
      <c r="K356" s="204" t="s">
        <v>500</v>
      </c>
      <c r="L356" s="657" t="s">
        <v>250</v>
      </c>
      <c r="M356" s="228">
        <v>203195</v>
      </c>
      <c r="N356" s="228">
        <v>273510</v>
      </c>
      <c r="O356" s="228">
        <v>411751</v>
      </c>
      <c r="P356" s="228">
        <v>476277</v>
      </c>
      <c r="Q356" s="228">
        <v>720175</v>
      </c>
      <c r="T356" s="204" t="s">
        <v>501</v>
      </c>
      <c r="U356" s="210" t="s">
        <v>251</v>
      </c>
      <c r="V356" s="228">
        <v>3898000</v>
      </c>
      <c r="W356" s="228">
        <v>3354000</v>
      </c>
      <c r="X356" s="228">
        <v>8657000</v>
      </c>
      <c r="Y356" s="228">
        <v>4375000</v>
      </c>
      <c r="Z356" s="228">
        <v>3351000</v>
      </c>
    </row>
    <row r="357" spans="1:26" ht="28">
      <c r="C357" s="208" t="s">
        <v>253</v>
      </c>
      <c r="D357" s="235" t="e">
        <f>D355/((D349+E349)/2)</f>
        <v>#VALUE!</v>
      </c>
      <c r="E357" s="235" t="e">
        <f t="shared" ref="E357:H357" si="37">E355/((E349+F349)/2)</f>
        <v>#VALUE!</v>
      </c>
      <c r="F357" s="235" t="e">
        <f t="shared" si="37"/>
        <v>#VALUE!</v>
      </c>
      <c r="G357" s="235" t="e">
        <f t="shared" si="37"/>
        <v>#VALUE!</v>
      </c>
      <c r="H357" s="235" t="e">
        <f t="shared" si="37"/>
        <v>#VALUE!</v>
      </c>
      <c r="K357" s="204" t="s">
        <v>501</v>
      </c>
      <c r="L357" s="210" t="s">
        <v>251</v>
      </c>
      <c r="M357" s="228">
        <v>9268</v>
      </c>
      <c r="N357" s="228">
        <v>-144377</v>
      </c>
      <c r="O357" s="228">
        <v>-33839</v>
      </c>
      <c r="P357" s="228">
        <v>28466</v>
      </c>
      <c r="Q357" s="228">
        <v>-72324</v>
      </c>
      <c r="U357" s="208" t="s">
        <v>252</v>
      </c>
      <c r="V357" s="235"/>
      <c r="W357" s="235"/>
      <c r="X357" s="235"/>
      <c r="Y357" s="235"/>
      <c r="Z357" s="235"/>
    </row>
    <row r="358" spans="1:26" ht="28">
      <c r="C358" s="208" t="s">
        <v>254</v>
      </c>
      <c r="D358" s="235"/>
      <c r="E358" s="235"/>
      <c r="F358" s="235"/>
      <c r="G358" s="235"/>
      <c r="H358" s="235"/>
      <c r="L358" s="208" t="s">
        <v>252</v>
      </c>
      <c r="M358" s="235"/>
      <c r="N358" s="235"/>
      <c r="O358" s="235"/>
      <c r="P358" s="235"/>
      <c r="Q358" s="235"/>
      <c r="U358" s="208" t="s">
        <v>253</v>
      </c>
      <c r="V358" s="235"/>
      <c r="W358" s="235"/>
      <c r="X358" s="235"/>
      <c r="Y358" s="235"/>
      <c r="Z358" s="235"/>
    </row>
    <row r="359" spans="1:26" ht="43" thickBot="1">
      <c r="B359" s="204" t="s">
        <v>502</v>
      </c>
      <c r="C359" s="659" t="s">
        <v>255</v>
      </c>
      <c r="D359" s="225" t="s">
        <v>752</v>
      </c>
      <c r="E359" s="226" t="s">
        <v>753</v>
      </c>
      <c r="F359" s="225" t="s">
        <v>754</v>
      </c>
      <c r="G359" s="226" t="s">
        <v>755</v>
      </c>
      <c r="H359" s="225" t="s">
        <v>756</v>
      </c>
      <c r="I359" s="225"/>
      <c r="L359" s="208" t="s">
        <v>253</v>
      </c>
      <c r="M359" s="235"/>
      <c r="N359" s="235"/>
      <c r="O359" s="235"/>
      <c r="P359" s="235"/>
      <c r="Q359" s="235"/>
      <c r="U359" s="208" t="s">
        <v>254</v>
      </c>
      <c r="V359" s="235"/>
      <c r="W359" s="235"/>
      <c r="X359" s="235"/>
      <c r="Y359" s="235"/>
      <c r="Z359" s="235"/>
    </row>
    <row r="360" spans="1:26" ht="42">
      <c r="L360" s="208" t="s">
        <v>254</v>
      </c>
      <c r="M360" s="235"/>
      <c r="N360" s="235"/>
      <c r="O360" s="235"/>
      <c r="P360" s="235"/>
      <c r="Q360" s="235"/>
      <c r="T360" s="204" t="s">
        <v>502</v>
      </c>
      <c r="U360" s="659" t="s">
        <v>255</v>
      </c>
      <c r="V360" s="228">
        <v>34912000</v>
      </c>
      <c r="W360" s="228">
        <v>34080000</v>
      </c>
      <c r="X360" s="228">
        <v>34838000</v>
      </c>
      <c r="Y360" s="228">
        <v>33876000</v>
      </c>
      <c r="Z360" s="228">
        <v>33746000</v>
      </c>
    </row>
    <row r="361" spans="1:26" ht="18">
      <c r="A361" s="204" t="s">
        <v>291</v>
      </c>
      <c r="K361" s="204" t="s">
        <v>502</v>
      </c>
      <c r="L361" s="659" t="s">
        <v>255</v>
      </c>
      <c r="M361" s="228">
        <v>22541</v>
      </c>
      <c r="N361" s="228">
        <v>12744</v>
      </c>
      <c r="O361" s="228">
        <v>175752</v>
      </c>
      <c r="P361" s="228">
        <v>213459</v>
      </c>
      <c r="Q361" s="228">
        <v>182288</v>
      </c>
    </row>
    <row r="362" spans="1:26">
      <c r="A362" s="204" t="s">
        <v>292</v>
      </c>
    </row>
    <row r="363" spans="1:26">
      <c r="A363" s="204"/>
      <c r="C363" s="655"/>
      <c r="D363" s="655">
        <v>2011</v>
      </c>
      <c r="E363" s="219" t="s">
        <v>216</v>
      </c>
      <c r="F363" s="219" t="s">
        <v>217</v>
      </c>
      <c r="G363" s="219" t="s">
        <v>218</v>
      </c>
      <c r="H363" s="219" t="s">
        <v>219</v>
      </c>
    </row>
    <row r="364" spans="1:26" ht="16" thickBot="1">
      <c r="B364" s="204" t="s">
        <v>151</v>
      </c>
      <c r="C364" s="202" t="s">
        <v>246</v>
      </c>
      <c r="D364" s="237" t="s">
        <v>757</v>
      </c>
      <c r="E364" s="237" t="s">
        <v>758</v>
      </c>
      <c r="F364" s="237" t="s">
        <v>759</v>
      </c>
      <c r="G364" s="237" t="s">
        <v>760</v>
      </c>
      <c r="H364" s="238" t="s">
        <v>761</v>
      </c>
      <c r="J364" s="671" t="s">
        <v>762</v>
      </c>
      <c r="L364" s="655"/>
      <c r="M364" s="222" t="s">
        <v>763</v>
      </c>
      <c r="N364" s="222" t="s">
        <v>764</v>
      </c>
      <c r="O364" s="219" t="s">
        <v>217</v>
      </c>
      <c r="P364" s="219" t="s">
        <v>218</v>
      </c>
      <c r="Q364" s="219" t="s">
        <v>219</v>
      </c>
    </row>
    <row r="365" spans="1:26" ht="18">
      <c r="C365" s="655"/>
      <c r="D365" s="234"/>
      <c r="E365" s="234"/>
      <c r="F365" s="234"/>
      <c r="G365" s="234"/>
      <c r="H365" s="234"/>
      <c r="J365" s="656" t="s">
        <v>296</v>
      </c>
      <c r="K365" s="204" t="s">
        <v>151</v>
      </c>
      <c r="L365" s="202" t="s">
        <v>246</v>
      </c>
      <c r="M365" s="228">
        <v>53793</v>
      </c>
      <c r="N365" s="228">
        <v>33392</v>
      </c>
      <c r="O365" s="228">
        <v>194235</v>
      </c>
      <c r="P365" s="228">
        <v>245085</v>
      </c>
      <c r="Q365" s="228">
        <v>221490</v>
      </c>
    </row>
    <row r="366" spans="1:26" ht="29" thickBot="1">
      <c r="B366" s="204" t="s">
        <v>499</v>
      </c>
      <c r="C366" s="211" t="s">
        <v>247</v>
      </c>
      <c r="D366" s="237" t="s">
        <v>765</v>
      </c>
      <c r="E366" s="237" t="s">
        <v>766</v>
      </c>
      <c r="F366" s="237" t="s">
        <v>767</v>
      </c>
      <c r="G366" s="237" t="s">
        <v>768</v>
      </c>
      <c r="H366" s="238" t="s">
        <v>769</v>
      </c>
      <c r="L366" s="655"/>
      <c r="M366" s="234"/>
      <c r="N366" s="234"/>
      <c r="O366" s="234"/>
      <c r="P366" s="234"/>
      <c r="Q366" s="234"/>
    </row>
    <row r="367" spans="1:26" ht="42">
      <c r="C367" s="208" t="s">
        <v>248</v>
      </c>
      <c r="D367" s="235"/>
      <c r="E367" s="235"/>
      <c r="F367" s="235"/>
      <c r="G367" s="235"/>
      <c r="H367" s="235"/>
      <c r="K367" s="204" t="s">
        <v>499</v>
      </c>
      <c r="L367" s="211" t="s">
        <v>247</v>
      </c>
      <c r="M367" s="228">
        <v>228</v>
      </c>
      <c r="N367" s="228">
        <v>38640</v>
      </c>
      <c r="O367" s="228">
        <v>250429</v>
      </c>
      <c r="P367" s="228">
        <v>234035</v>
      </c>
      <c r="Q367" s="228">
        <v>210380</v>
      </c>
    </row>
    <row r="368" spans="1:26" ht="42">
      <c r="C368" s="208" t="s">
        <v>249</v>
      </c>
      <c r="D368" s="235"/>
      <c r="E368" s="235"/>
      <c r="F368" s="235"/>
      <c r="G368" s="235"/>
      <c r="H368" s="235"/>
      <c r="L368" s="208" t="s">
        <v>248</v>
      </c>
      <c r="M368" s="235"/>
      <c r="N368" s="235"/>
      <c r="O368" s="235"/>
      <c r="P368" s="235"/>
      <c r="Q368" s="235"/>
    </row>
    <row r="369" spans="1:17" ht="29" thickBot="1">
      <c r="B369" s="204" t="s">
        <v>500</v>
      </c>
      <c r="C369" s="657" t="s">
        <v>250</v>
      </c>
      <c r="D369" s="237" t="s">
        <v>770</v>
      </c>
      <c r="E369" s="237" t="s">
        <v>771</v>
      </c>
      <c r="F369" s="237" t="s">
        <v>772</v>
      </c>
      <c r="G369" s="237" t="s">
        <v>773</v>
      </c>
      <c r="H369" s="237" t="s">
        <v>774</v>
      </c>
      <c r="I369" s="238"/>
      <c r="L369" s="208" t="s">
        <v>249</v>
      </c>
      <c r="M369" s="235"/>
      <c r="N369" s="235"/>
      <c r="O369" s="235"/>
      <c r="P369" s="235"/>
      <c r="Q369" s="235"/>
    </row>
    <row r="370" spans="1:17" ht="29" thickBot="1">
      <c r="B370" s="204" t="s">
        <v>501</v>
      </c>
      <c r="C370" s="210" t="s">
        <v>251</v>
      </c>
      <c r="D370" s="237" t="s">
        <v>775</v>
      </c>
      <c r="E370" s="237" t="s">
        <v>776</v>
      </c>
      <c r="F370" s="237" t="s">
        <v>777</v>
      </c>
      <c r="G370" s="237" t="s">
        <v>778</v>
      </c>
      <c r="H370" s="238" t="s">
        <v>779</v>
      </c>
      <c r="K370" s="204" t="s">
        <v>500</v>
      </c>
      <c r="L370" s="657" t="s">
        <v>250</v>
      </c>
      <c r="M370" s="228">
        <v>2417</v>
      </c>
      <c r="N370" s="228">
        <v>15261</v>
      </c>
      <c r="O370" s="228">
        <v>72804</v>
      </c>
      <c r="P370" s="228">
        <v>100195</v>
      </c>
      <c r="Q370" s="230">
        <v>101276</v>
      </c>
    </row>
    <row r="371" spans="1:17" ht="28">
      <c r="C371" s="208" t="s">
        <v>252</v>
      </c>
      <c r="D371" s="235" t="e">
        <f>D370/((K370+L370)/2)</f>
        <v>#VALUE!</v>
      </c>
      <c r="E371" s="235" t="e">
        <f t="shared" ref="E371:H371" si="38">E370/((L370+M370)/2)</f>
        <v>#VALUE!</v>
      </c>
      <c r="F371" s="235" t="e">
        <f t="shared" si="38"/>
        <v>#VALUE!</v>
      </c>
      <c r="G371" s="235" t="e">
        <f t="shared" si="38"/>
        <v>#VALUE!</v>
      </c>
      <c r="H371" s="235" t="e">
        <f t="shared" si="38"/>
        <v>#VALUE!</v>
      </c>
      <c r="K371" s="204" t="s">
        <v>501</v>
      </c>
      <c r="L371" s="210" t="s">
        <v>251</v>
      </c>
      <c r="M371" s="228">
        <v>-12124</v>
      </c>
      <c r="N371" s="228">
        <v>-3110</v>
      </c>
      <c r="O371" s="228">
        <v>-20429</v>
      </c>
      <c r="P371" s="228">
        <v>-57573</v>
      </c>
      <c r="Q371" s="228">
        <v>-138521</v>
      </c>
    </row>
    <row r="372" spans="1:17" ht="28">
      <c r="C372" s="208" t="s">
        <v>253</v>
      </c>
      <c r="D372" s="235" t="e">
        <f>D370/((D364+E364)/2)</f>
        <v>#VALUE!</v>
      </c>
      <c r="E372" s="235" t="e">
        <f t="shared" ref="E372:H372" si="39">E370/((E364+F364)/2)</f>
        <v>#VALUE!</v>
      </c>
      <c r="F372" s="235" t="e">
        <f t="shared" si="39"/>
        <v>#VALUE!</v>
      </c>
      <c r="G372" s="235" t="e">
        <f t="shared" si="39"/>
        <v>#VALUE!</v>
      </c>
      <c r="H372" s="235" t="e">
        <f t="shared" si="39"/>
        <v>#VALUE!</v>
      </c>
      <c r="L372" s="208" t="s">
        <v>252</v>
      </c>
      <c r="M372" s="235"/>
      <c r="N372" s="235"/>
      <c r="O372" s="235"/>
      <c r="P372" s="235"/>
      <c r="Q372" s="235"/>
    </row>
    <row r="373" spans="1:17" ht="28">
      <c r="C373" s="208" t="s">
        <v>254</v>
      </c>
      <c r="D373" s="235"/>
      <c r="E373" s="235"/>
      <c r="F373" s="235"/>
      <c r="G373" s="235"/>
      <c r="H373" s="235"/>
      <c r="L373" s="208" t="s">
        <v>253</v>
      </c>
      <c r="M373" s="235"/>
      <c r="N373" s="235"/>
      <c r="O373" s="235"/>
      <c r="P373" s="235"/>
      <c r="Q373" s="235"/>
    </row>
    <row r="374" spans="1:17" ht="43" thickBot="1">
      <c r="B374" s="204" t="s">
        <v>502</v>
      </c>
      <c r="C374" s="659" t="s">
        <v>255</v>
      </c>
      <c r="D374" s="237" t="s">
        <v>780</v>
      </c>
      <c r="E374" s="237" t="s">
        <v>781</v>
      </c>
      <c r="F374" s="237" t="s">
        <v>782</v>
      </c>
      <c r="G374" s="237" t="s">
        <v>783</v>
      </c>
      <c r="H374" s="238" t="s">
        <v>784</v>
      </c>
      <c r="L374" s="208" t="s">
        <v>254</v>
      </c>
      <c r="M374" s="235"/>
      <c r="N374" s="235"/>
      <c r="O374" s="235"/>
      <c r="P374" s="235"/>
      <c r="Q374" s="235"/>
    </row>
    <row r="375" spans="1:17" ht="18">
      <c r="K375" s="204" t="s">
        <v>502</v>
      </c>
      <c r="L375" s="659" t="s">
        <v>255</v>
      </c>
      <c r="M375" s="228">
        <v>51376</v>
      </c>
      <c r="N375" s="228">
        <v>18131</v>
      </c>
      <c r="O375" s="228">
        <v>121431</v>
      </c>
      <c r="P375" s="228">
        <v>144890</v>
      </c>
      <c r="Q375" s="228">
        <v>120214</v>
      </c>
    </row>
    <row r="377" spans="1:17">
      <c r="A377" s="204" t="s">
        <v>293</v>
      </c>
    </row>
    <row r="378" spans="1:17">
      <c r="A378" s="204" t="s">
        <v>294</v>
      </c>
      <c r="C378" s="655"/>
      <c r="D378" s="655">
        <v>2011</v>
      </c>
      <c r="E378" s="219" t="s">
        <v>216</v>
      </c>
      <c r="F378" s="219" t="s">
        <v>217</v>
      </c>
      <c r="G378" s="219" t="s">
        <v>218</v>
      </c>
      <c r="H378" s="219" t="s">
        <v>219</v>
      </c>
      <c r="J378" s="656" t="s">
        <v>785</v>
      </c>
    </row>
    <row r="379" spans="1:17" ht="16" thickBot="1">
      <c r="B379" s="204" t="s">
        <v>151</v>
      </c>
      <c r="C379" s="202" t="s">
        <v>246</v>
      </c>
      <c r="D379" s="237" t="s">
        <v>786</v>
      </c>
      <c r="E379" s="237" t="s">
        <v>787</v>
      </c>
      <c r="F379" s="237" t="s">
        <v>788</v>
      </c>
      <c r="G379" s="237" t="s">
        <v>789</v>
      </c>
      <c r="H379" s="238" t="s">
        <v>790</v>
      </c>
      <c r="J379" s="671" t="s">
        <v>296</v>
      </c>
      <c r="L379" s="655"/>
      <c r="M379" s="655">
        <v>2011</v>
      </c>
      <c r="N379" s="219" t="s">
        <v>216</v>
      </c>
      <c r="O379" s="219" t="s">
        <v>217</v>
      </c>
      <c r="P379" s="219" t="s">
        <v>218</v>
      </c>
      <c r="Q379" s="219" t="s">
        <v>219</v>
      </c>
    </row>
    <row r="380" spans="1:17" ht="18">
      <c r="C380" s="655"/>
      <c r="D380" s="234"/>
      <c r="E380" s="234"/>
      <c r="F380" s="234"/>
      <c r="G380" s="234"/>
      <c r="H380" s="234"/>
      <c r="K380" s="204" t="s">
        <v>151</v>
      </c>
      <c r="L380" s="202" t="s">
        <v>246</v>
      </c>
      <c r="M380" s="228">
        <v>566542</v>
      </c>
      <c r="N380" s="228">
        <v>661748</v>
      </c>
      <c r="O380" s="228">
        <v>624347</v>
      </c>
      <c r="P380" s="228">
        <v>653813</v>
      </c>
      <c r="Q380" s="228">
        <v>675014</v>
      </c>
    </row>
    <row r="381" spans="1:17" ht="29" thickBot="1">
      <c r="B381" s="204" t="s">
        <v>499</v>
      </c>
      <c r="C381" s="211" t="s">
        <v>247</v>
      </c>
      <c r="D381" s="237" t="s">
        <v>791</v>
      </c>
      <c r="E381" s="237" t="s">
        <v>792</v>
      </c>
      <c r="F381" s="237" t="s">
        <v>793</v>
      </c>
      <c r="G381" s="237" t="s">
        <v>794</v>
      </c>
      <c r="H381" s="238" t="s">
        <v>795</v>
      </c>
      <c r="L381" s="655"/>
      <c r="M381" s="234"/>
      <c r="N381" s="234"/>
      <c r="O381" s="234"/>
      <c r="P381" s="234"/>
      <c r="Q381" s="234"/>
    </row>
    <row r="382" spans="1:17" ht="42">
      <c r="C382" s="208" t="s">
        <v>248</v>
      </c>
      <c r="D382" s="235"/>
      <c r="E382" s="235"/>
      <c r="F382" s="235"/>
      <c r="G382" s="235"/>
      <c r="H382" s="235"/>
      <c r="K382" s="204" t="s">
        <v>499</v>
      </c>
      <c r="L382" s="211" t="s">
        <v>247</v>
      </c>
      <c r="M382" s="228">
        <v>64758</v>
      </c>
      <c r="N382" s="228">
        <v>8045</v>
      </c>
      <c r="O382" s="228">
        <v>-19474</v>
      </c>
      <c r="P382" s="228">
        <v>527</v>
      </c>
      <c r="Q382" s="228">
        <v>55266</v>
      </c>
    </row>
    <row r="383" spans="1:17" ht="42">
      <c r="C383" s="208" t="s">
        <v>249</v>
      </c>
      <c r="D383" s="235"/>
      <c r="E383" s="235"/>
      <c r="F383" s="235"/>
      <c r="G383" s="235"/>
      <c r="H383" s="235"/>
      <c r="L383" s="208" t="s">
        <v>248</v>
      </c>
      <c r="M383" s="235"/>
      <c r="N383" s="235"/>
      <c r="O383" s="235"/>
      <c r="P383" s="235"/>
      <c r="Q383" s="235"/>
    </row>
    <row r="384" spans="1:17" ht="29" thickBot="1">
      <c r="B384" s="204" t="s">
        <v>500</v>
      </c>
      <c r="C384" s="657" t="s">
        <v>250</v>
      </c>
      <c r="D384" s="225" t="s">
        <v>796</v>
      </c>
      <c r="E384" s="226" t="s">
        <v>797</v>
      </c>
      <c r="F384" s="225" t="s">
        <v>798</v>
      </c>
      <c r="G384" s="226" t="s">
        <v>799</v>
      </c>
      <c r="H384" s="225" t="s">
        <v>800</v>
      </c>
      <c r="L384" s="208" t="s">
        <v>249</v>
      </c>
      <c r="M384" s="235"/>
      <c r="N384" s="235"/>
      <c r="O384" s="235"/>
      <c r="P384" s="235"/>
      <c r="Q384" s="235"/>
    </row>
    <row r="385" spans="1:26" ht="29" thickBot="1">
      <c r="B385" s="204" t="s">
        <v>501</v>
      </c>
      <c r="C385" s="210" t="s">
        <v>251</v>
      </c>
      <c r="D385" s="237" t="s">
        <v>801</v>
      </c>
      <c r="E385" s="237" t="s">
        <v>802</v>
      </c>
      <c r="F385" s="237" t="s">
        <v>803</v>
      </c>
      <c r="G385" s="237" t="s">
        <v>804</v>
      </c>
      <c r="H385" s="238" t="s">
        <v>805</v>
      </c>
      <c r="K385" s="204" t="s">
        <v>500</v>
      </c>
      <c r="L385" s="657" t="s">
        <v>250</v>
      </c>
      <c r="M385" s="228">
        <v>67838</v>
      </c>
      <c r="N385" s="228">
        <v>136769</v>
      </c>
      <c r="O385" s="228">
        <v>79287</v>
      </c>
      <c r="P385" s="228">
        <v>204477</v>
      </c>
      <c r="Q385" s="228">
        <v>59707</v>
      </c>
    </row>
    <row r="386" spans="1:26" ht="28">
      <c r="C386" s="208" t="s">
        <v>252</v>
      </c>
      <c r="D386" s="235" t="e">
        <f>D385/((K385+L385)/2)</f>
        <v>#VALUE!</v>
      </c>
      <c r="E386" s="235" t="e">
        <f t="shared" ref="E386:H386" si="40">E385/((L385+M385)/2)</f>
        <v>#VALUE!</v>
      </c>
      <c r="F386" s="235" t="e">
        <f t="shared" si="40"/>
        <v>#VALUE!</v>
      </c>
      <c r="G386" s="235" t="e">
        <f t="shared" si="40"/>
        <v>#VALUE!</v>
      </c>
      <c r="H386" s="235" t="e">
        <f t="shared" si="40"/>
        <v>#VALUE!</v>
      </c>
      <c r="K386" s="204" t="s">
        <v>501</v>
      </c>
      <c r="L386" s="210" t="s">
        <v>251</v>
      </c>
      <c r="M386" s="228">
        <v>-22538</v>
      </c>
      <c r="N386" s="228">
        <v>13841</v>
      </c>
      <c r="O386" s="228">
        <v>160302</v>
      </c>
      <c r="P386" s="228">
        <v>-151601</v>
      </c>
      <c r="Q386" s="228">
        <v>47320</v>
      </c>
    </row>
    <row r="387" spans="1:26" ht="28">
      <c r="C387" s="208" t="s">
        <v>253</v>
      </c>
      <c r="D387" s="235" t="e">
        <f>D385/((D379+E379)/2)</f>
        <v>#VALUE!</v>
      </c>
      <c r="E387" s="235" t="e">
        <f t="shared" ref="E387:H387" si="41">E385/((E379+F379)/2)</f>
        <v>#VALUE!</v>
      </c>
      <c r="F387" s="235" t="e">
        <f t="shared" si="41"/>
        <v>#VALUE!</v>
      </c>
      <c r="G387" s="235" t="e">
        <f t="shared" si="41"/>
        <v>#VALUE!</v>
      </c>
      <c r="H387" s="235" t="e">
        <f t="shared" si="41"/>
        <v>#VALUE!</v>
      </c>
      <c r="L387" s="208" t="s">
        <v>252</v>
      </c>
      <c r="M387" s="235"/>
      <c r="N387" s="235"/>
      <c r="O387" s="235"/>
      <c r="P387" s="235"/>
      <c r="Q387" s="235"/>
    </row>
    <row r="388" spans="1:26" ht="28">
      <c r="C388" s="208" t="s">
        <v>254</v>
      </c>
      <c r="D388" s="235"/>
      <c r="E388" s="235"/>
      <c r="F388" s="235"/>
      <c r="G388" s="235"/>
      <c r="H388" s="235"/>
      <c r="L388" s="208" t="s">
        <v>253</v>
      </c>
      <c r="M388" s="235"/>
      <c r="N388" s="235"/>
      <c r="O388" s="235"/>
      <c r="P388" s="235"/>
      <c r="Q388" s="235"/>
    </row>
    <row r="389" spans="1:26" ht="43" thickBot="1">
      <c r="B389" s="204" t="s">
        <v>502</v>
      </c>
      <c r="C389" s="659" t="s">
        <v>255</v>
      </c>
      <c r="D389" s="237" t="s">
        <v>806</v>
      </c>
      <c r="E389" s="237" t="s">
        <v>807</v>
      </c>
      <c r="F389" s="237" t="s">
        <v>808</v>
      </c>
      <c r="G389" s="237" t="s">
        <v>809</v>
      </c>
      <c r="H389" s="238" t="s">
        <v>810</v>
      </c>
      <c r="L389" s="208" t="s">
        <v>254</v>
      </c>
      <c r="M389" s="235"/>
      <c r="N389" s="235"/>
      <c r="O389" s="235"/>
      <c r="P389" s="235"/>
      <c r="Q389" s="235"/>
    </row>
    <row r="390" spans="1:26" ht="18">
      <c r="K390" s="204" t="s">
        <v>502</v>
      </c>
      <c r="L390" s="659" t="s">
        <v>255</v>
      </c>
      <c r="M390" s="228">
        <v>498703</v>
      </c>
      <c r="N390" s="228">
        <v>524979</v>
      </c>
      <c r="O390" s="228">
        <v>545060</v>
      </c>
      <c r="P390" s="228">
        <v>449336</v>
      </c>
      <c r="Q390" s="228">
        <v>615307</v>
      </c>
    </row>
    <row r="391" spans="1:26">
      <c r="A391" s="204" t="s">
        <v>295</v>
      </c>
    </row>
    <row r="392" spans="1:26">
      <c r="A392" s="200" t="s">
        <v>296</v>
      </c>
      <c r="C392" s="655"/>
      <c r="D392" s="655">
        <v>2011</v>
      </c>
      <c r="E392" s="219" t="s">
        <v>216</v>
      </c>
      <c r="F392" s="219" t="s">
        <v>217</v>
      </c>
      <c r="G392" s="219" t="s">
        <v>218</v>
      </c>
      <c r="H392" s="219" t="s">
        <v>219</v>
      </c>
      <c r="J392" s="656" t="s">
        <v>540</v>
      </c>
      <c r="S392" s="656" t="s">
        <v>524</v>
      </c>
    </row>
    <row r="393" spans="1:26" ht="16" thickBot="1">
      <c r="B393" s="204" t="s">
        <v>151</v>
      </c>
      <c r="C393" s="202" t="s">
        <v>246</v>
      </c>
      <c r="D393" s="237" t="s">
        <v>811</v>
      </c>
      <c r="E393" s="237" t="s">
        <v>812</v>
      </c>
      <c r="F393" s="237" t="s">
        <v>813</v>
      </c>
      <c r="G393" s="237" t="s">
        <v>814</v>
      </c>
      <c r="H393" s="238" t="s">
        <v>815</v>
      </c>
      <c r="J393" s="671" t="s">
        <v>816</v>
      </c>
      <c r="L393" s="655"/>
      <c r="M393" s="655">
        <v>2011</v>
      </c>
      <c r="N393" s="219" t="s">
        <v>216</v>
      </c>
      <c r="O393" s="219" t="s">
        <v>217</v>
      </c>
      <c r="P393" s="219" t="s">
        <v>218</v>
      </c>
      <c r="Q393" s="219" t="s">
        <v>219</v>
      </c>
      <c r="S393" s="656" t="s">
        <v>199</v>
      </c>
      <c r="U393" s="655"/>
      <c r="V393" s="655">
        <v>2011</v>
      </c>
      <c r="W393" s="219" t="s">
        <v>216</v>
      </c>
      <c r="X393" s="219" t="s">
        <v>217</v>
      </c>
      <c r="Y393" s="219" t="s">
        <v>218</v>
      </c>
      <c r="Z393" s="219" t="s">
        <v>219</v>
      </c>
    </row>
    <row r="394" spans="1:26" ht="18">
      <c r="C394" s="655"/>
      <c r="D394" s="234"/>
      <c r="E394" s="234"/>
      <c r="F394" s="234"/>
      <c r="G394" s="234"/>
      <c r="H394" s="234"/>
      <c r="K394" s="204" t="s">
        <v>151</v>
      </c>
      <c r="L394" s="202" t="s">
        <v>246</v>
      </c>
      <c r="M394" s="228">
        <v>10223700</v>
      </c>
      <c r="N394" s="228">
        <v>9647000</v>
      </c>
      <c r="O394" s="228">
        <v>7156000</v>
      </c>
      <c r="P394" s="228">
        <v>8282100</v>
      </c>
      <c r="Q394" s="228">
        <v>6724600</v>
      </c>
      <c r="T394" s="204" t="s">
        <v>151</v>
      </c>
      <c r="U394" s="202" t="s">
        <v>246</v>
      </c>
      <c r="V394" s="228">
        <v>991631</v>
      </c>
      <c r="W394" s="228">
        <v>954168</v>
      </c>
      <c r="X394" s="228">
        <v>821716</v>
      </c>
      <c r="Y394" s="228">
        <v>803294</v>
      </c>
      <c r="Z394" s="228">
        <v>613730</v>
      </c>
    </row>
    <row r="395" spans="1:26" ht="29" thickBot="1">
      <c r="B395" s="204" t="s">
        <v>499</v>
      </c>
      <c r="C395" s="211" t="s">
        <v>247</v>
      </c>
      <c r="D395" s="237" t="s">
        <v>817</v>
      </c>
      <c r="E395" s="237" t="s">
        <v>818</v>
      </c>
      <c r="F395" s="237" t="s">
        <v>819</v>
      </c>
      <c r="G395" s="237" t="s">
        <v>820</v>
      </c>
      <c r="H395" s="238" t="s">
        <v>821</v>
      </c>
      <c r="L395" s="655"/>
      <c r="M395" s="234"/>
      <c r="N395" s="234"/>
      <c r="O395" s="234"/>
      <c r="P395" s="234"/>
      <c r="Q395" s="234"/>
      <c r="U395" s="655"/>
      <c r="V395" s="234"/>
      <c r="W395" s="234"/>
      <c r="X395" s="234"/>
      <c r="Y395" s="234"/>
      <c r="Z395" s="234"/>
    </row>
    <row r="396" spans="1:26" ht="42">
      <c r="C396" s="208" t="s">
        <v>248</v>
      </c>
      <c r="D396" s="235"/>
      <c r="E396" s="235"/>
      <c r="F396" s="235"/>
      <c r="G396" s="235"/>
      <c r="H396" s="235"/>
      <c r="K396" s="204" t="s">
        <v>499</v>
      </c>
      <c r="L396" s="211" t="s">
        <v>247</v>
      </c>
      <c r="M396" s="228">
        <v>20227800</v>
      </c>
      <c r="N396" s="228">
        <v>17131000</v>
      </c>
      <c r="O396" s="228">
        <v>14588000</v>
      </c>
      <c r="P396" s="228">
        <v>14767800</v>
      </c>
      <c r="Q396" s="228">
        <v>13210300</v>
      </c>
      <c r="T396" s="204" t="s">
        <v>499</v>
      </c>
      <c r="U396" s="211" t="s">
        <v>247</v>
      </c>
      <c r="V396" s="228">
        <v>897379</v>
      </c>
      <c r="W396" s="228">
        <v>692239</v>
      </c>
      <c r="X396" s="228">
        <v>612738</v>
      </c>
      <c r="Y396" s="228">
        <v>497106</v>
      </c>
      <c r="Z396" s="228">
        <v>315466</v>
      </c>
    </row>
    <row r="397" spans="1:26" ht="42">
      <c r="C397" s="208" t="s">
        <v>249</v>
      </c>
      <c r="D397" s="235"/>
      <c r="E397" s="235"/>
      <c r="F397" s="235"/>
      <c r="G397" s="235"/>
      <c r="H397" s="235"/>
      <c r="L397" s="208" t="s">
        <v>248</v>
      </c>
      <c r="M397" s="235"/>
      <c r="N397" s="235"/>
      <c r="O397" s="235"/>
      <c r="P397" s="235"/>
      <c r="Q397" s="235"/>
      <c r="U397" s="208" t="s">
        <v>248</v>
      </c>
      <c r="V397" s="235"/>
      <c r="W397" s="235"/>
      <c r="X397" s="235"/>
      <c r="Y397" s="235"/>
      <c r="Z397" s="235"/>
    </row>
    <row r="398" spans="1:26" ht="29" thickBot="1">
      <c r="B398" s="204" t="s">
        <v>500</v>
      </c>
      <c r="C398" s="657" t="s">
        <v>250</v>
      </c>
      <c r="D398" s="237" t="s">
        <v>822</v>
      </c>
      <c r="E398" s="237" t="s">
        <v>823</v>
      </c>
      <c r="F398" s="237" t="s">
        <v>824</v>
      </c>
      <c r="G398" s="237" t="s">
        <v>825</v>
      </c>
      <c r="H398" s="238" t="s">
        <v>826</v>
      </c>
      <c r="L398" s="208" t="s">
        <v>249</v>
      </c>
      <c r="M398" s="235"/>
      <c r="N398" s="235"/>
      <c r="O398" s="235"/>
      <c r="P398" s="235"/>
      <c r="Q398" s="235"/>
      <c r="U398" s="208" t="s">
        <v>249</v>
      </c>
      <c r="V398" s="235"/>
      <c r="W398" s="235"/>
      <c r="X398" s="235"/>
      <c r="Y398" s="235"/>
      <c r="Z398" s="235"/>
    </row>
    <row r="399" spans="1:26" ht="29" thickBot="1">
      <c r="B399" s="204" t="s">
        <v>501</v>
      </c>
      <c r="C399" s="210" t="s">
        <v>251</v>
      </c>
      <c r="D399" s="225" t="s">
        <v>827</v>
      </c>
      <c r="E399" s="226" t="s">
        <v>828</v>
      </c>
      <c r="F399" s="225" t="s">
        <v>829</v>
      </c>
      <c r="G399" s="226" t="s">
        <v>830</v>
      </c>
      <c r="H399" s="225">
        <v>-285</v>
      </c>
      <c r="K399" s="204" t="s">
        <v>500</v>
      </c>
      <c r="L399" s="657" t="s">
        <v>250</v>
      </c>
      <c r="M399" s="228">
        <v>6338300</v>
      </c>
      <c r="N399" s="228">
        <v>6292000</v>
      </c>
      <c r="O399" s="228">
        <v>4343000</v>
      </c>
      <c r="P399" s="228">
        <v>5423800</v>
      </c>
      <c r="Q399" s="228">
        <v>4624200</v>
      </c>
      <c r="T399" s="204" t="s">
        <v>500</v>
      </c>
      <c r="U399" s="657" t="s">
        <v>250</v>
      </c>
      <c r="V399" s="228">
        <v>292180</v>
      </c>
      <c r="W399" s="228">
        <v>332629</v>
      </c>
      <c r="X399" s="228">
        <v>218788</v>
      </c>
      <c r="Y399" s="228">
        <v>205081</v>
      </c>
      <c r="Z399" s="228">
        <v>81562</v>
      </c>
    </row>
    <row r="400" spans="1:26" ht="28">
      <c r="C400" s="208" t="s">
        <v>252</v>
      </c>
      <c r="D400" s="235" t="e">
        <f>D399/((K399+L399)/2)</f>
        <v>#VALUE!</v>
      </c>
      <c r="E400" s="235" t="e">
        <f t="shared" ref="E400:H400" si="42">E399/((L399+M399)/2)</f>
        <v>#VALUE!</v>
      </c>
      <c r="F400" s="235" t="e">
        <f t="shared" si="42"/>
        <v>#VALUE!</v>
      </c>
      <c r="G400" s="235" t="e">
        <f t="shared" si="42"/>
        <v>#VALUE!</v>
      </c>
      <c r="H400" s="235">
        <f t="shared" si="42"/>
        <v>-5.8360978007126182E-5</v>
      </c>
      <c r="K400" s="204" t="s">
        <v>501</v>
      </c>
      <c r="L400" s="210" t="s">
        <v>251</v>
      </c>
      <c r="M400" s="228">
        <v>593200</v>
      </c>
      <c r="N400" s="228">
        <v>498000</v>
      </c>
      <c r="O400" s="228">
        <v>383000</v>
      </c>
      <c r="P400" s="228">
        <v>431100</v>
      </c>
      <c r="Q400" s="228">
        <v>423200</v>
      </c>
      <c r="T400" s="204" t="s">
        <v>501</v>
      </c>
      <c r="U400" s="210" t="s">
        <v>251</v>
      </c>
      <c r="V400" s="228">
        <v>141842</v>
      </c>
      <c r="W400" s="228">
        <v>25814</v>
      </c>
      <c r="X400" s="228">
        <v>28457</v>
      </c>
      <c r="Y400" s="228">
        <v>87704</v>
      </c>
      <c r="Z400" s="228">
        <v>12468</v>
      </c>
    </row>
    <row r="401" spans="1:26" ht="28">
      <c r="C401" s="208" t="s">
        <v>253</v>
      </c>
      <c r="D401" s="235" t="e">
        <f>D399/((D393+E393)/2)</f>
        <v>#VALUE!</v>
      </c>
      <c r="E401" s="235" t="e">
        <f t="shared" ref="E401:H401" si="43">E399/((E393+F393)/2)</f>
        <v>#VALUE!</v>
      </c>
      <c r="F401" s="235" t="e">
        <f t="shared" si="43"/>
        <v>#VALUE!</v>
      </c>
      <c r="G401" s="235" t="e">
        <f t="shared" si="43"/>
        <v>#VALUE!</v>
      </c>
      <c r="H401" s="235" t="e">
        <f t="shared" si="43"/>
        <v>#VALUE!</v>
      </c>
      <c r="L401" s="208" t="s">
        <v>252</v>
      </c>
      <c r="M401" s="235"/>
      <c r="N401" s="235"/>
      <c r="O401" s="235"/>
      <c r="P401" s="235"/>
      <c r="Q401" s="235"/>
      <c r="U401" s="208" t="s">
        <v>252</v>
      </c>
      <c r="V401" s="235"/>
      <c r="W401" s="235"/>
      <c r="X401" s="235"/>
      <c r="Y401" s="235"/>
      <c r="Z401" s="235"/>
    </row>
    <row r="402" spans="1:26" ht="28">
      <c r="C402" s="208" t="s">
        <v>254</v>
      </c>
      <c r="D402" s="235"/>
      <c r="E402" s="235"/>
      <c r="F402" s="235"/>
      <c r="G402" s="235"/>
      <c r="H402" s="235"/>
      <c r="L402" s="208" t="s">
        <v>253</v>
      </c>
      <c r="M402" s="235"/>
      <c r="N402" s="235"/>
      <c r="O402" s="235"/>
      <c r="P402" s="235"/>
      <c r="Q402" s="235"/>
      <c r="U402" s="208" t="s">
        <v>253</v>
      </c>
      <c r="V402" s="235"/>
      <c r="W402" s="235"/>
      <c r="X402" s="235"/>
      <c r="Y402" s="235"/>
      <c r="Z402" s="235"/>
    </row>
    <row r="403" spans="1:26" ht="43" thickBot="1">
      <c r="B403" s="204" t="s">
        <v>502</v>
      </c>
      <c r="C403" s="659" t="s">
        <v>255</v>
      </c>
      <c r="D403" s="237" t="s">
        <v>831</v>
      </c>
      <c r="E403" s="237" t="s">
        <v>832</v>
      </c>
      <c r="F403" s="237" t="s">
        <v>833</v>
      </c>
      <c r="G403" s="237" t="s">
        <v>834</v>
      </c>
      <c r="H403" s="237" t="s">
        <v>835</v>
      </c>
      <c r="L403" s="208" t="s">
        <v>254</v>
      </c>
      <c r="M403" s="235"/>
      <c r="N403" s="235"/>
      <c r="O403" s="235"/>
      <c r="P403" s="235"/>
      <c r="Q403" s="235"/>
      <c r="U403" s="208" t="s">
        <v>254</v>
      </c>
      <c r="V403" s="235"/>
      <c r="W403" s="235"/>
      <c r="X403" s="235"/>
      <c r="Y403" s="235"/>
      <c r="Z403" s="235"/>
    </row>
    <row r="404" spans="1:26" ht="18">
      <c r="K404" s="204" t="s">
        <v>502</v>
      </c>
      <c r="L404" s="659" t="s">
        <v>255</v>
      </c>
      <c r="M404" s="228">
        <v>3885400</v>
      </c>
      <c r="N404" s="228">
        <v>3355000</v>
      </c>
      <c r="O404" s="228">
        <v>2813000</v>
      </c>
      <c r="P404" s="228">
        <v>2858300</v>
      </c>
      <c r="Q404" s="228">
        <v>2100400</v>
      </c>
      <c r="T404" s="204" t="s">
        <v>502</v>
      </c>
      <c r="U404" s="659" t="s">
        <v>255</v>
      </c>
      <c r="V404" s="228">
        <v>699450</v>
      </c>
      <c r="W404" s="228">
        <v>621539</v>
      </c>
      <c r="X404" s="228">
        <v>602927</v>
      </c>
      <c r="Y404" s="228">
        <v>598213</v>
      </c>
      <c r="Z404" s="228">
        <v>532168</v>
      </c>
    </row>
    <row r="405" spans="1:26">
      <c r="A405" s="204" t="s">
        <v>297</v>
      </c>
    </row>
    <row r="406" spans="1:26">
      <c r="A406" s="204" t="s">
        <v>298</v>
      </c>
    </row>
    <row r="407" spans="1:26">
      <c r="A407" s="204" t="s">
        <v>296</v>
      </c>
      <c r="C407" s="655"/>
      <c r="D407" s="655">
        <v>2011</v>
      </c>
      <c r="E407" s="219" t="s">
        <v>216</v>
      </c>
      <c r="F407" s="219" t="s">
        <v>217</v>
      </c>
      <c r="G407" s="219" t="s">
        <v>218</v>
      </c>
      <c r="H407" s="219" t="s">
        <v>219</v>
      </c>
      <c r="J407" s="656" t="s">
        <v>540</v>
      </c>
      <c r="S407" s="656" t="s">
        <v>524</v>
      </c>
    </row>
    <row r="408" spans="1:26" ht="16" thickBot="1">
      <c r="B408" s="204" t="s">
        <v>151</v>
      </c>
      <c r="C408" s="202" t="s">
        <v>246</v>
      </c>
      <c r="D408" s="237" t="s">
        <v>836</v>
      </c>
      <c r="E408" s="237" t="s">
        <v>837</v>
      </c>
      <c r="F408" s="237" t="s">
        <v>838</v>
      </c>
      <c r="G408" s="237" t="s">
        <v>839</v>
      </c>
      <c r="H408" s="238" t="s">
        <v>840</v>
      </c>
      <c r="J408" s="671" t="s">
        <v>816</v>
      </c>
      <c r="L408" s="655"/>
      <c r="M408" s="655">
        <v>2011</v>
      </c>
      <c r="N408" s="219" t="s">
        <v>216</v>
      </c>
      <c r="O408" s="219" t="s">
        <v>217</v>
      </c>
      <c r="P408" s="219" t="s">
        <v>218</v>
      </c>
      <c r="Q408" s="219" t="s">
        <v>219</v>
      </c>
      <c r="S408" s="656" t="s">
        <v>199</v>
      </c>
      <c r="U408" s="655"/>
      <c r="V408" s="655">
        <v>2011</v>
      </c>
      <c r="W408" s="219" t="s">
        <v>216</v>
      </c>
      <c r="X408" s="219" t="s">
        <v>217</v>
      </c>
      <c r="Y408" s="219" t="s">
        <v>218</v>
      </c>
      <c r="Z408" s="219" t="s">
        <v>219</v>
      </c>
    </row>
    <row r="409" spans="1:26" ht="18">
      <c r="C409" s="655"/>
      <c r="D409" s="234"/>
      <c r="E409" s="234"/>
      <c r="F409" s="234"/>
      <c r="G409" s="234"/>
      <c r="H409" s="234"/>
      <c r="K409" s="204" t="s">
        <v>151</v>
      </c>
      <c r="L409" s="202" t="s">
        <v>246</v>
      </c>
      <c r="M409" s="228">
        <v>10223700</v>
      </c>
      <c r="N409" s="228">
        <v>9647000</v>
      </c>
      <c r="O409" s="228">
        <v>7156000</v>
      </c>
      <c r="P409" s="228">
        <v>8282100</v>
      </c>
      <c r="Q409" s="228">
        <v>6724600</v>
      </c>
      <c r="T409" s="204" t="s">
        <v>151</v>
      </c>
      <c r="U409" s="202" t="s">
        <v>246</v>
      </c>
      <c r="V409" s="228">
        <v>991631</v>
      </c>
      <c r="W409" s="228">
        <v>954168</v>
      </c>
      <c r="X409" s="228">
        <v>821716</v>
      </c>
      <c r="Y409" s="228">
        <v>803294</v>
      </c>
      <c r="Z409" s="228">
        <v>613730</v>
      </c>
    </row>
    <row r="410" spans="1:26" ht="29" thickBot="1">
      <c r="B410" s="204" t="s">
        <v>499</v>
      </c>
      <c r="C410" s="211" t="s">
        <v>247</v>
      </c>
      <c r="D410" s="225" t="s">
        <v>841</v>
      </c>
      <c r="E410" s="226" t="s">
        <v>842</v>
      </c>
      <c r="F410" s="225" t="s">
        <v>843</v>
      </c>
      <c r="G410" s="226" t="s">
        <v>844</v>
      </c>
      <c r="H410" s="225" t="s">
        <v>845</v>
      </c>
      <c r="L410" s="655"/>
      <c r="M410" s="234"/>
      <c r="N410" s="234"/>
      <c r="O410" s="234"/>
      <c r="P410" s="234"/>
      <c r="Q410" s="234"/>
      <c r="U410" s="655"/>
      <c r="V410" s="234"/>
      <c r="W410" s="234"/>
      <c r="X410" s="234"/>
      <c r="Y410" s="234"/>
      <c r="Z410" s="234"/>
    </row>
    <row r="411" spans="1:26" ht="42">
      <c r="C411" s="208" t="s">
        <v>248</v>
      </c>
      <c r="D411" s="235"/>
      <c r="E411" s="235"/>
      <c r="F411" s="235"/>
      <c r="G411" s="235"/>
      <c r="H411" s="235"/>
      <c r="K411" s="204" t="s">
        <v>499</v>
      </c>
      <c r="L411" s="211" t="s">
        <v>247</v>
      </c>
      <c r="M411" s="228">
        <v>20227800</v>
      </c>
      <c r="N411" s="228">
        <v>17131000</v>
      </c>
      <c r="O411" s="228">
        <v>14588000</v>
      </c>
      <c r="P411" s="228">
        <v>14767800</v>
      </c>
      <c r="Q411" s="228">
        <v>13210300</v>
      </c>
      <c r="T411" s="204" t="s">
        <v>499</v>
      </c>
      <c r="U411" s="211" t="s">
        <v>247</v>
      </c>
      <c r="V411" s="228">
        <v>897379</v>
      </c>
      <c r="W411" s="228">
        <v>692239</v>
      </c>
      <c r="X411" s="228">
        <v>612738</v>
      </c>
      <c r="Y411" s="228">
        <v>497106</v>
      </c>
      <c r="Z411" s="228">
        <v>315466</v>
      </c>
    </row>
    <row r="412" spans="1:26" ht="42">
      <c r="C412" s="208" t="s">
        <v>249</v>
      </c>
      <c r="D412" s="235"/>
      <c r="E412" s="235"/>
      <c r="F412" s="235"/>
      <c r="G412" s="235"/>
      <c r="H412" s="235"/>
      <c r="L412" s="208" t="s">
        <v>248</v>
      </c>
      <c r="M412" s="235"/>
      <c r="N412" s="235"/>
      <c r="O412" s="235"/>
      <c r="P412" s="235"/>
      <c r="Q412" s="235"/>
      <c r="U412" s="208" t="s">
        <v>248</v>
      </c>
      <c r="V412" s="235"/>
      <c r="W412" s="235"/>
      <c r="X412" s="235"/>
      <c r="Y412" s="235"/>
      <c r="Z412" s="235"/>
    </row>
    <row r="413" spans="1:26" ht="29" thickBot="1">
      <c r="B413" s="204" t="s">
        <v>500</v>
      </c>
      <c r="C413" s="657" t="s">
        <v>250</v>
      </c>
      <c r="D413" s="225" t="s">
        <v>846</v>
      </c>
      <c r="E413" s="226" t="s">
        <v>847</v>
      </c>
      <c r="F413" s="225" t="s">
        <v>848</v>
      </c>
      <c r="G413" s="226" t="s">
        <v>849</v>
      </c>
      <c r="H413" s="225" t="s">
        <v>850</v>
      </c>
      <c r="L413" s="208" t="s">
        <v>249</v>
      </c>
      <c r="M413" s="235"/>
      <c r="N413" s="235"/>
      <c r="O413" s="235"/>
      <c r="P413" s="235"/>
      <c r="Q413" s="235"/>
      <c r="U413" s="208" t="s">
        <v>249</v>
      </c>
      <c r="V413" s="235"/>
      <c r="W413" s="235"/>
      <c r="X413" s="235"/>
      <c r="Y413" s="235"/>
      <c r="Z413" s="235"/>
    </row>
    <row r="414" spans="1:26" ht="29" thickBot="1">
      <c r="B414" s="204" t="s">
        <v>501</v>
      </c>
      <c r="C414" s="210" t="s">
        <v>251</v>
      </c>
      <c r="D414" s="225" t="s">
        <v>851</v>
      </c>
      <c r="E414" s="226" t="s">
        <v>852</v>
      </c>
      <c r="F414" s="225" t="s">
        <v>853</v>
      </c>
      <c r="G414" s="226" t="s">
        <v>854</v>
      </c>
      <c r="H414" s="225" t="s">
        <v>855</v>
      </c>
      <c r="K414" s="204" t="s">
        <v>500</v>
      </c>
      <c r="L414" s="657" t="s">
        <v>250</v>
      </c>
      <c r="M414" s="228">
        <v>6338300</v>
      </c>
      <c r="N414" s="228">
        <v>6292000</v>
      </c>
      <c r="O414" s="228">
        <v>4343000</v>
      </c>
      <c r="P414" s="228">
        <v>5423800</v>
      </c>
      <c r="Q414" s="228">
        <v>4624200</v>
      </c>
      <c r="T414" s="204" t="s">
        <v>500</v>
      </c>
      <c r="U414" s="657" t="s">
        <v>250</v>
      </c>
      <c r="V414" s="228">
        <v>292180</v>
      </c>
      <c r="W414" s="228">
        <v>332629</v>
      </c>
      <c r="X414" s="228">
        <v>218788</v>
      </c>
      <c r="Y414" s="228">
        <v>205081</v>
      </c>
      <c r="Z414" s="228">
        <v>81562</v>
      </c>
    </row>
    <row r="415" spans="1:26" ht="28">
      <c r="C415" s="208" t="s">
        <v>252</v>
      </c>
      <c r="D415" s="235" t="e">
        <f>D414/((K414+L414)/2)</f>
        <v>#VALUE!</v>
      </c>
      <c r="E415" s="235" t="e">
        <f t="shared" ref="E415:H415" si="44">E414/((L414+M414)/2)</f>
        <v>#VALUE!</v>
      </c>
      <c r="F415" s="235" t="e">
        <f t="shared" si="44"/>
        <v>#VALUE!</v>
      </c>
      <c r="G415" s="235" t="e">
        <f t="shared" si="44"/>
        <v>#VALUE!</v>
      </c>
      <c r="H415" s="235" t="e">
        <f t="shared" si="44"/>
        <v>#VALUE!</v>
      </c>
      <c r="K415" s="204" t="s">
        <v>501</v>
      </c>
      <c r="L415" s="210" t="s">
        <v>251</v>
      </c>
      <c r="M415" s="228">
        <v>593200</v>
      </c>
      <c r="N415" s="228">
        <v>498000</v>
      </c>
      <c r="O415" s="228">
        <v>383000</v>
      </c>
      <c r="P415" s="228">
        <v>431100</v>
      </c>
      <c r="Q415" s="228">
        <v>423200</v>
      </c>
      <c r="T415" s="204" t="s">
        <v>501</v>
      </c>
      <c r="U415" s="210" t="s">
        <v>251</v>
      </c>
      <c r="V415" s="228">
        <v>141842</v>
      </c>
      <c r="W415" s="228">
        <v>25814</v>
      </c>
      <c r="X415" s="228">
        <v>28457</v>
      </c>
      <c r="Y415" s="228">
        <v>87704</v>
      </c>
      <c r="Z415" s="228">
        <v>12468</v>
      </c>
    </row>
    <row r="416" spans="1:26" ht="28">
      <c r="C416" s="208" t="s">
        <v>253</v>
      </c>
      <c r="D416" s="235" t="e">
        <f>D414/((D408+E408)/2)</f>
        <v>#VALUE!</v>
      </c>
      <c r="E416" s="235" t="e">
        <f t="shared" ref="E416:H416" si="45">E414/((E408+F408)/2)</f>
        <v>#VALUE!</v>
      </c>
      <c r="F416" s="235" t="e">
        <f t="shared" si="45"/>
        <v>#VALUE!</v>
      </c>
      <c r="G416" s="235" t="e">
        <f t="shared" si="45"/>
        <v>#VALUE!</v>
      </c>
      <c r="H416" s="235" t="e">
        <f t="shared" si="45"/>
        <v>#VALUE!</v>
      </c>
      <c r="L416" s="208" t="s">
        <v>252</v>
      </c>
      <c r="M416" s="235"/>
      <c r="N416" s="235"/>
      <c r="O416" s="235"/>
      <c r="P416" s="235"/>
      <c r="Q416" s="235"/>
      <c r="U416" s="208" t="s">
        <v>252</v>
      </c>
      <c r="V416" s="235"/>
      <c r="W416" s="235"/>
      <c r="X416" s="235"/>
      <c r="Y416" s="235"/>
      <c r="Z416" s="235"/>
    </row>
    <row r="417" spans="1:26" ht="28">
      <c r="C417" s="208" t="s">
        <v>254</v>
      </c>
      <c r="D417" s="235"/>
      <c r="E417" s="235"/>
      <c r="F417" s="235"/>
      <c r="G417" s="235"/>
      <c r="H417" s="235"/>
      <c r="L417" s="208" t="s">
        <v>253</v>
      </c>
      <c r="M417" s="235"/>
      <c r="N417" s="235"/>
      <c r="O417" s="235"/>
      <c r="P417" s="235"/>
      <c r="Q417" s="235"/>
      <c r="U417" s="208" t="s">
        <v>253</v>
      </c>
      <c r="V417" s="235"/>
      <c r="W417" s="235"/>
      <c r="X417" s="235"/>
      <c r="Y417" s="235"/>
      <c r="Z417" s="235"/>
    </row>
    <row r="418" spans="1:26" ht="43" thickBot="1">
      <c r="B418" s="204" t="s">
        <v>502</v>
      </c>
      <c r="C418" s="659" t="s">
        <v>255</v>
      </c>
      <c r="D418" s="225" t="s">
        <v>856</v>
      </c>
      <c r="E418" s="226" t="s">
        <v>857</v>
      </c>
      <c r="F418" s="225" t="s">
        <v>858</v>
      </c>
      <c r="G418" s="226" t="s">
        <v>859</v>
      </c>
      <c r="H418" s="225" t="s">
        <v>860</v>
      </c>
      <c r="L418" s="208" t="s">
        <v>254</v>
      </c>
      <c r="M418" s="235"/>
      <c r="N418" s="235"/>
      <c r="O418" s="235"/>
      <c r="P418" s="235"/>
      <c r="Q418" s="235"/>
      <c r="U418" s="208" t="s">
        <v>254</v>
      </c>
      <c r="V418" s="235"/>
      <c r="W418" s="235"/>
      <c r="X418" s="235"/>
      <c r="Y418" s="235"/>
      <c r="Z418" s="235"/>
    </row>
    <row r="419" spans="1:26" ht="18">
      <c r="K419" s="204" t="s">
        <v>502</v>
      </c>
      <c r="L419" s="659" t="s">
        <v>255</v>
      </c>
      <c r="M419" s="228">
        <v>3885400</v>
      </c>
      <c r="N419" s="228">
        <v>3355000</v>
      </c>
      <c r="O419" s="228">
        <v>2813000</v>
      </c>
      <c r="P419" s="228">
        <v>2858300</v>
      </c>
      <c r="Q419" s="228">
        <v>2100400</v>
      </c>
      <c r="T419" s="204" t="s">
        <v>502</v>
      </c>
      <c r="U419" s="659" t="s">
        <v>255</v>
      </c>
      <c r="V419" s="228">
        <v>699450</v>
      </c>
      <c r="W419" s="228">
        <v>621539</v>
      </c>
      <c r="X419" s="228">
        <v>602927</v>
      </c>
      <c r="Y419" s="228">
        <v>598213</v>
      </c>
      <c r="Z419" s="228">
        <v>532168</v>
      </c>
    </row>
    <row r="421" spans="1:26">
      <c r="A421" s="204" t="s">
        <v>299</v>
      </c>
    </row>
    <row r="422" spans="1:26">
      <c r="A422" s="204" t="s">
        <v>300</v>
      </c>
      <c r="C422" s="655"/>
      <c r="D422" s="655">
        <v>2009</v>
      </c>
      <c r="E422" s="219" t="s">
        <v>220</v>
      </c>
      <c r="F422" s="219" t="s">
        <v>221</v>
      </c>
      <c r="G422" s="219" t="s">
        <v>222</v>
      </c>
      <c r="H422" s="219" t="s">
        <v>223</v>
      </c>
      <c r="J422" s="656" t="s">
        <v>861</v>
      </c>
      <c r="S422" s="656" t="s">
        <v>862</v>
      </c>
    </row>
    <row r="423" spans="1:26" ht="18">
      <c r="B423" s="204" t="s">
        <v>151</v>
      </c>
      <c r="C423" s="202" t="s">
        <v>246</v>
      </c>
      <c r="D423" s="228" t="s">
        <v>863</v>
      </c>
      <c r="E423" s="228" t="s">
        <v>864</v>
      </c>
      <c r="F423" s="228" t="s">
        <v>865</v>
      </c>
      <c r="G423" s="228" t="s">
        <v>866</v>
      </c>
      <c r="H423" s="228" t="s">
        <v>867</v>
      </c>
      <c r="J423" s="672" t="s">
        <v>199</v>
      </c>
      <c r="L423" s="655"/>
      <c r="M423" s="655">
        <v>2009</v>
      </c>
      <c r="N423" s="219" t="s">
        <v>220</v>
      </c>
      <c r="O423" s="219" t="s">
        <v>221</v>
      </c>
      <c r="P423" s="219" t="s">
        <v>222</v>
      </c>
      <c r="Q423" s="219" t="s">
        <v>223</v>
      </c>
      <c r="S423" s="656" t="s">
        <v>199</v>
      </c>
      <c r="U423" s="655"/>
      <c r="V423" s="655">
        <v>2009</v>
      </c>
      <c r="W423" s="219" t="s">
        <v>220</v>
      </c>
      <c r="X423" s="219" t="s">
        <v>221</v>
      </c>
      <c r="Y423" s="219" t="s">
        <v>222</v>
      </c>
      <c r="Z423" s="219" t="s">
        <v>223</v>
      </c>
    </row>
    <row r="424" spans="1:26" ht="18">
      <c r="C424" s="655"/>
      <c r="D424" s="234"/>
      <c r="E424" s="234"/>
      <c r="F424" s="234"/>
      <c r="G424" s="234"/>
      <c r="H424" s="234"/>
      <c r="K424" s="204" t="s">
        <v>151</v>
      </c>
      <c r="L424" s="202" t="s">
        <v>246</v>
      </c>
      <c r="M424" s="228">
        <v>166031000</v>
      </c>
      <c r="N424" s="228">
        <v>187172000</v>
      </c>
      <c r="O424" s="228">
        <v>160832000</v>
      </c>
      <c r="P424" s="228">
        <v>148376000</v>
      </c>
      <c r="Q424" s="228">
        <v>124395000</v>
      </c>
      <c r="T424" s="204" t="s">
        <v>151</v>
      </c>
      <c r="U424" s="202" t="s">
        <v>246</v>
      </c>
      <c r="V424" s="228">
        <v>21898</v>
      </c>
      <c r="W424" s="228">
        <v>14401</v>
      </c>
      <c r="X424" s="228">
        <v>7521</v>
      </c>
      <c r="Y424" s="228">
        <v>4463</v>
      </c>
      <c r="Z424" s="228">
        <v>2531</v>
      </c>
    </row>
    <row r="425" spans="1:26" ht="28">
      <c r="B425" s="204" t="s">
        <v>499</v>
      </c>
      <c r="C425" s="211" t="s">
        <v>247</v>
      </c>
      <c r="D425" s="228" t="s">
        <v>868</v>
      </c>
      <c r="E425" s="228" t="s">
        <v>869</v>
      </c>
      <c r="F425" s="228" t="s">
        <v>870</v>
      </c>
      <c r="G425" s="228" t="s">
        <v>871</v>
      </c>
      <c r="H425" s="230" t="s">
        <v>872</v>
      </c>
      <c r="L425" s="655"/>
      <c r="M425" s="234"/>
      <c r="N425" s="234"/>
      <c r="O425" s="234"/>
      <c r="P425" s="234"/>
      <c r="Q425" s="234"/>
      <c r="U425" s="655"/>
      <c r="V425" s="234"/>
      <c r="W425" s="234"/>
      <c r="X425" s="234"/>
      <c r="Y425" s="234"/>
      <c r="Z425" s="234"/>
    </row>
    <row r="426" spans="1:26" ht="42">
      <c r="C426" s="208" t="s">
        <v>248</v>
      </c>
      <c r="D426" s="235"/>
      <c r="E426" s="235"/>
      <c r="F426" s="235"/>
      <c r="G426" s="235"/>
      <c r="H426" s="235"/>
      <c r="K426" s="204" t="s">
        <v>499</v>
      </c>
      <c r="L426" s="211" t="s">
        <v>247</v>
      </c>
      <c r="M426" s="228">
        <v>97650000</v>
      </c>
      <c r="N426" s="228">
        <v>97194000</v>
      </c>
      <c r="O426" s="228">
        <v>92473000</v>
      </c>
      <c r="P426" s="228">
        <v>91077000</v>
      </c>
      <c r="Q426" s="228">
        <v>68927000</v>
      </c>
      <c r="T426" s="204" t="s">
        <v>499</v>
      </c>
      <c r="U426" s="211" t="s">
        <v>247</v>
      </c>
      <c r="V426" s="228">
        <v>63155</v>
      </c>
      <c r="W426" s="228">
        <v>41639</v>
      </c>
      <c r="X426" s="228">
        <v>24930</v>
      </c>
      <c r="Y426" s="228">
        <v>10549</v>
      </c>
      <c r="Z426" s="228">
        <v>2824</v>
      </c>
    </row>
    <row r="427" spans="1:26" ht="42">
      <c r="C427" s="208" t="s">
        <v>249</v>
      </c>
      <c r="D427" s="235"/>
      <c r="E427" s="235"/>
      <c r="F427" s="235"/>
      <c r="G427" s="235"/>
      <c r="H427" s="235"/>
      <c r="L427" s="208" t="s">
        <v>248</v>
      </c>
      <c r="M427" s="235"/>
      <c r="N427" s="235"/>
      <c r="O427" s="235"/>
      <c r="P427" s="235"/>
      <c r="Q427" s="235"/>
      <c r="U427" s="208" t="s">
        <v>248</v>
      </c>
      <c r="V427" s="235"/>
      <c r="W427" s="235"/>
      <c r="X427" s="235"/>
      <c r="Y427" s="235"/>
      <c r="Z427" s="235"/>
    </row>
    <row r="428" spans="1:26" ht="28">
      <c r="B428" s="204" t="s">
        <v>500</v>
      </c>
      <c r="C428" s="657" t="s">
        <v>250</v>
      </c>
      <c r="D428" s="228" t="s">
        <v>873</v>
      </c>
      <c r="E428" s="228" t="s">
        <v>874</v>
      </c>
      <c r="F428" s="228" t="s">
        <v>875</v>
      </c>
      <c r="G428" s="228" t="s">
        <v>876</v>
      </c>
      <c r="H428" s="228" t="s">
        <v>877</v>
      </c>
      <c r="L428" s="208" t="s">
        <v>249</v>
      </c>
      <c r="M428" s="235"/>
      <c r="N428" s="235"/>
      <c r="O428" s="235"/>
      <c r="P428" s="235"/>
      <c r="Q428" s="235"/>
      <c r="U428" s="208" t="s">
        <v>249</v>
      </c>
      <c r="V428" s="235"/>
      <c r="W428" s="235"/>
      <c r="X428" s="235"/>
      <c r="Y428" s="235"/>
      <c r="Z428" s="235"/>
    </row>
    <row r="429" spans="1:26" ht="28">
      <c r="B429" s="204" t="s">
        <v>501</v>
      </c>
      <c r="C429" s="210" t="s">
        <v>251</v>
      </c>
      <c r="D429" s="228" t="s">
        <v>878</v>
      </c>
      <c r="E429" s="228" t="s">
        <v>879</v>
      </c>
      <c r="F429" s="228" t="s">
        <v>880</v>
      </c>
      <c r="G429" s="228" t="s">
        <v>881</v>
      </c>
      <c r="H429" s="228" t="s">
        <v>882</v>
      </c>
      <c r="K429" s="204" t="s">
        <v>500</v>
      </c>
      <c r="L429" s="657" t="s">
        <v>250</v>
      </c>
      <c r="M429" s="228">
        <v>80966000</v>
      </c>
      <c r="N429" s="228">
        <v>98604000</v>
      </c>
      <c r="O429" s="228">
        <v>86177000</v>
      </c>
      <c r="P429" s="228">
        <v>85648000</v>
      </c>
      <c r="Q429" s="228">
        <v>70862000</v>
      </c>
      <c r="T429" s="204" t="s">
        <v>500</v>
      </c>
      <c r="U429" s="657" t="s">
        <v>250</v>
      </c>
      <c r="V429" s="228">
        <v>16367</v>
      </c>
      <c r="W429" s="228">
        <v>10833</v>
      </c>
      <c r="X429" s="228">
        <v>4869</v>
      </c>
      <c r="Y429" s="228">
        <v>3543</v>
      </c>
      <c r="Z429" s="228">
        <v>1916</v>
      </c>
    </row>
    <row r="430" spans="1:26" ht="28">
      <c r="C430" s="208" t="s">
        <v>252</v>
      </c>
      <c r="D430" s="235" t="e">
        <f>D429/((K429+L429)/2)</f>
        <v>#VALUE!</v>
      </c>
      <c r="E430" s="235" t="e">
        <f t="shared" ref="E430:H430" si="46">E429/((L429+M429)/2)</f>
        <v>#VALUE!</v>
      </c>
      <c r="F430" s="235" t="e">
        <f t="shared" si="46"/>
        <v>#VALUE!</v>
      </c>
      <c r="G430" s="235" t="e">
        <f t="shared" si="46"/>
        <v>#VALUE!</v>
      </c>
      <c r="H430" s="235" t="e">
        <f t="shared" si="46"/>
        <v>#VALUE!</v>
      </c>
      <c r="K430" s="204" t="s">
        <v>501</v>
      </c>
      <c r="L430" s="210" t="s">
        <v>251</v>
      </c>
      <c r="M430" s="228">
        <v>8653000</v>
      </c>
      <c r="N430" s="228">
        <v>13065000</v>
      </c>
      <c r="O430" s="228">
        <v>18016000</v>
      </c>
      <c r="P430" s="228">
        <v>15920000</v>
      </c>
      <c r="Q430" s="228">
        <v>7646000</v>
      </c>
      <c r="T430" s="204" t="s">
        <v>501</v>
      </c>
      <c r="U430" s="210" t="s">
        <v>251</v>
      </c>
      <c r="V430" s="228">
        <v>7562</v>
      </c>
      <c r="W430" s="228">
        <v>1767</v>
      </c>
      <c r="X430" s="228">
        <v>981</v>
      </c>
      <c r="Y430" s="228">
        <v>306</v>
      </c>
      <c r="Z430" s="228">
        <v>-488</v>
      </c>
    </row>
    <row r="431" spans="1:26" ht="28">
      <c r="C431" s="208" t="s">
        <v>253</v>
      </c>
      <c r="D431" s="235" t="e">
        <f>D429/((D423+E423)/2)</f>
        <v>#VALUE!</v>
      </c>
      <c r="E431" s="235" t="e">
        <f t="shared" ref="E431:H431" si="47">E429/((E423+F423)/2)</f>
        <v>#VALUE!</v>
      </c>
      <c r="F431" s="235" t="e">
        <f t="shared" si="47"/>
        <v>#VALUE!</v>
      </c>
      <c r="G431" s="235" t="e">
        <f t="shared" si="47"/>
        <v>#VALUE!</v>
      </c>
      <c r="H431" s="235" t="e">
        <f t="shared" si="47"/>
        <v>#VALUE!</v>
      </c>
      <c r="L431" s="208" t="s">
        <v>252</v>
      </c>
      <c r="M431" s="235"/>
      <c r="N431" s="235"/>
      <c r="O431" s="235"/>
      <c r="P431" s="235"/>
      <c r="Q431" s="235"/>
      <c r="U431" s="208" t="s">
        <v>252</v>
      </c>
      <c r="V431" s="235"/>
      <c r="W431" s="235"/>
      <c r="X431" s="235"/>
      <c r="Y431" s="235"/>
      <c r="Z431" s="235"/>
    </row>
    <row r="432" spans="1:26" ht="28">
      <c r="C432" s="208" t="s">
        <v>254</v>
      </c>
      <c r="D432" s="235"/>
      <c r="E432" s="235"/>
      <c r="F432" s="235"/>
      <c r="G432" s="235"/>
      <c r="H432" s="235"/>
      <c r="L432" s="208" t="s">
        <v>253</v>
      </c>
      <c r="M432" s="235"/>
      <c r="N432" s="235"/>
      <c r="O432" s="235"/>
      <c r="P432" s="235"/>
      <c r="Q432" s="235"/>
      <c r="U432" s="208" t="s">
        <v>253</v>
      </c>
      <c r="V432" s="235"/>
      <c r="W432" s="235"/>
      <c r="X432" s="235"/>
      <c r="Y432" s="235"/>
      <c r="Z432" s="235"/>
    </row>
    <row r="433" spans="1:26" ht="42">
      <c r="B433" s="204" t="s">
        <v>502</v>
      </c>
      <c r="C433" s="659" t="s">
        <v>255</v>
      </c>
      <c r="D433" s="228" t="s">
        <v>883</v>
      </c>
      <c r="E433" s="228" t="s">
        <v>884</v>
      </c>
      <c r="F433" s="228" t="s">
        <v>885</v>
      </c>
      <c r="G433" s="228" t="s">
        <v>886</v>
      </c>
      <c r="H433" s="228" t="s">
        <v>887</v>
      </c>
      <c r="L433" s="208" t="s">
        <v>254</v>
      </c>
      <c r="M433" s="235"/>
      <c r="N433" s="235"/>
      <c r="O433" s="235"/>
      <c r="P433" s="235"/>
      <c r="Q433" s="235"/>
      <c r="U433" s="208" t="s">
        <v>254</v>
      </c>
      <c r="V433" s="235"/>
      <c r="W433" s="235"/>
      <c r="X433" s="235"/>
      <c r="Y433" s="235"/>
      <c r="Z433" s="235"/>
    </row>
    <row r="434" spans="1:26" ht="18">
      <c r="K434" s="204" t="s">
        <v>502</v>
      </c>
      <c r="L434" s="659" t="s">
        <v>255</v>
      </c>
      <c r="M434" s="228">
        <v>85065000</v>
      </c>
      <c r="N434" s="228">
        <v>88568000</v>
      </c>
      <c r="O434" s="228">
        <v>74655000</v>
      </c>
      <c r="P434" s="228">
        <v>62728000</v>
      </c>
      <c r="Q434" s="228">
        <v>53533000</v>
      </c>
      <c r="T434" s="204" t="s">
        <v>502</v>
      </c>
      <c r="U434" s="659" t="s">
        <v>255</v>
      </c>
      <c r="V434" s="228">
        <v>5531</v>
      </c>
      <c r="W434" s="228">
        <v>3569</v>
      </c>
      <c r="X434" s="228">
        <v>2652</v>
      </c>
      <c r="Y434" s="228">
        <v>920</v>
      </c>
      <c r="Z434" s="228">
        <v>614</v>
      </c>
    </row>
    <row r="435" spans="1:26">
      <c r="A435" s="204" t="s">
        <v>301</v>
      </c>
    </row>
    <row r="436" spans="1:26">
      <c r="A436" s="204" t="s">
        <v>302</v>
      </c>
      <c r="C436" s="655"/>
      <c r="D436" s="655">
        <v>2008</v>
      </c>
      <c r="E436" s="219" t="s">
        <v>224</v>
      </c>
      <c r="F436" s="219" t="s">
        <v>225</v>
      </c>
      <c r="G436" s="219" t="s">
        <v>226</v>
      </c>
      <c r="H436" s="219" t="s">
        <v>227</v>
      </c>
    </row>
    <row r="437" spans="1:26" ht="18">
      <c r="A437" s="204" t="s">
        <v>303</v>
      </c>
      <c r="B437" s="204" t="s">
        <v>151</v>
      </c>
      <c r="C437" s="202" t="s">
        <v>246</v>
      </c>
      <c r="D437" s="228">
        <v>955</v>
      </c>
      <c r="E437" s="228" t="s">
        <v>262</v>
      </c>
      <c r="F437" s="228" t="s">
        <v>263</v>
      </c>
      <c r="G437" s="228">
        <v>122</v>
      </c>
      <c r="H437" s="228" t="s">
        <v>264</v>
      </c>
    </row>
    <row r="438" spans="1:26">
      <c r="C438" s="655"/>
      <c r="D438" s="234"/>
      <c r="E438" s="234"/>
      <c r="F438" s="234"/>
      <c r="G438" s="234"/>
      <c r="H438" s="234"/>
    </row>
    <row r="439" spans="1:26" ht="28">
      <c r="B439" s="204" t="s">
        <v>499</v>
      </c>
      <c r="C439" s="211" t="s">
        <v>247</v>
      </c>
      <c r="D439" s="228">
        <v>834</v>
      </c>
      <c r="E439" s="228">
        <v>918</v>
      </c>
      <c r="F439" s="228" t="s">
        <v>265</v>
      </c>
      <c r="G439" s="228" t="s">
        <v>266</v>
      </c>
      <c r="H439" s="230" t="s">
        <v>267</v>
      </c>
    </row>
    <row r="440" spans="1:26">
      <c r="C440" s="208" t="s">
        <v>248</v>
      </c>
      <c r="D440" s="235"/>
      <c r="E440" s="235"/>
      <c r="F440" s="235"/>
      <c r="G440" s="235"/>
      <c r="H440" s="235"/>
    </row>
    <row r="441" spans="1:26">
      <c r="C441" s="208" t="s">
        <v>249</v>
      </c>
      <c r="D441" s="235"/>
      <c r="E441" s="235"/>
      <c r="F441" s="235"/>
      <c r="G441" s="235"/>
      <c r="H441" s="235"/>
    </row>
    <row r="442" spans="1:26" ht="18">
      <c r="B442" s="204" t="s">
        <v>500</v>
      </c>
      <c r="C442" s="657" t="s">
        <v>250</v>
      </c>
      <c r="D442" s="228">
        <v>833</v>
      </c>
      <c r="E442" s="228">
        <v>911</v>
      </c>
      <c r="F442" s="228" t="s">
        <v>268</v>
      </c>
      <c r="G442" s="228">
        <v>0</v>
      </c>
      <c r="H442" s="228" t="s">
        <v>269</v>
      </c>
    </row>
    <row r="443" spans="1:26" ht="28">
      <c r="B443" s="204" t="s">
        <v>501</v>
      </c>
      <c r="C443" s="210" t="s">
        <v>251</v>
      </c>
      <c r="D443" s="228">
        <v>600</v>
      </c>
      <c r="E443" s="228">
        <v>656</v>
      </c>
      <c r="F443" s="228">
        <v>725</v>
      </c>
      <c r="G443" s="228">
        <v>776</v>
      </c>
      <c r="H443" s="230">
        <v>796</v>
      </c>
    </row>
    <row r="444" spans="1:26" ht="28">
      <c r="C444" s="208" t="s">
        <v>252</v>
      </c>
      <c r="D444" s="235" t="e">
        <f>D443/((K443+L443)/2)</f>
        <v>#DIV/0!</v>
      </c>
      <c r="E444" s="235" t="e">
        <f t="shared" ref="E444:H444" si="48">E443/((L443+M443)/2)</f>
        <v>#DIV/0!</v>
      </c>
      <c r="F444" s="235" t="e">
        <f t="shared" si="48"/>
        <v>#DIV/0!</v>
      </c>
      <c r="G444" s="235" t="e">
        <f t="shared" si="48"/>
        <v>#DIV/0!</v>
      </c>
      <c r="H444" s="235" t="e">
        <f t="shared" si="48"/>
        <v>#DIV/0!</v>
      </c>
    </row>
    <row r="445" spans="1:26" ht="28">
      <c r="C445" s="208" t="s">
        <v>253</v>
      </c>
      <c r="D445" s="235" t="e">
        <f>D443/((D437+E437)/2)</f>
        <v>#VALUE!</v>
      </c>
      <c r="E445" s="235" t="e">
        <f t="shared" ref="E445:H445" si="49">E443/((E437+F437)/2)</f>
        <v>#VALUE!</v>
      </c>
      <c r="F445" s="235" t="e">
        <f t="shared" si="49"/>
        <v>#VALUE!</v>
      </c>
      <c r="G445" s="235" t="e">
        <f t="shared" si="49"/>
        <v>#VALUE!</v>
      </c>
      <c r="H445" s="235" t="e">
        <f t="shared" si="49"/>
        <v>#VALUE!</v>
      </c>
    </row>
    <row r="446" spans="1:26" ht="28">
      <c r="C446" s="208" t="s">
        <v>254</v>
      </c>
      <c r="D446" s="235"/>
      <c r="E446" s="235"/>
      <c r="F446" s="235"/>
      <c r="G446" s="235"/>
      <c r="H446" s="235"/>
    </row>
    <row r="447" spans="1:26" ht="18">
      <c r="A447" s="222" t="s">
        <v>304</v>
      </c>
      <c r="B447" s="204" t="s">
        <v>502</v>
      </c>
      <c r="C447" s="659" t="s">
        <v>255</v>
      </c>
      <c r="D447" s="228">
        <v>122</v>
      </c>
      <c r="E447" s="228">
        <v>122</v>
      </c>
      <c r="F447" s="228">
        <v>122</v>
      </c>
      <c r="G447" s="228">
        <v>122</v>
      </c>
      <c r="H447" s="230">
        <v>122</v>
      </c>
    </row>
    <row r="449" spans="1:17">
      <c r="J449" s="656" t="s">
        <v>888</v>
      </c>
    </row>
    <row r="450" spans="1:17">
      <c r="J450" s="656" t="s">
        <v>199</v>
      </c>
      <c r="K450" s="684"/>
      <c r="L450" s="679"/>
      <c r="M450" s="679">
        <v>2008</v>
      </c>
      <c r="N450" s="219" t="s">
        <v>224</v>
      </c>
      <c r="O450" s="219" t="s">
        <v>225</v>
      </c>
      <c r="P450" s="219" t="s">
        <v>226</v>
      </c>
      <c r="Q450" s="219" t="s">
        <v>227</v>
      </c>
    </row>
    <row r="451" spans="1:17" ht="18">
      <c r="A451" s="217" t="s">
        <v>305</v>
      </c>
      <c r="K451" s="685" t="s">
        <v>151</v>
      </c>
      <c r="L451" s="202" t="s">
        <v>246</v>
      </c>
      <c r="M451" s="687">
        <v>25450201</v>
      </c>
      <c r="N451" s="687">
        <v>24838774</v>
      </c>
      <c r="O451" s="687">
        <v>19412876</v>
      </c>
      <c r="P451" s="687">
        <v>17068566</v>
      </c>
      <c r="Q451" s="687">
        <v>5677041</v>
      </c>
    </row>
    <row r="452" spans="1:17">
      <c r="A452" s="204" t="s">
        <v>306</v>
      </c>
      <c r="C452" s="655"/>
      <c r="D452" s="655">
        <v>2008</v>
      </c>
      <c r="E452" s="219" t="s">
        <v>224</v>
      </c>
      <c r="F452" s="219" t="s">
        <v>225</v>
      </c>
      <c r="G452" s="219" t="s">
        <v>226</v>
      </c>
      <c r="H452" s="219" t="s">
        <v>227</v>
      </c>
      <c r="K452" s="684"/>
      <c r="L452" s="679"/>
      <c r="M452" s="234"/>
      <c r="N452" s="234"/>
      <c r="O452" s="234"/>
      <c r="P452" s="234"/>
      <c r="Q452" s="234"/>
    </row>
    <row r="453" spans="1:17" ht="42">
      <c r="B453" s="204" t="s">
        <v>151</v>
      </c>
      <c r="C453" s="202" t="s">
        <v>246</v>
      </c>
      <c r="D453" s="228" t="s">
        <v>889</v>
      </c>
      <c r="E453" s="228" t="s">
        <v>890</v>
      </c>
      <c r="F453" s="228" t="s">
        <v>891</v>
      </c>
      <c r="G453" s="228" t="s">
        <v>892</v>
      </c>
      <c r="H453" s="228" t="s">
        <v>893</v>
      </c>
      <c r="K453" s="685" t="s">
        <v>499</v>
      </c>
      <c r="L453" s="211" t="s">
        <v>247</v>
      </c>
      <c r="M453" s="687">
        <v>2263585</v>
      </c>
      <c r="N453" s="687">
        <v>4173186</v>
      </c>
      <c r="O453" s="687">
        <v>2744616</v>
      </c>
      <c r="P453" s="687">
        <v>2349187</v>
      </c>
      <c r="Q453" s="687">
        <v>816794</v>
      </c>
    </row>
    <row r="454" spans="1:17" ht="42">
      <c r="C454" s="655"/>
      <c r="D454" s="234"/>
      <c r="E454" s="234"/>
      <c r="F454" s="234"/>
      <c r="G454" s="234"/>
      <c r="H454" s="234"/>
      <c r="K454" s="684"/>
      <c r="L454" s="208" t="s">
        <v>248</v>
      </c>
      <c r="M454" s="235"/>
      <c r="N454" s="235"/>
      <c r="O454" s="235"/>
      <c r="P454" s="235"/>
      <c r="Q454" s="235"/>
    </row>
    <row r="455" spans="1:17" ht="28">
      <c r="B455" s="204" t="s">
        <v>499</v>
      </c>
      <c r="C455" s="211" t="s">
        <v>247</v>
      </c>
      <c r="D455" s="228" t="s">
        <v>894</v>
      </c>
      <c r="E455" s="228" t="s">
        <v>895</v>
      </c>
      <c r="F455" s="228" t="s">
        <v>896</v>
      </c>
      <c r="G455" s="228" t="s">
        <v>897</v>
      </c>
      <c r="H455" s="228" t="s">
        <v>898</v>
      </c>
      <c r="K455" s="684"/>
      <c r="L455" s="208" t="s">
        <v>249</v>
      </c>
      <c r="M455" s="235"/>
      <c r="N455" s="235"/>
      <c r="O455" s="235"/>
      <c r="P455" s="235"/>
      <c r="Q455" s="235"/>
    </row>
    <row r="456" spans="1:17" ht="18">
      <c r="C456" s="208" t="s">
        <v>248</v>
      </c>
      <c r="D456" s="235"/>
      <c r="E456" s="235"/>
      <c r="F456" s="235"/>
      <c r="G456" s="235"/>
      <c r="H456" s="235"/>
      <c r="K456" s="685" t="s">
        <v>500</v>
      </c>
      <c r="L456" s="657" t="s">
        <v>250</v>
      </c>
      <c r="M456" s="687">
        <v>9830501</v>
      </c>
      <c r="N456" s="687">
        <v>8843914</v>
      </c>
      <c r="O456" s="687">
        <v>8022973</v>
      </c>
      <c r="P456" s="687">
        <v>6681920</v>
      </c>
      <c r="Q456" s="687">
        <v>5066950</v>
      </c>
    </row>
    <row r="457" spans="1:17" ht="28">
      <c r="C457" s="208" t="s">
        <v>249</v>
      </c>
      <c r="D457" s="235"/>
      <c r="E457" s="235"/>
      <c r="F457" s="235"/>
      <c r="G457" s="235"/>
      <c r="H457" s="235"/>
      <c r="K457" s="685" t="s">
        <v>501</v>
      </c>
      <c r="L457" s="210" t="s">
        <v>251</v>
      </c>
      <c r="M457" s="687">
        <v>-125570</v>
      </c>
      <c r="N457" s="687">
        <v>1886819</v>
      </c>
      <c r="O457" s="687">
        <v>1225243</v>
      </c>
      <c r="P457" s="687">
        <v>1133124</v>
      </c>
      <c r="Q457" s="687">
        <v>254190</v>
      </c>
    </row>
    <row r="458" spans="1:17" ht="28">
      <c r="B458" s="204" t="s">
        <v>500</v>
      </c>
      <c r="C458" s="657" t="s">
        <v>250</v>
      </c>
      <c r="D458" s="228" t="s">
        <v>899</v>
      </c>
      <c r="E458" s="228" t="s">
        <v>900</v>
      </c>
      <c r="F458" s="228" t="s">
        <v>901</v>
      </c>
      <c r="G458" s="228" t="s">
        <v>902</v>
      </c>
      <c r="H458" s="228" t="s">
        <v>903</v>
      </c>
      <c r="K458" s="684"/>
      <c r="L458" s="208" t="s">
        <v>252</v>
      </c>
      <c r="M458" s="235"/>
      <c r="N458" s="235"/>
      <c r="O458" s="235"/>
      <c r="P458" s="235"/>
      <c r="Q458" s="235"/>
    </row>
    <row r="459" spans="1:17" ht="28">
      <c r="B459" s="204" t="s">
        <v>501</v>
      </c>
      <c r="C459" s="210" t="s">
        <v>251</v>
      </c>
      <c r="D459" s="228" t="s">
        <v>904</v>
      </c>
      <c r="E459" s="228" t="s">
        <v>905</v>
      </c>
      <c r="F459" s="228" t="s">
        <v>906</v>
      </c>
      <c r="G459" s="228" t="s">
        <v>907</v>
      </c>
      <c r="H459" s="228" t="s">
        <v>908</v>
      </c>
      <c r="K459" s="684"/>
      <c r="L459" s="208" t="s">
        <v>253</v>
      </c>
      <c r="M459" s="235"/>
      <c r="N459" s="235"/>
      <c r="O459" s="235"/>
      <c r="P459" s="235"/>
      <c r="Q459" s="235"/>
    </row>
    <row r="460" spans="1:17" ht="42">
      <c r="C460" s="208" t="s">
        <v>252</v>
      </c>
      <c r="D460" s="235" t="e">
        <f>D459/((K459+L459)/2)</f>
        <v>#VALUE!</v>
      </c>
      <c r="E460" s="235" t="e">
        <f t="shared" ref="E460:H460" si="50">E459/((L459+M459)/2)</f>
        <v>#VALUE!</v>
      </c>
      <c r="F460" s="235" t="e">
        <f t="shared" si="50"/>
        <v>#VALUE!</v>
      </c>
      <c r="G460" s="235" t="e">
        <f t="shared" si="50"/>
        <v>#VALUE!</v>
      </c>
      <c r="H460" s="235" t="e">
        <f t="shared" si="50"/>
        <v>#VALUE!</v>
      </c>
      <c r="K460" s="684"/>
      <c r="L460" s="208" t="s">
        <v>254</v>
      </c>
      <c r="M460" s="235"/>
      <c r="N460" s="235"/>
      <c r="O460" s="235"/>
      <c r="P460" s="235"/>
      <c r="Q460" s="235"/>
    </row>
    <row r="461" spans="1:17" ht="28">
      <c r="C461" s="208" t="s">
        <v>253</v>
      </c>
      <c r="D461" s="235" t="e">
        <f>D459/((D453+E453)/2)</f>
        <v>#VALUE!</v>
      </c>
      <c r="E461" s="235" t="e">
        <f t="shared" ref="E461:H461" si="51">E459/((E453+F453)/2)</f>
        <v>#VALUE!</v>
      </c>
      <c r="F461" s="235" t="e">
        <f t="shared" si="51"/>
        <v>#VALUE!</v>
      </c>
      <c r="G461" s="235" t="e">
        <f t="shared" si="51"/>
        <v>#VALUE!</v>
      </c>
      <c r="H461" s="235" t="e">
        <f t="shared" si="51"/>
        <v>#VALUE!</v>
      </c>
      <c r="K461" s="685" t="s">
        <v>502</v>
      </c>
      <c r="L461" s="659" t="s">
        <v>255</v>
      </c>
      <c r="M461" s="687">
        <v>8208037</v>
      </c>
      <c r="N461" s="687">
        <v>9083040</v>
      </c>
      <c r="O461" s="687">
        <v>6906457</v>
      </c>
      <c r="P461" s="687">
        <v>5619230</v>
      </c>
      <c r="Q461" s="687">
        <v>1570583</v>
      </c>
    </row>
    <row r="462" spans="1:17" ht="28">
      <c r="C462" s="208" t="s">
        <v>254</v>
      </c>
      <c r="D462" s="235"/>
      <c r="E462" s="235"/>
      <c r="F462" s="235"/>
      <c r="G462" s="235"/>
      <c r="H462" s="235"/>
    </row>
    <row r="463" spans="1:17" ht="18">
      <c r="B463" s="204" t="s">
        <v>502</v>
      </c>
      <c r="C463" s="659" t="s">
        <v>255</v>
      </c>
      <c r="D463" s="228" t="s">
        <v>909</v>
      </c>
      <c r="E463" s="228" t="s">
        <v>910</v>
      </c>
      <c r="F463" s="228" t="s">
        <v>911</v>
      </c>
      <c r="G463" s="228" t="s">
        <v>912</v>
      </c>
      <c r="H463" s="228" t="s">
        <v>913</v>
      </c>
    </row>
    <row r="466" spans="1:8">
      <c r="A466" s="204" t="s">
        <v>307</v>
      </c>
    </row>
    <row r="467" spans="1:8">
      <c r="A467" s="204" t="s">
        <v>199</v>
      </c>
      <c r="C467" s="655"/>
      <c r="D467" s="655">
        <v>2007</v>
      </c>
      <c r="E467" s="219" t="s">
        <v>183</v>
      </c>
      <c r="F467" s="219" t="s">
        <v>184</v>
      </c>
      <c r="G467" s="219" t="s">
        <v>185</v>
      </c>
      <c r="H467" s="219" t="s">
        <v>186</v>
      </c>
    </row>
    <row r="468" spans="1:8" ht="18">
      <c r="B468" s="204" t="s">
        <v>151</v>
      </c>
      <c r="C468" s="202" t="s">
        <v>246</v>
      </c>
      <c r="D468" s="228" t="s">
        <v>270</v>
      </c>
      <c r="E468" s="228" t="s">
        <v>271</v>
      </c>
      <c r="F468" s="228" t="s">
        <v>272</v>
      </c>
      <c r="G468" s="228" t="s">
        <v>273</v>
      </c>
      <c r="H468" s="230" t="s">
        <v>274</v>
      </c>
    </row>
    <row r="469" spans="1:8">
      <c r="C469" s="655"/>
      <c r="D469" s="234"/>
      <c r="E469" s="234"/>
      <c r="F469" s="234"/>
      <c r="G469" s="234"/>
      <c r="H469" s="234"/>
    </row>
    <row r="470" spans="1:8" ht="28">
      <c r="A470" s="222" t="s">
        <v>308</v>
      </c>
      <c r="B470" s="204" t="s">
        <v>499</v>
      </c>
      <c r="C470" s="211" t="s">
        <v>247</v>
      </c>
      <c r="D470" s="228">
        <v>8</v>
      </c>
      <c r="E470" s="228">
        <v>7</v>
      </c>
      <c r="F470" s="228">
        <v>7</v>
      </c>
      <c r="G470" s="228">
        <v>512</v>
      </c>
      <c r="H470" s="228">
        <v>679</v>
      </c>
    </row>
    <row r="471" spans="1:8">
      <c r="C471" s="208" t="s">
        <v>248</v>
      </c>
      <c r="D471" s="235"/>
      <c r="E471" s="235"/>
      <c r="F471" s="235"/>
      <c r="G471" s="235"/>
      <c r="H471" s="235"/>
    </row>
    <row r="472" spans="1:8">
      <c r="C472" s="208" t="s">
        <v>249</v>
      </c>
      <c r="D472" s="235"/>
      <c r="E472" s="235"/>
      <c r="F472" s="235"/>
      <c r="G472" s="235"/>
      <c r="H472" s="235"/>
    </row>
    <row r="473" spans="1:8" ht="18">
      <c r="B473" s="204" t="s">
        <v>500</v>
      </c>
      <c r="C473" s="657" t="s">
        <v>250</v>
      </c>
      <c r="D473" s="228">
        <v>0</v>
      </c>
      <c r="E473" s="228">
        <v>33</v>
      </c>
      <c r="F473" s="228" t="s">
        <v>275</v>
      </c>
      <c r="G473" s="228" t="s">
        <v>276</v>
      </c>
      <c r="H473" s="228" t="s">
        <v>277</v>
      </c>
    </row>
    <row r="474" spans="1:8" ht="28">
      <c r="B474" s="204" t="s">
        <v>501</v>
      </c>
      <c r="C474" s="210" t="s">
        <v>251</v>
      </c>
      <c r="D474" s="228" t="s">
        <v>278</v>
      </c>
      <c r="E474" s="228" t="s">
        <v>279</v>
      </c>
      <c r="F474" s="228" t="s">
        <v>280</v>
      </c>
      <c r="G474" s="228" t="s">
        <v>281</v>
      </c>
      <c r="H474" s="228" t="s">
        <v>282</v>
      </c>
    </row>
    <row r="475" spans="1:8" ht="28">
      <c r="C475" s="208" t="s">
        <v>252</v>
      </c>
      <c r="D475" s="235" t="e">
        <f>D474/((K474+L474)/2)</f>
        <v>#VALUE!</v>
      </c>
      <c r="E475" s="235" t="e">
        <f t="shared" ref="E475:H475" si="52">E474/((L474+M474)/2)</f>
        <v>#VALUE!</v>
      </c>
      <c r="F475" s="235" t="e">
        <f t="shared" si="52"/>
        <v>#VALUE!</v>
      </c>
      <c r="G475" s="235" t="e">
        <f t="shared" si="52"/>
        <v>#VALUE!</v>
      </c>
      <c r="H475" s="235" t="e">
        <f t="shared" si="52"/>
        <v>#VALUE!</v>
      </c>
    </row>
    <row r="476" spans="1:8" ht="28">
      <c r="C476" s="208" t="s">
        <v>253</v>
      </c>
      <c r="D476" s="235" t="e">
        <f>D474/((D468+E468)/2)</f>
        <v>#VALUE!</v>
      </c>
      <c r="E476" s="235" t="e">
        <f t="shared" ref="E476:H476" si="53">E474/((E468+F468)/2)</f>
        <v>#VALUE!</v>
      </c>
      <c r="F476" s="235" t="e">
        <f t="shared" si="53"/>
        <v>#VALUE!</v>
      </c>
      <c r="G476" s="235" t="e">
        <f t="shared" si="53"/>
        <v>#VALUE!</v>
      </c>
      <c r="H476" s="235" t="e">
        <f t="shared" si="53"/>
        <v>#VALUE!</v>
      </c>
    </row>
    <row r="477" spans="1:8" ht="28">
      <c r="C477" s="208" t="s">
        <v>254</v>
      </c>
      <c r="D477" s="235"/>
      <c r="E477" s="235"/>
      <c r="F477" s="235"/>
      <c r="G477" s="235"/>
      <c r="H477" s="235"/>
    </row>
    <row r="478" spans="1:8" ht="18">
      <c r="B478" s="204" t="s">
        <v>502</v>
      </c>
      <c r="C478" s="659" t="s">
        <v>255</v>
      </c>
      <c r="D478" s="228" t="s">
        <v>270</v>
      </c>
      <c r="E478" s="228" t="s">
        <v>283</v>
      </c>
      <c r="F478" s="228" t="s">
        <v>284</v>
      </c>
      <c r="G478" s="228" t="s">
        <v>285</v>
      </c>
      <c r="H478" s="228" t="s">
        <v>286</v>
      </c>
    </row>
    <row r="482" spans="1:26">
      <c r="A482" s="204" t="s">
        <v>318</v>
      </c>
    </row>
    <row r="483" spans="1:26">
      <c r="A483" s="673" t="s">
        <v>319</v>
      </c>
      <c r="C483" s="655"/>
      <c r="D483" s="655">
        <v>2008</v>
      </c>
      <c r="E483" s="219" t="s">
        <v>224</v>
      </c>
      <c r="F483" s="219" t="s">
        <v>225</v>
      </c>
      <c r="G483" s="219" t="s">
        <v>226</v>
      </c>
      <c r="H483" s="219" t="s">
        <v>227</v>
      </c>
      <c r="J483" s="656" t="s">
        <v>914</v>
      </c>
      <c r="L483" s="655"/>
      <c r="M483" s="655">
        <v>2008</v>
      </c>
      <c r="N483" s="219" t="s">
        <v>224</v>
      </c>
      <c r="O483" s="219" t="s">
        <v>225</v>
      </c>
      <c r="P483" s="219" t="s">
        <v>226</v>
      </c>
      <c r="Q483" s="219" t="s">
        <v>227</v>
      </c>
      <c r="S483" s="656" t="s">
        <v>915</v>
      </c>
      <c r="U483" s="655"/>
      <c r="V483" s="655">
        <v>2008</v>
      </c>
      <c r="W483" s="219" t="s">
        <v>224</v>
      </c>
      <c r="X483" s="219" t="s">
        <v>225</v>
      </c>
      <c r="Y483" s="219" t="s">
        <v>226</v>
      </c>
      <c r="Z483" s="219" t="s">
        <v>227</v>
      </c>
    </row>
    <row r="484" spans="1:26" ht="18">
      <c r="B484" s="204" t="s">
        <v>151</v>
      </c>
      <c r="C484" s="202" t="s">
        <v>246</v>
      </c>
      <c r="D484" s="216">
        <v>1504897210.13129</v>
      </c>
      <c r="E484" s="216">
        <v>2525945115.21381</v>
      </c>
      <c r="F484" s="216">
        <v>1861330383.6114399</v>
      </c>
      <c r="G484" s="216">
        <v>1250951106.151</v>
      </c>
      <c r="H484" s="216">
        <v>1231802806.4932101</v>
      </c>
      <c r="J484" s="656" t="s">
        <v>296</v>
      </c>
      <c r="K484" s="204" t="s">
        <v>151</v>
      </c>
      <c r="L484" s="202" t="s">
        <v>246</v>
      </c>
      <c r="M484" s="228">
        <v>3128754</v>
      </c>
      <c r="N484" s="228">
        <v>2701764</v>
      </c>
      <c r="O484" s="228">
        <v>2448603</v>
      </c>
      <c r="P484" s="228">
        <v>2176317</v>
      </c>
      <c r="Q484" s="228">
        <v>1903800</v>
      </c>
      <c r="S484" s="656" t="s">
        <v>302</v>
      </c>
      <c r="T484" s="204" t="s">
        <v>151</v>
      </c>
      <c r="U484" s="202" t="s">
        <v>246</v>
      </c>
      <c r="V484" s="228">
        <v>5850725</v>
      </c>
      <c r="W484" s="228">
        <v>5340399</v>
      </c>
      <c r="X484" s="228">
        <v>4696834</v>
      </c>
      <c r="Y484" s="228">
        <v>3917881</v>
      </c>
      <c r="Z484" s="228">
        <v>3401453</v>
      </c>
    </row>
    <row r="485" spans="1:26">
      <c r="C485" s="655"/>
      <c r="D485" s="234"/>
      <c r="E485" s="234"/>
      <c r="F485" s="234"/>
      <c r="G485" s="234"/>
      <c r="H485" s="234"/>
      <c r="L485" s="655"/>
      <c r="M485" s="234"/>
      <c r="N485" s="234"/>
      <c r="O485" s="234"/>
      <c r="P485" s="234"/>
      <c r="Q485" s="234"/>
      <c r="U485" s="655"/>
      <c r="V485" s="234"/>
      <c r="W485" s="234"/>
      <c r="X485" s="234"/>
      <c r="Y485" s="234"/>
      <c r="Z485" s="234"/>
    </row>
    <row r="486" spans="1:26" ht="42">
      <c r="B486" s="204" t="s">
        <v>499</v>
      </c>
      <c r="C486" s="211" t="s">
        <v>247</v>
      </c>
      <c r="D486" s="212">
        <v>38867716.023236498</v>
      </c>
      <c r="E486" s="212">
        <v>46526987.310588397</v>
      </c>
      <c r="F486" s="212">
        <v>26727955.733567499</v>
      </c>
      <c r="G486" s="212">
        <v>22691137.3403221</v>
      </c>
      <c r="H486" s="212">
        <v>23975165.405720498</v>
      </c>
      <c r="K486" s="204" t="s">
        <v>499</v>
      </c>
      <c r="L486" s="211" t="s">
        <v>247</v>
      </c>
      <c r="M486" s="228">
        <v>58088</v>
      </c>
      <c r="N486" s="228">
        <v>59025</v>
      </c>
      <c r="O486" s="228">
        <v>54465</v>
      </c>
      <c r="P486" s="228">
        <v>87807</v>
      </c>
      <c r="Q486" s="228">
        <v>51575</v>
      </c>
      <c r="T486" s="204" t="s">
        <v>499</v>
      </c>
      <c r="U486" s="211" t="s">
        <v>247</v>
      </c>
      <c r="V486" s="228">
        <v>132074</v>
      </c>
      <c r="W486" s="228">
        <v>114181</v>
      </c>
      <c r="X486" s="228">
        <v>109851</v>
      </c>
      <c r="Y486" s="228">
        <v>100834</v>
      </c>
      <c r="Z486" s="228">
        <v>91555</v>
      </c>
    </row>
    <row r="487" spans="1:26" ht="42">
      <c r="C487" s="208" t="s">
        <v>248</v>
      </c>
      <c r="D487" s="212">
        <v>29653715.611338601</v>
      </c>
      <c r="E487" s="212">
        <v>37723475.248575203</v>
      </c>
      <c r="F487" s="212">
        <v>30617093.1809843</v>
      </c>
      <c r="G487" s="212">
        <v>2845199.40534234</v>
      </c>
      <c r="H487" s="212">
        <v>42798012.964427501</v>
      </c>
      <c r="L487" s="208" t="s">
        <v>248</v>
      </c>
      <c r="M487" s="235"/>
      <c r="N487" s="235"/>
      <c r="O487" s="235"/>
      <c r="P487" s="235"/>
      <c r="Q487" s="235"/>
      <c r="U487" s="208" t="s">
        <v>248</v>
      </c>
      <c r="V487" s="235"/>
      <c r="W487" s="235"/>
      <c r="X487" s="235"/>
      <c r="Y487" s="235"/>
      <c r="Z487" s="235"/>
    </row>
    <row r="488" spans="1:26" ht="28">
      <c r="C488" s="208" t="s">
        <v>249</v>
      </c>
      <c r="D488" s="212">
        <v>1363985203.8320301</v>
      </c>
      <c r="E488" s="212">
        <v>2344264707.5848598</v>
      </c>
      <c r="F488" s="212">
        <v>1708140285.1168499</v>
      </c>
      <c r="G488" s="212">
        <v>1137598373.6589999</v>
      </c>
      <c r="H488" s="212">
        <v>1105991549.0399499</v>
      </c>
      <c r="L488" s="208" t="s">
        <v>249</v>
      </c>
      <c r="M488" s="235"/>
      <c r="N488" s="235"/>
      <c r="O488" s="235"/>
      <c r="P488" s="235"/>
      <c r="Q488" s="235"/>
      <c r="U488" s="208" t="s">
        <v>249</v>
      </c>
      <c r="V488" s="235"/>
      <c r="W488" s="235"/>
      <c r="X488" s="235"/>
      <c r="Y488" s="235"/>
      <c r="Z488" s="235"/>
    </row>
    <row r="489" spans="1:26" ht="18">
      <c r="B489" s="204" t="s">
        <v>500</v>
      </c>
      <c r="C489" s="657" t="s">
        <v>250</v>
      </c>
      <c r="D489" s="239">
        <f>D487+D488</f>
        <v>1393638919.4433687</v>
      </c>
      <c r="E489" s="239">
        <f t="shared" ref="E489:H489" si="54">E487+E488</f>
        <v>2381988182.8334351</v>
      </c>
      <c r="F489" s="239">
        <f t="shared" si="54"/>
        <v>1738757378.2978342</v>
      </c>
      <c r="G489" s="239">
        <f t="shared" si="54"/>
        <v>1140443573.0643423</v>
      </c>
      <c r="H489" s="239">
        <f t="shared" si="54"/>
        <v>1148789562.0043774</v>
      </c>
      <c r="K489" s="204" t="s">
        <v>500</v>
      </c>
      <c r="L489" s="657" t="s">
        <v>250</v>
      </c>
      <c r="M489" s="228">
        <v>2945501</v>
      </c>
      <c r="N489" s="228">
        <v>2515001</v>
      </c>
      <c r="O489" s="228">
        <v>2266507</v>
      </c>
      <c r="P489" s="228">
        <v>1999770</v>
      </c>
      <c r="Q489" s="228">
        <v>1731899</v>
      </c>
      <c r="T489" s="204" t="s">
        <v>500</v>
      </c>
      <c r="U489" s="657" t="s">
        <v>250</v>
      </c>
      <c r="V489" s="228">
        <v>5491875</v>
      </c>
      <c r="W489" s="228">
        <v>5010006</v>
      </c>
      <c r="X489" s="228">
        <v>4392926</v>
      </c>
      <c r="Y489" s="228">
        <v>3638286</v>
      </c>
      <c r="Z489" s="228">
        <v>3145725</v>
      </c>
    </row>
    <row r="490" spans="1:26" ht="28">
      <c r="B490" s="204" t="s">
        <v>501</v>
      </c>
      <c r="C490" s="210" t="s">
        <v>251</v>
      </c>
      <c r="D490" s="212">
        <v>1011428.61664295</v>
      </c>
      <c r="E490" s="212">
        <v>11779112.817346999</v>
      </c>
      <c r="F490" s="212">
        <v>3062460.1168334498</v>
      </c>
      <c r="G490" s="212">
        <v>13337813.866898401</v>
      </c>
      <c r="H490" s="212">
        <v>8826490.0083541907</v>
      </c>
      <c r="K490" s="204" t="s">
        <v>501</v>
      </c>
      <c r="L490" s="210" t="s">
        <v>251</v>
      </c>
      <c r="M490" s="228">
        <v>-2802</v>
      </c>
      <c r="N490" s="228">
        <v>9416</v>
      </c>
      <c r="O490" s="228">
        <v>9999</v>
      </c>
      <c r="P490" s="228">
        <v>9781</v>
      </c>
      <c r="Q490" s="228">
        <v>11177</v>
      </c>
      <c r="T490" s="204" t="s">
        <v>501</v>
      </c>
      <c r="U490" s="210" t="s">
        <v>251</v>
      </c>
      <c r="V490" s="228">
        <v>32672</v>
      </c>
      <c r="W490" s="228">
        <v>34893</v>
      </c>
      <c r="X490" s="228">
        <v>38056</v>
      </c>
      <c r="Y490" s="228">
        <v>34507</v>
      </c>
      <c r="Z490" s="228">
        <v>31736</v>
      </c>
    </row>
    <row r="491" spans="1:26" ht="28">
      <c r="C491" s="208" t="s">
        <v>252</v>
      </c>
      <c r="D491" s="235"/>
      <c r="E491" s="235"/>
      <c r="F491" s="235"/>
      <c r="G491" s="235"/>
      <c r="H491" s="235"/>
      <c r="L491" s="208" t="s">
        <v>252</v>
      </c>
      <c r="M491" s="235"/>
      <c r="N491" s="235"/>
      <c r="O491" s="235"/>
      <c r="P491" s="235"/>
      <c r="Q491" s="235"/>
      <c r="U491" s="208" t="s">
        <v>252</v>
      </c>
      <c r="V491" s="235"/>
      <c r="W491" s="235"/>
      <c r="X491" s="235"/>
      <c r="Y491" s="235"/>
      <c r="Z491" s="235"/>
    </row>
    <row r="492" spans="1:26" ht="28">
      <c r="C492" s="208" t="s">
        <v>253</v>
      </c>
      <c r="D492" s="235"/>
      <c r="E492" s="235"/>
      <c r="F492" s="235"/>
      <c r="G492" s="235"/>
      <c r="H492" s="235"/>
      <c r="L492" s="208" t="s">
        <v>253</v>
      </c>
      <c r="M492" s="235"/>
      <c r="N492" s="235"/>
      <c r="O492" s="235"/>
      <c r="P492" s="235"/>
      <c r="Q492" s="235"/>
      <c r="U492" s="208" t="s">
        <v>253</v>
      </c>
      <c r="V492" s="235"/>
      <c r="W492" s="235"/>
      <c r="X492" s="235"/>
      <c r="Y492" s="235"/>
      <c r="Z492" s="235"/>
    </row>
    <row r="493" spans="1:26" ht="42">
      <c r="C493" s="208" t="s">
        <v>254</v>
      </c>
      <c r="D493" s="235"/>
      <c r="E493" s="235"/>
      <c r="F493" s="235"/>
      <c r="G493" s="235"/>
      <c r="H493" s="235"/>
      <c r="L493" s="208" t="s">
        <v>254</v>
      </c>
      <c r="M493" s="235"/>
      <c r="N493" s="235"/>
      <c r="O493" s="235"/>
      <c r="P493" s="235"/>
      <c r="Q493" s="235"/>
      <c r="U493" s="208" t="s">
        <v>254</v>
      </c>
      <c r="V493" s="235"/>
      <c r="W493" s="235"/>
      <c r="X493" s="235"/>
      <c r="Y493" s="235"/>
      <c r="Z493" s="235"/>
    </row>
    <row r="494" spans="1:26" ht="18">
      <c r="B494" s="204" t="s">
        <v>502</v>
      </c>
      <c r="C494" s="659" t="s">
        <v>255</v>
      </c>
      <c r="D494" s="212">
        <v>111258147.830769</v>
      </c>
      <c r="E494" s="212">
        <v>143957117.223263</v>
      </c>
      <c r="F494" s="212">
        <v>122572845.56919301</v>
      </c>
      <c r="G494" s="212">
        <v>110507385.37616999</v>
      </c>
      <c r="H494" s="212">
        <v>83013410.051748201</v>
      </c>
      <c r="K494" s="204" t="s">
        <v>502</v>
      </c>
      <c r="L494" s="659" t="s">
        <v>255</v>
      </c>
      <c r="M494" s="228">
        <v>183253</v>
      </c>
      <c r="N494" s="228">
        <v>186763</v>
      </c>
      <c r="O494" s="228">
        <v>182096</v>
      </c>
      <c r="P494" s="228">
        <v>176547</v>
      </c>
      <c r="Q494" s="228">
        <v>171901</v>
      </c>
      <c r="T494" s="204" t="s">
        <v>502</v>
      </c>
      <c r="U494" s="659" t="s">
        <v>255</v>
      </c>
      <c r="V494" s="228">
        <v>358839</v>
      </c>
      <c r="W494" s="228">
        <v>330393</v>
      </c>
      <c r="X494" s="228">
        <v>303908</v>
      </c>
      <c r="Y494" s="228">
        <v>279595</v>
      </c>
      <c r="Z494" s="228">
        <v>255728</v>
      </c>
    </row>
    <row r="497" spans="1:26">
      <c r="A497" s="204" t="s">
        <v>320</v>
      </c>
    </row>
    <row r="498" spans="1:26">
      <c r="A498" s="204" t="s">
        <v>321</v>
      </c>
      <c r="C498" s="655"/>
      <c r="D498" s="655">
        <v>2010</v>
      </c>
      <c r="E498" s="219" t="s">
        <v>179</v>
      </c>
      <c r="F498" s="219" t="s">
        <v>180</v>
      </c>
      <c r="G498" s="219" t="s">
        <v>181</v>
      </c>
      <c r="H498" s="219" t="s">
        <v>182</v>
      </c>
      <c r="J498" s="656" t="s">
        <v>916</v>
      </c>
      <c r="S498" s="656" t="s">
        <v>917</v>
      </c>
    </row>
    <row r="499" spans="1:26">
      <c r="B499" s="204" t="s">
        <v>151</v>
      </c>
      <c r="C499" s="202" t="s">
        <v>246</v>
      </c>
      <c r="D499" s="216">
        <v>211629359.419644</v>
      </c>
      <c r="E499" s="216">
        <v>226684946.070164</v>
      </c>
      <c r="F499" s="216">
        <v>200072866.08681101</v>
      </c>
      <c r="G499" s="216">
        <v>107651571.741998</v>
      </c>
      <c r="H499" s="216">
        <v>77442653.095811605</v>
      </c>
      <c r="J499" s="656" t="s">
        <v>199</v>
      </c>
      <c r="L499" s="655"/>
      <c r="M499" s="655">
        <v>2010</v>
      </c>
      <c r="N499" s="219" t="s">
        <v>179</v>
      </c>
      <c r="O499" s="219" t="s">
        <v>180</v>
      </c>
      <c r="P499" s="219" t="s">
        <v>181</v>
      </c>
      <c r="Q499" s="219" t="s">
        <v>182</v>
      </c>
      <c r="S499" s="656" t="s">
        <v>199</v>
      </c>
      <c r="U499" s="655"/>
      <c r="V499" s="655">
        <v>2010</v>
      </c>
      <c r="W499" s="219" t="s">
        <v>179</v>
      </c>
      <c r="X499" s="219" t="s">
        <v>180</v>
      </c>
      <c r="Y499" s="219" t="s">
        <v>181</v>
      </c>
      <c r="Z499" s="219" t="s">
        <v>182</v>
      </c>
    </row>
    <row r="500" spans="1:26" ht="18">
      <c r="C500" s="655"/>
      <c r="D500" s="234"/>
      <c r="E500" s="234"/>
      <c r="F500" s="234"/>
      <c r="G500" s="234"/>
      <c r="H500" s="234"/>
      <c r="K500" s="204" t="s">
        <v>151</v>
      </c>
      <c r="L500" s="202" t="s">
        <v>246</v>
      </c>
      <c r="M500" s="228">
        <v>2641020</v>
      </c>
      <c r="N500" s="228">
        <v>2058805</v>
      </c>
      <c r="O500" s="228">
        <v>2851114</v>
      </c>
      <c r="P500" s="228">
        <v>4939607</v>
      </c>
      <c r="Q500" s="228">
        <v>3619923</v>
      </c>
      <c r="T500" s="204" t="s">
        <v>151</v>
      </c>
      <c r="U500" s="202" t="s">
        <v>246</v>
      </c>
      <c r="V500" s="228">
        <v>96385000</v>
      </c>
      <c r="W500" s="228">
        <v>83093000</v>
      </c>
      <c r="X500" s="228">
        <v>83646000</v>
      </c>
      <c r="Y500" s="228">
        <v>70982000</v>
      </c>
      <c r="Z500" s="228">
        <v>62629000</v>
      </c>
    </row>
    <row r="501" spans="1:26" ht="28">
      <c r="A501" s="222" t="s">
        <v>322</v>
      </c>
      <c r="B501" s="204" t="s">
        <v>499</v>
      </c>
      <c r="C501" s="211" t="s">
        <v>247</v>
      </c>
      <c r="D501" s="212">
        <v>977815.736085176</v>
      </c>
      <c r="E501" s="212">
        <v>1376470.5759286899</v>
      </c>
      <c r="F501" s="212">
        <v>1727285.7915014001</v>
      </c>
      <c r="G501" s="212">
        <v>849168.21157932305</v>
      </c>
      <c r="H501" s="212">
        <v>0</v>
      </c>
      <c r="L501" s="655"/>
      <c r="M501" s="234"/>
      <c r="N501" s="234"/>
      <c r="O501" s="234"/>
      <c r="P501" s="234"/>
      <c r="Q501" s="234"/>
      <c r="U501" s="655"/>
      <c r="V501" s="234"/>
      <c r="W501" s="234"/>
      <c r="X501" s="234"/>
      <c r="Y501" s="234"/>
      <c r="Z501" s="234"/>
    </row>
    <row r="502" spans="1:26" ht="42">
      <c r="C502" s="208" t="s">
        <v>248</v>
      </c>
      <c r="D502" s="212">
        <v>32346246.938779999</v>
      </c>
      <c r="E502" s="212">
        <v>41187888.905107997</v>
      </c>
      <c r="F502" s="212">
        <v>40318430.373802803</v>
      </c>
      <c r="G502" s="212">
        <v>2977449.1841793102</v>
      </c>
      <c r="H502" s="212">
        <v>3264377.053231</v>
      </c>
      <c r="K502" s="204" t="s">
        <v>499</v>
      </c>
      <c r="L502" s="211" t="s">
        <v>247</v>
      </c>
      <c r="M502" s="228">
        <v>1168492</v>
      </c>
      <c r="N502" s="228">
        <v>970839</v>
      </c>
      <c r="O502" s="228">
        <v>1221253</v>
      </c>
      <c r="P502" s="228">
        <v>2099828</v>
      </c>
      <c r="Q502" s="228">
        <v>1725433</v>
      </c>
      <c r="T502" s="204" t="s">
        <v>499</v>
      </c>
      <c r="U502" s="211" t="s">
        <v>247</v>
      </c>
      <c r="V502" s="228">
        <v>2052000</v>
      </c>
      <c r="W502" s="228">
        <v>2092000</v>
      </c>
      <c r="X502" s="228">
        <v>1726000</v>
      </c>
      <c r="Y502" s="228">
        <v>1693000</v>
      </c>
      <c r="Z502" s="228">
        <v>1674000</v>
      </c>
    </row>
    <row r="503" spans="1:26" ht="42">
      <c r="C503" s="208" t="s">
        <v>249</v>
      </c>
      <c r="D503" s="212">
        <v>1341467.6267653699</v>
      </c>
      <c r="E503" s="212">
        <v>4955017.25673676</v>
      </c>
      <c r="F503" s="212">
        <v>15042857.815325299</v>
      </c>
      <c r="G503" s="212">
        <v>1948428.84594202</v>
      </c>
      <c r="H503" s="212">
        <v>445207.675427198</v>
      </c>
      <c r="L503" s="208" t="s">
        <v>248</v>
      </c>
      <c r="M503" s="235"/>
      <c r="N503" s="235"/>
      <c r="O503" s="235"/>
      <c r="P503" s="235"/>
      <c r="Q503" s="235"/>
      <c r="U503" s="208" t="s">
        <v>248</v>
      </c>
      <c r="V503" s="235"/>
      <c r="W503" s="235"/>
      <c r="X503" s="235"/>
      <c r="Y503" s="235"/>
      <c r="Z503" s="235"/>
    </row>
    <row r="504" spans="1:26" ht="28">
      <c r="B504" s="204" t="s">
        <v>500</v>
      </c>
      <c r="C504" s="657" t="s">
        <v>250</v>
      </c>
      <c r="D504" s="239">
        <f>D502+D503</f>
        <v>33687714.565545365</v>
      </c>
      <c r="E504" s="239">
        <f t="shared" ref="E504:H504" si="55">E502+E503</f>
        <v>46142906.16184476</v>
      </c>
      <c r="F504" s="239">
        <f t="shared" si="55"/>
        <v>55361288.189128101</v>
      </c>
      <c r="G504" s="239">
        <f t="shared" si="55"/>
        <v>4925878.0301213302</v>
      </c>
      <c r="H504" s="239">
        <f t="shared" si="55"/>
        <v>3709584.7286581979</v>
      </c>
      <c r="L504" s="208" t="s">
        <v>249</v>
      </c>
      <c r="M504" s="235"/>
      <c r="N504" s="235"/>
      <c r="O504" s="235"/>
      <c r="P504" s="235"/>
      <c r="Q504" s="235"/>
      <c r="U504" s="208" t="s">
        <v>249</v>
      </c>
      <c r="V504" s="235"/>
      <c r="W504" s="235"/>
      <c r="X504" s="235"/>
      <c r="Y504" s="235"/>
      <c r="Z504" s="235"/>
    </row>
    <row r="505" spans="1:26" ht="28">
      <c r="B505" s="204" t="s">
        <v>501</v>
      </c>
      <c r="C505" s="210" t="s">
        <v>251</v>
      </c>
      <c r="D505" s="212">
        <v>-97781.573608517603</v>
      </c>
      <c r="E505" s="212">
        <v>5336851.1633575</v>
      </c>
      <c r="F505" s="212">
        <v>-4025285.89423001</v>
      </c>
      <c r="G505" s="212">
        <v>1734935.31429768</v>
      </c>
      <c r="H505" s="212">
        <v>504632.59658217401</v>
      </c>
      <c r="K505" s="204" t="s">
        <v>500</v>
      </c>
      <c r="L505" s="657" t="s">
        <v>250</v>
      </c>
      <c r="M505" s="228">
        <v>1707717</v>
      </c>
      <c r="N505" s="228">
        <v>1174510</v>
      </c>
      <c r="O505" s="228">
        <v>2043334</v>
      </c>
      <c r="P505" s="228">
        <v>4006596</v>
      </c>
      <c r="Q505" s="228">
        <v>3198878</v>
      </c>
      <c r="T505" s="204" t="s">
        <v>500</v>
      </c>
      <c r="U505" s="657" t="s">
        <v>250</v>
      </c>
      <c r="V505" s="228">
        <v>89804000</v>
      </c>
      <c r="W505" s="228">
        <v>78016000</v>
      </c>
      <c r="X505" s="228">
        <v>78946000</v>
      </c>
      <c r="Y505" s="228">
        <v>66602000</v>
      </c>
      <c r="Z505" s="228">
        <v>59141000</v>
      </c>
    </row>
    <row r="506" spans="1:26" ht="28">
      <c r="C506" s="208" t="s">
        <v>252</v>
      </c>
      <c r="D506" s="235"/>
      <c r="E506" s="235"/>
      <c r="F506" s="235"/>
      <c r="G506" s="235"/>
      <c r="H506" s="235"/>
      <c r="K506" s="204" t="s">
        <v>501</v>
      </c>
      <c r="L506" s="210" t="s">
        <v>251</v>
      </c>
      <c r="M506" s="228">
        <v>223648</v>
      </c>
      <c r="N506" s="228">
        <v>196862</v>
      </c>
      <c r="O506" s="228">
        <v>249161</v>
      </c>
      <c r="P506" s="228">
        <v>590095</v>
      </c>
      <c r="Q506" s="228">
        <v>511979</v>
      </c>
      <c r="T506" s="204" t="s">
        <v>501</v>
      </c>
      <c r="U506" s="210" t="s">
        <v>251</v>
      </c>
      <c r="V506" s="228">
        <v>884000</v>
      </c>
      <c r="W506" s="228">
        <v>670000</v>
      </c>
      <c r="X506" s="228">
        <v>450000</v>
      </c>
      <c r="Y506" s="228">
        <v>621000</v>
      </c>
      <c r="Z506" s="228">
        <v>779000</v>
      </c>
    </row>
    <row r="507" spans="1:26" ht="28">
      <c r="C507" s="208" t="s">
        <v>253</v>
      </c>
      <c r="D507" s="235"/>
      <c r="E507" s="235"/>
      <c r="F507" s="235"/>
      <c r="G507" s="235"/>
      <c r="H507" s="235"/>
      <c r="L507" s="208" t="s">
        <v>252</v>
      </c>
      <c r="M507" s="235"/>
      <c r="N507" s="235"/>
      <c r="O507" s="235"/>
      <c r="P507" s="235"/>
      <c r="Q507" s="235"/>
      <c r="U507" s="208" t="s">
        <v>252</v>
      </c>
      <c r="V507" s="235"/>
      <c r="W507" s="235"/>
      <c r="X507" s="235"/>
      <c r="Y507" s="235"/>
      <c r="Z507" s="235"/>
    </row>
    <row r="508" spans="1:26" ht="28">
      <c r="C508" s="208" t="s">
        <v>254</v>
      </c>
      <c r="D508" s="235"/>
      <c r="E508" s="235"/>
      <c r="F508" s="235"/>
      <c r="G508" s="235"/>
      <c r="H508" s="235"/>
      <c r="L508" s="208" t="s">
        <v>253</v>
      </c>
      <c r="M508" s="235"/>
      <c r="N508" s="235"/>
      <c r="O508" s="235"/>
      <c r="P508" s="235"/>
      <c r="Q508" s="235"/>
      <c r="U508" s="208" t="s">
        <v>253</v>
      </c>
      <c r="V508" s="235"/>
      <c r="W508" s="235"/>
      <c r="X508" s="235"/>
      <c r="Y508" s="235"/>
      <c r="Z508" s="235"/>
    </row>
    <row r="509" spans="1:26" ht="42">
      <c r="B509" s="204" t="s">
        <v>502</v>
      </c>
      <c r="C509" s="659" t="s">
        <v>255</v>
      </c>
      <c r="D509" s="212">
        <v>177941644.85409901</v>
      </c>
      <c r="E509" s="212">
        <v>180542039.90832001</v>
      </c>
      <c r="F509" s="212">
        <v>144711435.04053399</v>
      </c>
      <c r="G509" s="212">
        <v>102725878.55476101</v>
      </c>
      <c r="H509" s="212">
        <v>73733068.367153406</v>
      </c>
      <c r="L509" s="208" t="s">
        <v>254</v>
      </c>
      <c r="M509" s="235"/>
      <c r="N509" s="235"/>
      <c r="O509" s="235"/>
      <c r="P509" s="235"/>
      <c r="Q509" s="235"/>
      <c r="U509" s="208" t="s">
        <v>254</v>
      </c>
      <c r="V509" s="235"/>
      <c r="W509" s="235"/>
      <c r="X509" s="235"/>
      <c r="Y509" s="235"/>
      <c r="Z509" s="235"/>
    </row>
    <row r="510" spans="1:26" ht="18">
      <c r="K510" s="204" t="s">
        <v>502</v>
      </c>
      <c r="L510" s="659" t="s">
        <v>255</v>
      </c>
      <c r="M510" s="228">
        <v>933303</v>
      </c>
      <c r="N510" s="228">
        <v>884294</v>
      </c>
      <c r="O510" s="228">
        <v>807780</v>
      </c>
      <c r="P510" s="228">
        <v>933011</v>
      </c>
      <c r="Q510" s="228">
        <v>421044</v>
      </c>
      <c r="T510" s="204" t="s">
        <v>502</v>
      </c>
      <c r="U510" s="659" t="s">
        <v>255</v>
      </c>
      <c r="V510" s="228">
        <v>6581000</v>
      </c>
      <c r="W510" s="228">
        <v>5077000</v>
      </c>
      <c r="X510" s="228">
        <v>4701000</v>
      </c>
      <c r="Y510" s="228">
        <v>4380000</v>
      </c>
      <c r="Z510" s="228">
        <v>3487000</v>
      </c>
    </row>
    <row r="512" spans="1:26">
      <c r="A512" s="204" t="s">
        <v>323</v>
      </c>
    </row>
    <row r="513" spans="1:35">
      <c r="A513" s="204" t="s">
        <v>324</v>
      </c>
      <c r="C513" s="655"/>
      <c r="D513" s="655">
        <v>2010</v>
      </c>
      <c r="E513" s="219" t="s">
        <v>179</v>
      </c>
      <c r="F513" s="219" t="s">
        <v>180</v>
      </c>
      <c r="G513" s="219" t="s">
        <v>181</v>
      </c>
      <c r="H513" s="219" t="s">
        <v>182</v>
      </c>
      <c r="S513" s="656" t="s">
        <v>918</v>
      </c>
      <c r="AB513" s="656" t="s">
        <v>919</v>
      </c>
    </row>
    <row r="514" spans="1:35">
      <c r="B514" s="204" t="s">
        <v>151</v>
      </c>
      <c r="C514" s="202" t="s">
        <v>246</v>
      </c>
      <c r="D514" s="216">
        <v>22702048.627287101</v>
      </c>
      <c r="E514" s="216">
        <v>50906400.928944297</v>
      </c>
      <c r="F514" s="216">
        <v>39464573.192775197</v>
      </c>
      <c r="G514" s="216">
        <v>48270795.083343998</v>
      </c>
      <c r="H514" s="216">
        <v>31920288.0916893</v>
      </c>
      <c r="J514" s="656" t="s">
        <v>920</v>
      </c>
      <c r="L514" s="655"/>
      <c r="M514" s="655">
        <v>2010</v>
      </c>
      <c r="N514" s="219" t="s">
        <v>179</v>
      </c>
      <c r="O514" s="219" t="s">
        <v>180</v>
      </c>
      <c r="P514" s="219" t="s">
        <v>181</v>
      </c>
      <c r="Q514" s="219" t="s">
        <v>182</v>
      </c>
      <c r="S514" s="656" t="s">
        <v>302</v>
      </c>
      <c r="U514" s="655"/>
      <c r="V514" s="655">
        <v>2010</v>
      </c>
      <c r="W514" s="219" t="s">
        <v>179</v>
      </c>
      <c r="X514" s="219" t="s">
        <v>180</v>
      </c>
      <c r="Y514" s="219" t="s">
        <v>181</v>
      </c>
      <c r="Z514" s="219" t="s">
        <v>182</v>
      </c>
      <c r="AB514" s="656" t="s">
        <v>302</v>
      </c>
      <c r="AD514" s="655"/>
      <c r="AE514" s="655">
        <v>2010</v>
      </c>
      <c r="AF514" s="219" t="s">
        <v>179</v>
      </c>
      <c r="AG514" s="219" t="s">
        <v>180</v>
      </c>
      <c r="AH514" s="219" t="s">
        <v>181</v>
      </c>
      <c r="AI514" s="219" t="s">
        <v>182</v>
      </c>
    </row>
    <row r="515" spans="1:35" ht="18">
      <c r="C515" s="655"/>
      <c r="D515" s="234"/>
      <c r="E515" s="234"/>
      <c r="F515" s="234"/>
      <c r="G515" s="234"/>
      <c r="H515" s="234"/>
      <c r="J515" s="656" t="s">
        <v>302</v>
      </c>
      <c r="K515" s="204" t="s">
        <v>151</v>
      </c>
      <c r="L515" s="202" t="s">
        <v>246</v>
      </c>
      <c r="M515" s="228">
        <v>87541000</v>
      </c>
      <c r="N515" s="228">
        <v>94686000</v>
      </c>
      <c r="O515" s="228">
        <v>104926000</v>
      </c>
      <c r="P515" s="228">
        <v>94792000</v>
      </c>
      <c r="Q515" s="228">
        <v>79612000</v>
      </c>
      <c r="T515" s="204" t="s">
        <v>151</v>
      </c>
      <c r="U515" s="202" t="s">
        <v>246</v>
      </c>
      <c r="V515" s="228">
        <v>19042235</v>
      </c>
      <c r="W515" s="228">
        <v>16291209</v>
      </c>
      <c r="X515" s="228">
        <v>15984652</v>
      </c>
      <c r="Y515" s="228">
        <v>8813030</v>
      </c>
      <c r="Z515" s="228">
        <v>6846306</v>
      </c>
      <c r="AC515" s="204" t="s">
        <v>151</v>
      </c>
      <c r="AD515" s="202" t="s">
        <v>246</v>
      </c>
      <c r="AE515" s="228">
        <v>695204</v>
      </c>
      <c r="AF515" s="228">
        <v>611338</v>
      </c>
      <c r="AG515" s="228">
        <v>676210</v>
      </c>
      <c r="AH515" s="228">
        <v>684775</v>
      </c>
      <c r="AI515" s="228">
        <v>524012</v>
      </c>
    </row>
    <row r="516" spans="1:35" ht="28">
      <c r="B516" s="204" t="s">
        <v>499</v>
      </c>
      <c r="C516" s="211" t="s">
        <v>247</v>
      </c>
      <c r="D516" s="212">
        <v>340102.40174830001</v>
      </c>
      <c r="E516" s="212">
        <v>431833.906173706</v>
      </c>
      <c r="F516" s="212">
        <v>318857.15711116802</v>
      </c>
      <c r="G516" s="212">
        <v>720517.56393909501</v>
      </c>
      <c r="H516" s="212">
        <v>621405.76153993595</v>
      </c>
      <c r="L516" s="655"/>
      <c r="M516" s="234"/>
      <c r="N516" s="234"/>
      <c r="O516" s="234"/>
      <c r="P516" s="234"/>
      <c r="Q516" s="234"/>
      <c r="U516" s="655"/>
      <c r="V516" s="234"/>
      <c r="W516" s="234"/>
      <c r="X516" s="234"/>
      <c r="Y516" s="234"/>
      <c r="Z516" s="234"/>
      <c r="AD516" s="655"/>
      <c r="AE516" s="234"/>
      <c r="AF516" s="234"/>
      <c r="AG516" s="234"/>
      <c r="AH516" s="234"/>
      <c r="AI516" s="234"/>
    </row>
    <row r="517" spans="1:35" ht="42">
      <c r="C517" s="208" t="s">
        <v>248</v>
      </c>
      <c r="D517" s="212">
        <v>77645.054087042794</v>
      </c>
      <c r="E517" s="212">
        <v>180968.85651350001</v>
      </c>
      <c r="F517" s="212">
        <v>240000.010728836</v>
      </c>
      <c r="G517" s="212">
        <v>177264.32627439499</v>
      </c>
      <c r="H517" s="212">
        <v>327316.299587488</v>
      </c>
      <c r="K517" s="204" t="s">
        <v>499</v>
      </c>
      <c r="L517" s="211" t="s">
        <v>247</v>
      </c>
      <c r="M517" s="228">
        <v>58697000</v>
      </c>
      <c r="N517" s="228">
        <v>56228000</v>
      </c>
      <c r="O517" s="228">
        <v>65579000</v>
      </c>
      <c r="P517" s="228">
        <v>63867000</v>
      </c>
      <c r="Q517" s="228">
        <v>52683000</v>
      </c>
      <c r="T517" s="204" t="s">
        <v>499</v>
      </c>
      <c r="U517" s="211" t="s">
        <v>247</v>
      </c>
      <c r="V517" s="228">
        <v>12744751</v>
      </c>
      <c r="W517" s="228">
        <v>11324609</v>
      </c>
      <c r="X517" s="228">
        <v>4088395</v>
      </c>
      <c r="Y517" s="228">
        <v>3468957</v>
      </c>
      <c r="Z517" s="228">
        <v>2720246</v>
      </c>
      <c r="AC517" s="204" t="s">
        <v>499</v>
      </c>
      <c r="AD517" s="211" t="s">
        <v>247</v>
      </c>
      <c r="AE517" s="228">
        <v>742521</v>
      </c>
      <c r="AF517" s="228">
        <v>599345</v>
      </c>
      <c r="AG517" s="228">
        <v>866525</v>
      </c>
      <c r="AH517" s="228">
        <v>860824</v>
      </c>
      <c r="AI517" s="228">
        <v>355961</v>
      </c>
    </row>
    <row r="518" spans="1:35" ht="42">
      <c r="C518" s="208" t="s">
        <v>249</v>
      </c>
      <c r="D518" s="212">
        <v>10303754.650056399</v>
      </c>
      <c r="E518" s="212">
        <v>15803114.045560399</v>
      </c>
      <c r="F518" s="212">
        <v>8073714.6466374397</v>
      </c>
      <c r="G518" s="212">
        <v>8959519.4565653801</v>
      </c>
      <c r="H518" s="212">
        <v>1388178.9377331701</v>
      </c>
      <c r="L518" s="208" t="s">
        <v>248</v>
      </c>
      <c r="M518" s="235"/>
      <c r="N518" s="235"/>
      <c r="O518" s="235"/>
      <c r="P518" s="235"/>
      <c r="Q518" s="235"/>
      <c r="U518" s="208" t="s">
        <v>248</v>
      </c>
      <c r="V518" s="235"/>
      <c r="W518" s="235"/>
      <c r="X518" s="235"/>
      <c r="Y518" s="235"/>
      <c r="Z518" s="235"/>
      <c r="AD518" s="208" t="s">
        <v>248</v>
      </c>
      <c r="AE518" s="235"/>
      <c r="AF518" s="235"/>
      <c r="AG518" s="235"/>
      <c r="AH518" s="235"/>
      <c r="AI518" s="235"/>
    </row>
    <row r="519" spans="1:35" ht="28">
      <c r="B519" s="204" t="s">
        <v>500</v>
      </c>
      <c r="C519" s="657" t="s">
        <v>250</v>
      </c>
      <c r="D519" s="239">
        <f>D517+D518</f>
        <v>10381399.704143442</v>
      </c>
      <c r="E519" s="239">
        <f t="shared" ref="E519:H519" si="56">E517+E518</f>
        <v>15984082.902073899</v>
      </c>
      <c r="F519" s="239">
        <f t="shared" si="56"/>
        <v>8313714.6573662758</v>
      </c>
      <c r="G519" s="239">
        <f t="shared" si="56"/>
        <v>9136783.7828397751</v>
      </c>
      <c r="H519" s="239">
        <f t="shared" si="56"/>
        <v>1715495.2373206581</v>
      </c>
      <c r="L519" s="208" t="s">
        <v>249</v>
      </c>
      <c r="M519" s="235"/>
      <c r="N519" s="235"/>
      <c r="O519" s="235"/>
      <c r="P519" s="235"/>
      <c r="Q519" s="235"/>
      <c r="U519" s="208" t="s">
        <v>249</v>
      </c>
      <c r="V519" s="235"/>
      <c r="W519" s="235"/>
      <c r="X519" s="235"/>
      <c r="Y519" s="235"/>
      <c r="Z519" s="235"/>
      <c r="AD519" s="208" t="s">
        <v>249</v>
      </c>
      <c r="AE519" s="235"/>
      <c r="AF519" s="235"/>
      <c r="AG519" s="235"/>
      <c r="AH519" s="235"/>
      <c r="AI519" s="235"/>
    </row>
    <row r="520" spans="1:35" ht="28">
      <c r="B520" s="204" t="s">
        <v>501</v>
      </c>
      <c r="C520" s="210" t="s">
        <v>251</v>
      </c>
      <c r="D520" s="212">
        <v>-22215871.1347729</v>
      </c>
      <c r="E520" s="212">
        <v>-2803460.1825475702</v>
      </c>
      <c r="F520" s="212">
        <v>905714.32620286895</v>
      </c>
      <c r="G520" s="212">
        <v>-6473937.1881485004</v>
      </c>
      <c r="H520" s="212">
        <v>-238817.89550185201</v>
      </c>
      <c r="K520" s="204" t="s">
        <v>500</v>
      </c>
      <c r="L520" s="657" t="s">
        <v>250</v>
      </c>
      <c r="M520" s="228">
        <v>40610000</v>
      </c>
      <c r="N520" s="228">
        <v>45761000</v>
      </c>
      <c r="O520" s="228">
        <v>54857000</v>
      </c>
      <c r="P520" s="228">
        <v>39528000</v>
      </c>
      <c r="Q520" s="228">
        <v>31503000</v>
      </c>
      <c r="T520" s="204" t="s">
        <v>500</v>
      </c>
      <c r="U520" s="657" t="s">
        <v>250</v>
      </c>
      <c r="V520" s="228">
        <v>9931374</v>
      </c>
      <c r="W520" s="228">
        <v>9195727</v>
      </c>
      <c r="X520" s="228">
        <v>10364885</v>
      </c>
      <c r="Y520" s="228">
        <v>4584418</v>
      </c>
      <c r="Z520" s="228">
        <v>3209306</v>
      </c>
      <c r="AC520" s="204" t="s">
        <v>500</v>
      </c>
      <c r="AD520" s="657" t="s">
        <v>250</v>
      </c>
      <c r="AE520" s="228">
        <v>467644</v>
      </c>
      <c r="AF520" s="228">
        <v>354699</v>
      </c>
      <c r="AG520" s="228">
        <v>366616</v>
      </c>
      <c r="AH520" s="228">
        <v>348333</v>
      </c>
      <c r="AI520" s="228">
        <v>229006</v>
      </c>
    </row>
    <row r="521" spans="1:35" ht="28">
      <c r="C521" s="208" t="s">
        <v>252</v>
      </c>
      <c r="D521" s="235"/>
      <c r="E521" s="235"/>
      <c r="F521" s="235"/>
      <c r="G521" s="235"/>
      <c r="H521" s="235"/>
      <c r="K521" s="204" t="s">
        <v>501</v>
      </c>
      <c r="L521" s="210" t="s">
        <v>251</v>
      </c>
      <c r="M521" s="228">
        <v>-916000</v>
      </c>
      <c r="N521" s="228">
        <v>2591000</v>
      </c>
      <c r="O521" s="228">
        <v>-2828000</v>
      </c>
      <c r="P521" s="228">
        <v>8399000</v>
      </c>
      <c r="Q521" s="228">
        <v>11236000</v>
      </c>
      <c r="T521" s="204" t="s">
        <v>501</v>
      </c>
      <c r="U521" s="210" t="s">
        <v>251</v>
      </c>
      <c r="V521" s="228">
        <v>1221533</v>
      </c>
      <c r="W521" s="228">
        <v>723343</v>
      </c>
      <c r="X521" s="228">
        <v>122493</v>
      </c>
      <c r="Y521" s="228">
        <v>498982</v>
      </c>
      <c r="Z521" s="228">
        <v>264391</v>
      </c>
      <c r="AC521" s="204" t="s">
        <v>501</v>
      </c>
      <c r="AD521" s="210" t="s">
        <v>251</v>
      </c>
      <c r="AE521" s="228">
        <v>-37636</v>
      </c>
      <c r="AF521" s="228">
        <v>-39130</v>
      </c>
      <c r="AG521" s="228">
        <v>5516</v>
      </c>
      <c r="AH521" s="228">
        <v>52010</v>
      </c>
      <c r="AI521" s="228">
        <v>28266</v>
      </c>
    </row>
    <row r="522" spans="1:35" ht="28">
      <c r="C522" s="208" t="s">
        <v>253</v>
      </c>
      <c r="D522" s="235"/>
      <c r="E522" s="235"/>
      <c r="F522" s="235"/>
      <c r="G522" s="235"/>
      <c r="H522" s="235"/>
      <c r="L522" s="208" t="s">
        <v>252</v>
      </c>
      <c r="M522" s="235"/>
      <c r="N522" s="235"/>
      <c r="O522" s="235"/>
      <c r="P522" s="235"/>
      <c r="Q522" s="235"/>
      <c r="U522" s="208" t="s">
        <v>252</v>
      </c>
      <c r="V522" s="235"/>
      <c r="W522" s="235"/>
      <c r="X522" s="235"/>
      <c r="Y522" s="235"/>
      <c r="Z522" s="235"/>
      <c r="AD522" s="208" t="s">
        <v>252</v>
      </c>
      <c r="AE522" s="235"/>
      <c r="AF522" s="235"/>
      <c r="AG522" s="235"/>
      <c r="AH522" s="235"/>
      <c r="AI522" s="235"/>
    </row>
    <row r="523" spans="1:35" ht="28">
      <c r="C523" s="208" t="s">
        <v>254</v>
      </c>
      <c r="D523" s="235"/>
      <c r="E523" s="235"/>
      <c r="F523" s="235"/>
      <c r="G523" s="235"/>
      <c r="H523" s="235"/>
      <c r="L523" s="208" t="s">
        <v>253</v>
      </c>
      <c r="M523" s="235"/>
      <c r="N523" s="235"/>
      <c r="O523" s="235"/>
      <c r="P523" s="235"/>
      <c r="Q523" s="235"/>
      <c r="U523" s="208" t="s">
        <v>253</v>
      </c>
      <c r="V523" s="235"/>
      <c r="W523" s="235"/>
      <c r="X523" s="235"/>
      <c r="Y523" s="235"/>
      <c r="Z523" s="235"/>
      <c r="AD523" s="208" t="s">
        <v>253</v>
      </c>
      <c r="AE523" s="235"/>
      <c r="AF523" s="235"/>
      <c r="AG523" s="235"/>
      <c r="AH523" s="235"/>
      <c r="AI523" s="235"/>
    </row>
    <row r="524" spans="1:35" ht="42">
      <c r="B524" s="204" t="s">
        <v>502</v>
      </c>
      <c r="C524" s="659" t="s">
        <v>255</v>
      </c>
      <c r="D524" s="212">
        <v>12320478.274673199</v>
      </c>
      <c r="E524" s="212">
        <v>34922318.026870497</v>
      </c>
      <c r="F524" s="212">
        <v>31150715.678259701</v>
      </c>
      <c r="G524" s="212">
        <v>39134011.3005042</v>
      </c>
      <c r="H524" s="212">
        <v>30204792.854368702</v>
      </c>
      <c r="L524" s="208" t="s">
        <v>254</v>
      </c>
      <c r="M524" s="235"/>
      <c r="N524" s="235"/>
      <c r="O524" s="235"/>
      <c r="P524" s="235"/>
      <c r="Q524" s="235"/>
      <c r="U524" s="208" t="s">
        <v>254</v>
      </c>
      <c r="V524" s="235"/>
      <c r="W524" s="235"/>
      <c r="X524" s="235"/>
      <c r="Y524" s="235"/>
      <c r="Z524" s="235"/>
      <c r="AD524" s="208" t="s">
        <v>254</v>
      </c>
      <c r="AE524" s="235"/>
      <c r="AF524" s="235"/>
      <c r="AG524" s="235"/>
      <c r="AH524" s="235"/>
      <c r="AI524" s="235"/>
    </row>
    <row r="525" spans="1:35" ht="18">
      <c r="K525" s="204" t="s">
        <v>502</v>
      </c>
      <c r="L525" s="659" t="s">
        <v>255</v>
      </c>
      <c r="M525" s="228">
        <v>46931000</v>
      </c>
      <c r="N525" s="228">
        <v>48925000</v>
      </c>
      <c r="O525" s="228">
        <v>50069000</v>
      </c>
      <c r="P525" s="228">
        <v>55264000</v>
      </c>
      <c r="Q525" s="228">
        <v>48109000</v>
      </c>
      <c r="T525" s="204" t="s">
        <v>502</v>
      </c>
      <c r="U525" s="659" t="s">
        <v>255</v>
      </c>
      <c r="V525" s="228">
        <v>9110861</v>
      </c>
      <c r="W525" s="228">
        <v>7095482</v>
      </c>
      <c r="X525" s="228">
        <v>5619768</v>
      </c>
      <c r="Y525" s="228">
        <v>4228611</v>
      </c>
      <c r="Z525" s="228">
        <v>3637000</v>
      </c>
      <c r="AC525" s="204" t="s">
        <v>502</v>
      </c>
      <c r="AD525" s="659" t="s">
        <v>255</v>
      </c>
      <c r="AE525" s="228">
        <v>227561</v>
      </c>
      <c r="AF525" s="228">
        <v>256640</v>
      </c>
      <c r="AG525" s="228">
        <v>309595</v>
      </c>
      <c r="AH525" s="228">
        <v>336442</v>
      </c>
      <c r="AI525" s="228">
        <v>295009</v>
      </c>
    </row>
    <row r="527" spans="1:35">
      <c r="A527" s="204" t="s">
        <v>333</v>
      </c>
    </row>
    <row r="528" spans="1:35">
      <c r="A528" s="204" t="s">
        <v>334</v>
      </c>
      <c r="C528" s="655"/>
      <c r="D528" s="655">
        <v>2008</v>
      </c>
      <c r="E528" s="219" t="s">
        <v>224</v>
      </c>
      <c r="F528" s="219" t="s">
        <v>225</v>
      </c>
      <c r="G528" s="219" t="s">
        <v>226</v>
      </c>
      <c r="H528" s="219" t="s">
        <v>227</v>
      </c>
      <c r="J528" s="656" t="s">
        <v>921</v>
      </c>
    </row>
    <row r="529" spans="1:26" ht="18">
      <c r="A529" s="204"/>
      <c r="B529" s="204" t="s">
        <v>151</v>
      </c>
      <c r="C529" s="202" t="s">
        <v>246</v>
      </c>
      <c r="D529" s="228" t="s">
        <v>922</v>
      </c>
      <c r="E529" s="228" t="s">
        <v>923</v>
      </c>
      <c r="F529" s="228" t="s">
        <v>924</v>
      </c>
      <c r="G529" s="228" t="s">
        <v>925</v>
      </c>
      <c r="H529" s="230" t="s">
        <v>926</v>
      </c>
      <c r="J529" s="672" t="s">
        <v>302</v>
      </c>
      <c r="L529" s="655"/>
      <c r="M529" s="655">
        <v>2008</v>
      </c>
      <c r="N529" s="219" t="s">
        <v>224</v>
      </c>
      <c r="O529" s="219" t="s">
        <v>225</v>
      </c>
      <c r="P529" s="219" t="s">
        <v>226</v>
      </c>
      <c r="Q529" s="219" t="s">
        <v>227</v>
      </c>
      <c r="S529" s="656" t="s">
        <v>927</v>
      </c>
      <c r="U529" s="655"/>
      <c r="V529" s="655">
        <v>2008</v>
      </c>
      <c r="W529" s="219" t="s">
        <v>224</v>
      </c>
      <c r="X529" s="219" t="s">
        <v>225</v>
      </c>
      <c r="Y529" s="219" t="s">
        <v>226</v>
      </c>
      <c r="Z529" s="219" t="s">
        <v>227</v>
      </c>
    </row>
    <row r="530" spans="1:26" ht="18">
      <c r="C530" s="655"/>
      <c r="D530" s="234"/>
      <c r="E530" s="234"/>
      <c r="F530" s="234"/>
      <c r="G530" s="234"/>
      <c r="H530" s="234"/>
      <c r="K530" s="204" t="s">
        <v>151</v>
      </c>
      <c r="L530" s="202" t="s">
        <v>246</v>
      </c>
      <c r="M530" s="228">
        <v>817723</v>
      </c>
      <c r="N530" s="228">
        <v>877645</v>
      </c>
      <c r="O530" s="228">
        <v>817406</v>
      </c>
      <c r="P530" s="228">
        <v>651451</v>
      </c>
      <c r="Q530" s="228">
        <v>478516</v>
      </c>
      <c r="S530" s="656" t="s">
        <v>199</v>
      </c>
      <c r="T530" s="204" t="s">
        <v>151</v>
      </c>
      <c r="U530" s="202" t="s">
        <v>246</v>
      </c>
      <c r="V530" s="228">
        <v>230110</v>
      </c>
      <c r="W530" s="228">
        <v>230734</v>
      </c>
      <c r="X530" s="228">
        <v>199956</v>
      </c>
      <c r="Y530" s="228">
        <v>194869</v>
      </c>
      <c r="Z530" s="228">
        <v>179879</v>
      </c>
    </row>
    <row r="531" spans="1:26" ht="28">
      <c r="B531" s="204" t="s">
        <v>499</v>
      </c>
      <c r="C531" s="211" t="s">
        <v>247</v>
      </c>
      <c r="D531" s="228" t="s">
        <v>928</v>
      </c>
      <c r="E531" s="228" t="s">
        <v>929</v>
      </c>
      <c r="F531" s="228" t="s">
        <v>930</v>
      </c>
      <c r="G531" s="228" t="s">
        <v>931</v>
      </c>
      <c r="H531" s="230" t="s">
        <v>932</v>
      </c>
      <c r="L531" s="655"/>
      <c r="M531" s="234"/>
      <c r="N531" s="234"/>
      <c r="O531" s="234"/>
      <c r="P531" s="234"/>
      <c r="Q531" s="234"/>
      <c r="U531" s="655"/>
      <c r="V531" s="234"/>
      <c r="W531" s="234"/>
      <c r="X531" s="234"/>
      <c r="Y531" s="234"/>
      <c r="Z531" s="234"/>
    </row>
    <row r="532" spans="1:26" ht="42">
      <c r="C532" s="208" t="s">
        <v>248</v>
      </c>
      <c r="D532" s="212"/>
      <c r="E532" s="212"/>
      <c r="F532" s="212"/>
      <c r="G532" s="212"/>
      <c r="H532" s="212"/>
      <c r="K532" s="204" t="s">
        <v>499</v>
      </c>
      <c r="L532" s="211" t="s">
        <v>247</v>
      </c>
      <c r="M532" s="228">
        <v>4973140</v>
      </c>
      <c r="N532" s="228">
        <v>5274686</v>
      </c>
      <c r="O532" s="228">
        <v>4675847</v>
      </c>
      <c r="P532" s="228">
        <v>3486421</v>
      </c>
      <c r="Q532" s="228">
        <v>3082903</v>
      </c>
      <c r="T532" s="204" t="s">
        <v>499</v>
      </c>
      <c r="U532" s="211" t="s">
        <v>247</v>
      </c>
      <c r="V532" s="228">
        <v>314427</v>
      </c>
      <c r="W532" s="228">
        <v>265064</v>
      </c>
      <c r="X532" s="228">
        <v>203665</v>
      </c>
      <c r="Y532" s="228">
        <v>191788</v>
      </c>
      <c r="Z532" s="228">
        <v>173127</v>
      </c>
    </row>
    <row r="533" spans="1:26" ht="42">
      <c r="C533" s="208" t="s">
        <v>249</v>
      </c>
      <c r="D533" s="212"/>
      <c r="E533" s="212"/>
      <c r="F533" s="212"/>
      <c r="G533" s="212"/>
      <c r="H533" s="212"/>
      <c r="L533" s="208" t="s">
        <v>248</v>
      </c>
      <c r="M533" s="235"/>
      <c r="N533" s="235"/>
      <c r="O533" s="235"/>
      <c r="P533" s="235"/>
      <c r="Q533" s="235"/>
      <c r="U533" s="208" t="s">
        <v>248</v>
      </c>
      <c r="V533" s="235"/>
      <c r="W533" s="235"/>
      <c r="X533" s="235"/>
      <c r="Y533" s="235"/>
      <c r="Z533" s="235"/>
    </row>
    <row r="534" spans="1:26" ht="28">
      <c r="B534" s="204" t="s">
        <v>500</v>
      </c>
      <c r="C534" s="657" t="s">
        <v>250</v>
      </c>
      <c r="D534" s="228" t="s">
        <v>933</v>
      </c>
      <c r="E534" s="228" t="s">
        <v>934</v>
      </c>
      <c r="F534" s="228" t="s">
        <v>935</v>
      </c>
      <c r="G534" s="228" t="s">
        <v>936</v>
      </c>
      <c r="H534" s="228" t="s">
        <v>937</v>
      </c>
      <c r="L534" s="208" t="s">
        <v>249</v>
      </c>
      <c r="M534" s="235"/>
      <c r="N534" s="235"/>
      <c r="O534" s="235"/>
      <c r="P534" s="235"/>
      <c r="Q534" s="235"/>
      <c r="U534" s="208" t="s">
        <v>249</v>
      </c>
      <c r="V534" s="235"/>
      <c r="W534" s="235"/>
      <c r="X534" s="235"/>
      <c r="Y534" s="235"/>
      <c r="Z534" s="235"/>
    </row>
    <row r="535" spans="1:26" ht="28">
      <c r="B535" s="204" t="s">
        <v>501</v>
      </c>
      <c r="C535" s="210" t="s">
        <v>251</v>
      </c>
      <c r="D535" s="228" t="s">
        <v>938</v>
      </c>
      <c r="E535" s="228" t="s">
        <v>939</v>
      </c>
      <c r="F535" s="228" t="s">
        <v>940</v>
      </c>
      <c r="G535" s="228" t="s">
        <v>941</v>
      </c>
      <c r="H535" s="228" t="s">
        <v>942</v>
      </c>
      <c r="K535" s="204" t="s">
        <v>500</v>
      </c>
      <c r="L535" s="657" t="s">
        <v>250</v>
      </c>
      <c r="M535" s="228">
        <v>694258</v>
      </c>
      <c r="N535" s="228">
        <v>736551</v>
      </c>
      <c r="O535" s="228">
        <v>676737</v>
      </c>
      <c r="P535" s="228">
        <v>541284</v>
      </c>
      <c r="Q535" s="228">
        <v>370953</v>
      </c>
      <c r="T535" s="204" t="s">
        <v>500</v>
      </c>
      <c r="U535" s="657" t="s">
        <v>250</v>
      </c>
      <c r="V535" s="228">
        <v>138550</v>
      </c>
      <c r="W535" s="228">
        <v>159635</v>
      </c>
      <c r="X535" s="228">
        <v>133512</v>
      </c>
      <c r="Y535" s="228">
        <v>133733</v>
      </c>
      <c r="Z535" s="228">
        <v>137043</v>
      </c>
    </row>
    <row r="536" spans="1:26" ht="28">
      <c r="C536" s="208" t="s">
        <v>252</v>
      </c>
      <c r="D536" s="235"/>
      <c r="E536" s="235"/>
      <c r="F536" s="235"/>
      <c r="G536" s="235"/>
      <c r="H536" s="235"/>
      <c r="K536" s="204" t="s">
        <v>501</v>
      </c>
      <c r="L536" s="210" t="s">
        <v>251</v>
      </c>
      <c r="M536" s="228">
        <v>78509</v>
      </c>
      <c r="N536" s="228">
        <v>68825</v>
      </c>
      <c r="O536" s="228">
        <v>67496</v>
      </c>
      <c r="P536" s="228">
        <v>53005</v>
      </c>
      <c r="Q536" s="228">
        <v>48039</v>
      </c>
      <c r="T536" s="204" t="s">
        <v>501</v>
      </c>
      <c r="U536" s="210" t="s">
        <v>251</v>
      </c>
      <c r="V536" s="228">
        <v>23538</v>
      </c>
      <c r="W536" s="228">
        <v>7515</v>
      </c>
      <c r="X536" s="228">
        <v>6958</v>
      </c>
      <c r="Y536" s="228">
        <v>6798</v>
      </c>
      <c r="Z536" s="228">
        <v>1842</v>
      </c>
    </row>
    <row r="537" spans="1:26" ht="28">
      <c r="C537" s="208" t="s">
        <v>253</v>
      </c>
      <c r="D537" s="235"/>
      <c r="E537" s="235"/>
      <c r="F537" s="235"/>
      <c r="G537" s="235"/>
      <c r="H537" s="235"/>
      <c r="L537" s="208" t="s">
        <v>252</v>
      </c>
      <c r="M537" s="235"/>
      <c r="N537" s="235"/>
      <c r="O537" s="235"/>
      <c r="P537" s="235"/>
      <c r="Q537" s="235"/>
      <c r="U537" s="208" t="s">
        <v>252</v>
      </c>
      <c r="V537" s="235"/>
      <c r="W537" s="235"/>
      <c r="X537" s="235"/>
      <c r="Y537" s="235"/>
      <c r="Z537" s="235"/>
    </row>
    <row r="538" spans="1:26" ht="28">
      <c r="C538" s="208" t="s">
        <v>254</v>
      </c>
      <c r="D538" s="235"/>
      <c r="E538" s="235"/>
      <c r="F538" s="235"/>
      <c r="G538" s="235"/>
      <c r="H538" s="235"/>
      <c r="L538" s="208" t="s">
        <v>253</v>
      </c>
      <c r="M538" s="235"/>
      <c r="N538" s="235"/>
      <c r="O538" s="235"/>
      <c r="P538" s="235"/>
      <c r="Q538" s="235"/>
      <c r="U538" s="208" t="s">
        <v>253</v>
      </c>
      <c r="V538" s="235"/>
      <c r="W538" s="235"/>
      <c r="X538" s="235"/>
      <c r="Y538" s="235"/>
      <c r="Z538" s="235"/>
    </row>
    <row r="539" spans="1:26" ht="42">
      <c r="B539" s="204" t="s">
        <v>502</v>
      </c>
      <c r="C539" s="659" t="s">
        <v>255</v>
      </c>
      <c r="D539" s="228" t="s">
        <v>943</v>
      </c>
      <c r="E539" s="228" t="s">
        <v>944</v>
      </c>
      <c r="F539" s="228" t="s">
        <v>945</v>
      </c>
      <c r="G539" s="228" t="s">
        <v>946</v>
      </c>
      <c r="H539" s="228" t="s">
        <v>947</v>
      </c>
      <c r="L539" s="208" t="s">
        <v>254</v>
      </c>
      <c r="M539" s="235"/>
      <c r="N539" s="235"/>
      <c r="O539" s="235"/>
      <c r="P539" s="235"/>
      <c r="Q539" s="235"/>
      <c r="U539" s="208" t="s">
        <v>254</v>
      </c>
      <c r="V539" s="235"/>
      <c r="W539" s="235"/>
      <c r="X539" s="235"/>
      <c r="Y539" s="235"/>
      <c r="Z539" s="235"/>
    </row>
    <row r="540" spans="1:26" ht="18">
      <c r="K540" s="204" t="s">
        <v>502</v>
      </c>
      <c r="L540" s="659" t="s">
        <v>255</v>
      </c>
      <c r="M540" s="228">
        <v>123465</v>
      </c>
      <c r="N540" s="228">
        <v>141094</v>
      </c>
      <c r="O540" s="228">
        <v>140669</v>
      </c>
      <c r="P540" s="228">
        <v>110167</v>
      </c>
      <c r="Q540" s="228">
        <v>107562</v>
      </c>
      <c r="T540" s="204" t="s">
        <v>502</v>
      </c>
      <c r="U540" s="659" t="s">
        <v>255</v>
      </c>
      <c r="V540" s="228">
        <v>91560</v>
      </c>
      <c r="W540" s="228">
        <v>71098</v>
      </c>
      <c r="X540" s="228">
        <v>66445</v>
      </c>
      <c r="Y540" s="228">
        <v>61136</v>
      </c>
      <c r="Z540" s="228">
        <v>42838</v>
      </c>
    </row>
    <row r="544" spans="1:26">
      <c r="A544" s="204" t="s">
        <v>335</v>
      </c>
      <c r="J544" s="656" t="s">
        <v>415</v>
      </c>
    </row>
    <row r="545" spans="1:35">
      <c r="A545" s="204" t="s">
        <v>336</v>
      </c>
      <c r="C545" s="655"/>
      <c r="D545" s="655">
        <v>2010</v>
      </c>
      <c r="E545" s="219" t="s">
        <v>179</v>
      </c>
      <c r="F545" s="219" t="s">
        <v>180</v>
      </c>
      <c r="G545" s="219" t="s">
        <v>181</v>
      </c>
      <c r="H545" s="219" t="s">
        <v>182</v>
      </c>
      <c r="J545" s="656" t="s">
        <v>199</v>
      </c>
      <c r="L545" s="655"/>
      <c r="M545" s="655">
        <v>2010</v>
      </c>
      <c r="N545" s="219" t="s">
        <v>179</v>
      </c>
      <c r="O545" s="219" t="s">
        <v>180</v>
      </c>
      <c r="P545" s="219" t="s">
        <v>181</v>
      </c>
      <c r="Q545" s="219" t="s">
        <v>182</v>
      </c>
    </row>
    <row r="546" spans="1:35" ht="18">
      <c r="B546" s="204" t="s">
        <v>151</v>
      </c>
      <c r="C546" s="202" t="s">
        <v>246</v>
      </c>
      <c r="D546" s="228" t="s">
        <v>948</v>
      </c>
      <c r="E546" s="228" t="s">
        <v>949</v>
      </c>
      <c r="F546" s="228" t="s">
        <v>950</v>
      </c>
      <c r="G546" s="228" t="s">
        <v>951</v>
      </c>
      <c r="H546" s="228" t="s">
        <v>952</v>
      </c>
      <c r="K546" s="204" t="s">
        <v>151</v>
      </c>
      <c r="L546" s="202" t="s">
        <v>246</v>
      </c>
      <c r="M546" s="228">
        <v>29064056</v>
      </c>
      <c r="N546" s="228">
        <v>26162067</v>
      </c>
      <c r="O546" s="687">
        <v>25450201</v>
      </c>
      <c r="P546" s="687">
        <v>24838774</v>
      </c>
      <c r="Q546" s="687">
        <v>19412876</v>
      </c>
    </row>
    <row r="547" spans="1:35">
      <c r="C547" s="655"/>
      <c r="D547" s="234"/>
      <c r="E547" s="234"/>
      <c r="F547" s="234"/>
      <c r="G547" s="234"/>
      <c r="H547" s="234"/>
      <c r="L547" s="655"/>
      <c r="M547" s="234"/>
      <c r="N547" s="234"/>
      <c r="O547" s="234"/>
      <c r="P547" s="234"/>
      <c r="Q547" s="234"/>
    </row>
    <row r="548" spans="1:35" ht="42">
      <c r="B548" s="204" t="s">
        <v>499</v>
      </c>
      <c r="C548" s="211" t="s">
        <v>247</v>
      </c>
      <c r="D548" s="228" t="s">
        <v>953</v>
      </c>
      <c r="E548" s="228" t="s">
        <v>954</v>
      </c>
      <c r="F548" s="228" t="s">
        <v>955</v>
      </c>
      <c r="G548" s="228" t="s">
        <v>956</v>
      </c>
      <c r="H548" s="228" t="s">
        <v>957</v>
      </c>
      <c r="K548" s="204" t="s">
        <v>499</v>
      </c>
      <c r="L548" s="211" t="s">
        <v>247</v>
      </c>
      <c r="M548" s="228">
        <v>2647411</v>
      </c>
      <c r="N548" s="228">
        <v>2215149</v>
      </c>
      <c r="O548" s="687">
        <v>2263585</v>
      </c>
      <c r="P548" s="687">
        <v>4173186</v>
      </c>
      <c r="Q548" s="687">
        <v>2744616</v>
      </c>
    </row>
    <row r="549" spans="1:35" ht="42">
      <c r="C549" s="208" t="s">
        <v>248</v>
      </c>
      <c r="D549" s="212"/>
      <c r="E549" s="212"/>
      <c r="F549" s="212"/>
      <c r="G549" s="212"/>
      <c r="H549" s="212"/>
      <c r="L549" s="208" t="s">
        <v>248</v>
      </c>
      <c r="M549" s="235"/>
      <c r="N549" s="235"/>
      <c r="O549" s="235"/>
      <c r="P549" s="235"/>
      <c r="Q549" s="235"/>
    </row>
    <row r="550" spans="1:35" ht="28">
      <c r="C550" s="208" t="s">
        <v>249</v>
      </c>
      <c r="D550" s="212"/>
      <c r="E550" s="212"/>
      <c r="F550" s="212"/>
      <c r="G550" s="212"/>
      <c r="H550" s="212"/>
      <c r="L550" s="208" t="s">
        <v>249</v>
      </c>
      <c r="M550" s="235"/>
      <c r="N550" s="235"/>
      <c r="O550" s="235"/>
      <c r="P550" s="235"/>
      <c r="Q550" s="235"/>
    </row>
    <row r="551" spans="1:35" ht="18">
      <c r="B551" s="204" t="s">
        <v>500</v>
      </c>
      <c r="C551" s="657" t="s">
        <v>250</v>
      </c>
      <c r="D551" s="228" t="s">
        <v>958</v>
      </c>
      <c r="E551" s="228" t="s">
        <v>959</v>
      </c>
      <c r="F551" s="228" t="s">
        <v>960</v>
      </c>
      <c r="G551" s="228" t="s">
        <v>961</v>
      </c>
      <c r="H551" s="228" t="s">
        <v>962</v>
      </c>
      <c r="K551" s="204" t="s">
        <v>500</v>
      </c>
      <c r="L551" s="657" t="s">
        <v>250</v>
      </c>
      <c r="M551" s="228">
        <v>19409122</v>
      </c>
      <c r="N551" s="228">
        <v>17842486</v>
      </c>
      <c r="O551" s="687">
        <v>9830501</v>
      </c>
      <c r="P551" s="687">
        <v>8843914</v>
      </c>
      <c r="Q551" s="687">
        <v>8022973</v>
      </c>
    </row>
    <row r="552" spans="1:35" ht="28">
      <c r="B552" s="204" t="s">
        <v>501</v>
      </c>
      <c r="C552" s="210" t="s">
        <v>251</v>
      </c>
      <c r="D552" s="228" t="s">
        <v>963</v>
      </c>
      <c r="E552" s="228" t="s">
        <v>964</v>
      </c>
      <c r="F552" s="228" t="s">
        <v>965</v>
      </c>
      <c r="G552" s="228" t="s">
        <v>966</v>
      </c>
      <c r="H552" s="228" t="s">
        <v>967</v>
      </c>
      <c r="K552" s="204" t="s">
        <v>501</v>
      </c>
      <c r="L552" s="210" t="s">
        <v>251</v>
      </c>
      <c r="M552" s="228">
        <v>1324031</v>
      </c>
      <c r="N552" s="228">
        <v>554927</v>
      </c>
      <c r="O552" s="687">
        <v>-125570</v>
      </c>
      <c r="P552" s="687">
        <v>1886819</v>
      </c>
      <c r="Q552" s="687">
        <v>1225243</v>
      </c>
    </row>
    <row r="553" spans="1:35" ht="28">
      <c r="C553" s="208" t="s">
        <v>252</v>
      </c>
      <c r="D553" s="235"/>
      <c r="E553" s="235"/>
      <c r="F553" s="235"/>
      <c r="G553" s="235"/>
      <c r="H553" s="235"/>
      <c r="L553" s="208" t="s">
        <v>252</v>
      </c>
      <c r="M553" s="235"/>
      <c r="N553" s="235"/>
      <c r="O553" s="235"/>
      <c r="P553" s="235"/>
      <c r="Q553" s="235"/>
    </row>
    <row r="554" spans="1:35" ht="28">
      <c r="C554" s="208" t="s">
        <v>253</v>
      </c>
      <c r="D554" s="235"/>
      <c r="E554" s="235"/>
      <c r="F554" s="235"/>
      <c r="G554" s="235"/>
      <c r="H554" s="235"/>
      <c r="L554" s="208" t="s">
        <v>253</v>
      </c>
      <c r="M554" s="235"/>
      <c r="N554" s="235"/>
      <c r="O554" s="235"/>
      <c r="P554" s="235"/>
      <c r="Q554" s="235"/>
    </row>
    <row r="555" spans="1:35" ht="42">
      <c r="C555" s="208" t="s">
        <v>254</v>
      </c>
      <c r="D555" s="235"/>
      <c r="E555" s="235"/>
      <c r="F555" s="235"/>
      <c r="G555" s="235"/>
      <c r="H555" s="235"/>
      <c r="L555" s="208" t="s">
        <v>254</v>
      </c>
      <c r="M555" s="235"/>
      <c r="N555" s="235"/>
      <c r="O555" s="235"/>
      <c r="P555" s="235"/>
      <c r="Q555" s="235"/>
    </row>
    <row r="556" spans="1:35" ht="18">
      <c r="B556" s="204" t="s">
        <v>502</v>
      </c>
      <c r="C556" s="659" t="s">
        <v>255</v>
      </c>
      <c r="D556" s="228" t="s">
        <v>968</v>
      </c>
      <c r="E556" s="228" t="s">
        <v>969</v>
      </c>
      <c r="F556" s="228" t="s">
        <v>970</v>
      </c>
      <c r="G556" s="228" t="s">
        <v>971</v>
      </c>
      <c r="H556" s="228" t="s">
        <v>972</v>
      </c>
      <c r="K556" s="204" t="s">
        <v>502</v>
      </c>
      <c r="L556" s="659" t="s">
        <v>255</v>
      </c>
      <c r="M556" s="228">
        <v>9654936</v>
      </c>
      <c r="N556" s="228">
        <v>8319581</v>
      </c>
      <c r="O556" s="687">
        <v>8208037</v>
      </c>
      <c r="P556" s="687">
        <v>9083040</v>
      </c>
      <c r="Q556" s="687">
        <v>6906457</v>
      </c>
    </row>
    <row r="559" spans="1:35">
      <c r="A559" s="204" t="s">
        <v>337</v>
      </c>
    </row>
    <row r="560" spans="1:35">
      <c r="A560" s="204" t="s">
        <v>338</v>
      </c>
      <c r="C560" s="655"/>
      <c r="D560" s="655">
        <v>2006</v>
      </c>
      <c r="E560" s="219" t="s">
        <v>329</v>
      </c>
      <c r="F560" s="219" t="s">
        <v>330</v>
      </c>
      <c r="G560" s="219" t="s">
        <v>331</v>
      </c>
      <c r="H560" s="219" t="s">
        <v>332</v>
      </c>
      <c r="J560" s="656" t="s">
        <v>523</v>
      </c>
      <c r="L560" s="655"/>
      <c r="M560" s="655">
        <v>2006</v>
      </c>
      <c r="N560" s="219" t="s">
        <v>329</v>
      </c>
      <c r="O560" s="219" t="s">
        <v>330</v>
      </c>
      <c r="P560" s="219" t="s">
        <v>331</v>
      </c>
      <c r="Q560" s="219" t="s">
        <v>332</v>
      </c>
      <c r="S560" s="656" t="s">
        <v>973</v>
      </c>
      <c r="U560" s="655"/>
      <c r="V560" s="655">
        <v>2006</v>
      </c>
      <c r="W560" s="219" t="s">
        <v>329</v>
      </c>
      <c r="X560" s="219" t="s">
        <v>330</v>
      </c>
      <c r="Y560" s="219" t="s">
        <v>331</v>
      </c>
      <c r="Z560" s="219" t="s">
        <v>332</v>
      </c>
      <c r="AB560" s="656" t="s">
        <v>542</v>
      </c>
      <c r="AD560" s="655"/>
      <c r="AE560" s="655">
        <v>2006</v>
      </c>
      <c r="AF560" s="219" t="s">
        <v>329</v>
      </c>
      <c r="AG560" s="219" t="s">
        <v>330</v>
      </c>
      <c r="AH560" s="219" t="s">
        <v>331</v>
      </c>
      <c r="AI560" s="219" t="s">
        <v>332</v>
      </c>
    </row>
    <row r="561" spans="1:35" ht="18">
      <c r="B561" s="204" t="s">
        <v>151</v>
      </c>
      <c r="C561" s="202" t="s">
        <v>246</v>
      </c>
      <c r="D561" s="228" t="s">
        <v>974</v>
      </c>
      <c r="E561" s="228" t="s">
        <v>975</v>
      </c>
      <c r="F561" s="228" t="s">
        <v>976</v>
      </c>
      <c r="G561" s="228" t="s">
        <v>977</v>
      </c>
      <c r="H561" s="228" t="s">
        <v>978</v>
      </c>
      <c r="J561" s="674" t="s">
        <v>199</v>
      </c>
      <c r="K561" s="204" t="s">
        <v>151</v>
      </c>
      <c r="L561" s="202" t="s">
        <v>246</v>
      </c>
      <c r="M561" s="228">
        <v>6445400</v>
      </c>
      <c r="N561" s="228">
        <v>1727200</v>
      </c>
      <c r="O561" s="228">
        <v>2581400</v>
      </c>
      <c r="P561" s="228">
        <v>2512900</v>
      </c>
      <c r="Q561" s="228">
        <v>2626700</v>
      </c>
      <c r="S561" s="656" t="s">
        <v>199</v>
      </c>
      <c r="T561" s="204" t="s">
        <v>151</v>
      </c>
      <c r="U561" s="202" t="s">
        <v>246</v>
      </c>
      <c r="V561" s="228">
        <v>426395</v>
      </c>
      <c r="W561" s="228">
        <v>429558</v>
      </c>
      <c r="X561" s="228">
        <v>370201</v>
      </c>
      <c r="Y561" s="228">
        <v>338724</v>
      </c>
      <c r="Z561" s="228">
        <v>365065</v>
      </c>
      <c r="AB561" s="656" t="s">
        <v>199</v>
      </c>
      <c r="AC561" s="204" t="s">
        <v>151</v>
      </c>
      <c r="AD561" s="202" t="s">
        <v>246</v>
      </c>
      <c r="AE561" s="228">
        <v>957530</v>
      </c>
      <c r="AF561" s="228">
        <v>652523</v>
      </c>
      <c r="AG561" s="228">
        <v>665122</v>
      </c>
      <c r="AH561" s="228">
        <v>734929</v>
      </c>
      <c r="AI561" s="228">
        <v>815177</v>
      </c>
    </row>
    <row r="562" spans="1:35">
      <c r="C562" s="655"/>
      <c r="D562" s="234"/>
      <c r="E562" s="234"/>
      <c r="F562" s="234"/>
      <c r="G562" s="234"/>
      <c r="H562" s="234"/>
      <c r="L562" s="655"/>
      <c r="M562" s="234"/>
      <c r="N562" s="234"/>
      <c r="O562" s="234"/>
      <c r="P562" s="234"/>
      <c r="Q562" s="234"/>
      <c r="U562" s="655"/>
      <c r="V562" s="234"/>
      <c r="W562" s="234"/>
      <c r="X562" s="234"/>
      <c r="Y562" s="234"/>
      <c r="Z562" s="234"/>
      <c r="AD562" s="655"/>
      <c r="AE562" s="234"/>
      <c r="AF562" s="234"/>
      <c r="AG562" s="234"/>
      <c r="AH562" s="234"/>
      <c r="AI562" s="234"/>
    </row>
    <row r="563" spans="1:35" ht="42">
      <c r="B563" s="204" t="s">
        <v>499</v>
      </c>
      <c r="C563" s="211" t="s">
        <v>247</v>
      </c>
      <c r="D563" s="228" t="s">
        <v>979</v>
      </c>
      <c r="E563" s="228" t="s">
        <v>980</v>
      </c>
      <c r="F563" s="228" t="s">
        <v>981</v>
      </c>
      <c r="G563" s="228" t="s">
        <v>982</v>
      </c>
      <c r="H563" s="230" t="s">
        <v>983</v>
      </c>
      <c r="K563" s="204" t="s">
        <v>499</v>
      </c>
      <c r="L563" s="211" t="s">
        <v>247</v>
      </c>
      <c r="M563" s="228">
        <v>8747000</v>
      </c>
      <c r="N563" s="228">
        <v>3482500</v>
      </c>
      <c r="O563" s="228">
        <v>4568800</v>
      </c>
      <c r="P563" s="228">
        <v>4663100</v>
      </c>
      <c r="Q563" s="228">
        <v>5545800</v>
      </c>
      <c r="T563" s="204" t="s">
        <v>499</v>
      </c>
      <c r="U563" s="211" t="s">
        <v>247</v>
      </c>
      <c r="V563" s="228">
        <v>386942</v>
      </c>
      <c r="W563" s="228">
        <v>509160</v>
      </c>
      <c r="X563" s="228">
        <v>315980</v>
      </c>
      <c r="Y563" s="228">
        <v>281020</v>
      </c>
      <c r="Z563" s="228">
        <v>254343</v>
      </c>
      <c r="AC563" s="204" t="s">
        <v>499</v>
      </c>
      <c r="AD563" s="211" t="s">
        <v>247</v>
      </c>
      <c r="AE563" s="228">
        <v>1693559</v>
      </c>
      <c r="AF563" s="228">
        <v>1576341</v>
      </c>
      <c r="AG563" s="228">
        <v>1748047</v>
      </c>
      <c r="AH563" s="228">
        <v>1821367</v>
      </c>
      <c r="AI563" s="228">
        <v>1984279</v>
      </c>
    </row>
    <row r="564" spans="1:35" ht="42">
      <c r="C564" s="208" t="s">
        <v>248</v>
      </c>
      <c r="D564" s="212"/>
      <c r="E564" s="212"/>
      <c r="F564" s="212"/>
      <c r="G564" s="212"/>
      <c r="H564" s="212"/>
      <c r="L564" s="208" t="s">
        <v>248</v>
      </c>
      <c r="M564" s="235"/>
      <c r="N564" s="235"/>
      <c r="O564" s="235"/>
      <c r="P564" s="235"/>
      <c r="Q564" s="235"/>
      <c r="U564" s="208" t="s">
        <v>248</v>
      </c>
      <c r="V564" s="235"/>
      <c r="W564" s="235"/>
      <c r="X564" s="235"/>
      <c r="Y564" s="235"/>
      <c r="Z564" s="235"/>
      <c r="AD564" s="208" t="s">
        <v>248</v>
      </c>
      <c r="AE564" s="235"/>
      <c r="AF564" s="235"/>
      <c r="AG564" s="235"/>
      <c r="AH564" s="235"/>
      <c r="AI564" s="235"/>
    </row>
    <row r="565" spans="1:35" ht="28">
      <c r="C565" s="208" t="s">
        <v>249</v>
      </c>
      <c r="D565" s="212"/>
      <c r="E565" s="212"/>
      <c r="F565" s="212"/>
      <c r="G565" s="212"/>
      <c r="H565" s="212"/>
      <c r="L565" s="208" t="s">
        <v>249</v>
      </c>
      <c r="M565" s="235"/>
      <c r="N565" s="235"/>
      <c r="O565" s="235"/>
      <c r="P565" s="235"/>
      <c r="Q565" s="235"/>
      <c r="U565" s="208" t="s">
        <v>249</v>
      </c>
      <c r="V565" s="235"/>
      <c r="W565" s="235"/>
      <c r="X565" s="235"/>
      <c r="Y565" s="235"/>
      <c r="Z565" s="235"/>
      <c r="AD565" s="208" t="s">
        <v>249</v>
      </c>
      <c r="AE565" s="235"/>
      <c r="AF565" s="235"/>
      <c r="AG565" s="235"/>
      <c r="AH565" s="235"/>
      <c r="AI565" s="235"/>
    </row>
    <row r="566" spans="1:35" ht="18">
      <c r="B566" s="204" t="s">
        <v>500</v>
      </c>
      <c r="C566" s="657" t="s">
        <v>250</v>
      </c>
      <c r="D566" s="228" t="s">
        <v>984</v>
      </c>
      <c r="E566" s="228" t="s">
        <v>985</v>
      </c>
      <c r="F566" s="228" t="s">
        <v>986</v>
      </c>
      <c r="G566" s="228" t="s">
        <v>987</v>
      </c>
      <c r="H566" s="228" t="s">
        <v>988</v>
      </c>
      <c r="K566" s="204" t="s">
        <v>500</v>
      </c>
      <c r="L566" s="657" t="s">
        <v>250</v>
      </c>
      <c r="M566" s="228">
        <v>4691400</v>
      </c>
      <c r="N566" s="228">
        <v>1640700</v>
      </c>
      <c r="O566" s="228">
        <v>1787400</v>
      </c>
      <c r="P566" s="228">
        <v>1703000</v>
      </c>
      <c r="Q566" s="228">
        <v>1679700</v>
      </c>
      <c r="T566" s="204" t="s">
        <v>500</v>
      </c>
      <c r="U566" s="657" t="s">
        <v>250</v>
      </c>
      <c r="V566" s="228">
        <v>130890</v>
      </c>
      <c r="W566" s="228">
        <v>188558</v>
      </c>
      <c r="X566" s="228">
        <v>148263</v>
      </c>
      <c r="Y566" s="228">
        <v>78296</v>
      </c>
      <c r="Z566" s="228">
        <v>86114</v>
      </c>
      <c r="AC566" s="204" t="s">
        <v>500</v>
      </c>
      <c r="AD566" s="657" t="s">
        <v>250</v>
      </c>
      <c r="AE566" s="228">
        <v>771831</v>
      </c>
      <c r="AF566" s="228">
        <v>501405</v>
      </c>
      <c r="AG566" s="228">
        <v>462339</v>
      </c>
      <c r="AH566" s="228">
        <v>483458</v>
      </c>
      <c r="AI566" s="228">
        <v>587977</v>
      </c>
    </row>
    <row r="567" spans="1:35" ht="28">
      <c r="B567" s="204" t="s">
        <v>501</v>
      </c>
      <c r="C567" s="210" t="s">
        <v>251</v>
      </c>
      <c r="D567" s="228" t="s">
        <v>989</v>
      </c>
      <c r="E567" s="228" t="s">
        <v>990</v>
      </c>
      <c r="F567" s="228" t="s">
        <v>991</v>
      </c>
      <c r="G567" s="228" t="s">
        <v>992</v>
      </c>
      <c r="H567" s="228" t="s">
        <v>993</v>
      </c>
      <c r="K567" s="204" t="s">
        <v>501</v>
      </c>
      <c r="L567" s="210" t="s">
        <v>251</v>
      </c>
      <c r="M567" s="228">
        <v>-43400</v>
      </c>
      <c r="N567" s="228">
        <v>-153000</v>
      </c>
      <c r="O567" s="228">
        <v>-215500</v>
      </c>
      <c r="P567" s="228">
        <v>-270100</v>
      </c>
      <c r="Q567" s="228">
        <v>-824700</v>
      </c>
      <c r="T567" s="204" t="s">
        <v>501</v>
      </c>
      <c r="U567" s="210" t="s">
        <v>251</v>
      </c>
      <c r="V567" s="228">
        <v>32181</v>
      </c>
      <c r="W567" s="228">
        <v>93940</v>
      </c>
      <c r="X567" s="228">
        <v>-66200</v>
      </c>
      <c r="Y567" s="228">
        <v>-17044</v>
      </c>
      <c r="Z567" s="228">
        <v>-31003</v>
      </c>
      <c r="AC567" s="204" t="s">
        <v>501</v>
      </c>
      <c r="AD567" s="210" t="s">
        <v>251</v>
      </c>
      <c r="AE567" s="228">
        <v>41676</v>
      </c>
      <c r="AF567" s="228">
        <v>-58939</v>
      </c>
      <c r="AG567" s="228">
        <v>-89703</v>
      </c>
      <c r="AH567" s="228">
        <v>0</v>
      </c>
      <c r="AI567" s="228">
        <v>-64249</v>
      </c>
    </row>
    <row r="568" spans="1:35" ht="28">
      <c r="C568" s="208" t="s">
        <v>252</v>
      </c>
      <c r="D568" s="235"/>
      <c r="E568" s="235"/>
      <c r="F568" s="235"/>
      <c r="G568" s="235"/>
      <c r="H568" s="235"/>
      <c r="L568" s="208" t="s">
        <v>252</v>
      </c>
      <c r="M568" s="235"/>
      <c r="N568" s="235"/>
      <c r="O568" s="235"/>
      <c r="P568" s="235"/>
      <c r="Q568" s="235"/>
      <c r="U568" s="208" t="s">
        <v>252</v>
      </c>
      <c r="V568" s="235"/>
      <c r="W568" s="235"/>
      <c r="X568" s="235"/>
      <c r="Y568" s="235"/>
      <c r="Z568" s="235"/>
      <c r="AD568" s="208" t="s">
        <v>252</v>
      </c>
      <c r="AE568" s="235"/>
      <c r="AF568" s="235"/>
      <c r="AG568" s="235"/>
      <c r="AH568" s="235"/>
      <c r="AI568" s="235"/>
    </row>
    <row r="569" spans="1:35" ht="28">
      <c r="C569" s="208" t="s">
        <v>253</v>
      </c>
      <c r="D569" s="235"/>
      <c r="E569" s="235"/>
      <c r="F569" s="235"/>
      <c r="G569" s="235"/>
      <c r="H569" s="235"/>
      <c r="L569" s="208" t="s">
        <v>253</v>
      </c>
      <c r="M569" s="235"/>
      <c r="N569" s="235"/>
      <c r="O569" s="235"/>
      <c r="P569" s="235"/>
      <c r="Q569" s="235"/>
      <c r="U569" s="208" t="s">
        <v>253</v>
      </c>
      <c r="V569" s="235"/>
      <c r="W569" s="235"/>
      <c r="X569" s="235"/>
      <c r="Y569" s="235"/>
      <c r="Z569" s="235"/>
      <c r="AD569" s="208" t="s">
        <v>253</v>
      </c>
      <c r="AE569" s="235"/>
      <c r="AF569" s="235"/>
      <c r="AG569" s="235"/>
      <c r="AH569" s="235"/>
      <c r="AI569" s="235"/>
    </row>
    <row r="570" spans="1:35" ht="42">
      <c r="C570" s="208" t="s">
        <v>254</v>
      </c>
      <c r="D570" s="235"/>
      <c r="E570" s="235"/>
      <c r="F570" s="235"/>
      <c r="G570" s="235"/>
      <c r="H570" s="235"/>
      <c r="L570" s="208" t="s">
        <v>254</v>
      </c>
      <c r="M570" s="235"/>
      <c r="N570" s="235"/>
      <c r="O570" s="235"/>
      <c r="P570" s="235"/>
      <c r="Q570" s="235"/>
      <c r="U570" s="208" t="s">
        <v>254</v>
      </c>
      <c r="V570" s="235"/>
      <c r="W570" s="235"/>
      <c r="X570" s="235"/>
      <c r="Y570" s="235"/>
      <c r="Z570" s="235"/>
      <c r="AD570" s="208" t="s">
        <v>254</v>
      </c>
      <c r="AE570" s="235"/>
      <c r="AF570" s="235"/>
      <c r="AG570" s="235"/>
      <c r="AH570" s="235"/>
      <c r="AI570" s="235"/>
    </row>
    <row r="571" spans="1:35" ht="18">
      <c r="B571" s="204" t="s">
        <v>502</v>
      </c>
      <c r="C571" s="659" t="s">
        <v>255</v>
      </c>
      <c r="D571" s="228" t="s">
        <v>994</v>
      </c>
      <c r="E571" s="228" t="s">
        <v>995</v>
      </c>
      <c r="F571" s="228" t="s">
        <v>996</v>
      </c>
      <c r="G571" s="228" t="s">
        <v>997</v>
      </c>
      <c r="H571" s="228" t="s">
        <v>998</v>
      </c>
      <c r="K571" s="204" t="s">
        <v>502</v>
      </c>
      <c r="L571" s="659" t="s">
        <v>255</v>
      </c>
      <c r="M571" s="228">
        <v>1754000</v>
      </c>
      <c r="N571" s="228">
        <v>86500</v>
      </c>
      <c r="O571" s="228">
        <v>794000</v>
      </c>
      <c r="P571" s="228">
        <v>808500</v>
      </c>
      <c r="Q571" s="228">
        <v>947000</v>
      </c>
      <c r="T571" s="204" t="s">
        <v>502</v>
      </c>
      <c r="U571" s="659" t="s">
        <v>255</v>
      </c>
      <c r="V571" s="228">
        <v>295505</v>
      </c>
      <c r="W571" s="228">
        <v>241000</v>
      </c>
      <c r="X571" s="228">
        <v>221938</v>
      </c>
      <c r="Y571" s="228">
        <v>260429</v>
      </c>
      <c r="Z571" s="228">
        <v>278951</v>
      </c>
      <c r="AC571" s="204" t="s">
        <v>502</v>
      </c>
      <c r="AD571" s="659" t="s">
        <v>255</v>
      </c>
      <c r="AE571" s="228">
        <v>185699</v>
      </c>
      <c r="AF571" s="228">
        <v>151118</v>
      </c>
      <c r="AG571" s="228">
        <v>202783</v>
      </c>
      <c r="AH571" s="228">
        <v>251471</v>
      </c>
      <c r="AI571" s="228">
        <v>227200</v>
      </c>
    </row>
    <row r="575" spans="1:35">
      <c r="A575" s="200" t="s">
        <v>339</v>
      </c>
    </row>
    <row r="576" spans="1:35">
      <c r="A576" s="204" t="s">
        <v>340</v>
      </c>
    </row>
    <row r="577" spans="2:8">
      <c r="C577" s="655"/>
      <c r="D577" s="655">
        <v>2019</v>
      </c>
      <c r="E577" s="219" t="s">
        <v>175</v>
      </c>
      <c r="F577" s="219" t="s">
        <v>176</v>
      </c>
      <c r="G577" s="219" t="s">
        <v>177</v>
      </c>
      <c r="H577" s="219" t="s">
        <v>178</v>
      </c>
    </row>
    <row r="578" spans="2:8">
      <c r="B578" s="204" t="s">
        <v>151</v>
      </c>
      <c r="C578" s="202" t="s">
        <v>246</v>
      </c>
      <c r="D578" s="216">
        <v>21338999.982949</v>
      </c>
      <c r="E578" s="216">
        <v>21878999.970658001</v>
      </c>
      <c r="F578" s="216">
        <v>13367000.058759199</v>
      </c>
      <c r="G578" s="216">
        <v>29081999.951334201</v>
      </c>
      <c r="H578" s="216">
        <v>40559000.000170603</v>
      </c>
    </row>
    <row r="579" spans="2:8">
      <c r="C579" s="655"/>
      <c r="D579" s="234"/>
      <c r="E579" s="234"/>
      <c r="F579" s="234"/>
      <c r="G579" s="234"/>
      <c r="H579" s="234"/>
    </row>
    <row r="580" spans="2:8" ht="28">
      <c r="B580" s="204" t="s">
        <v>499</v>
      </c>
      <c r="C580" s="211" t="s">
        <v>247</v>
      </c>
      <c r="D580" s="212">
        <v>16678000.0364288</v>
      </c>
      <c r="E580" s="212">
        <v>14253999.9808839</v>
      </c>
      <c r="F580" s="212">
        <v>7143000.0313994996</v>
      </c>
      <c r="G580" s="212">
        <v>9727999.9449157696</v>
      </c>
      <c r="H580" s="212">
        <v>5477999.9755551098</v>
      </c>
    </row>
    <row r="581" spans="2:8">
      <c r="C581" s="208" t="s">
        <v>248</v>
      </c>
      <c r="D581" s="212">
        <v>134999.998451024</v>
      </c>
      <c r="E581" s="212">
        <v>0</v>
      </c>
      <c r="F581" s="212">
        <v>0</v>
      </c>
      <c r="G581" s="212">
        <v>304999.99827295501</v>
      </c>
      <c r="H581" s="212">
        <v>168999.995744079</v>
      </c>
    </row>
    <row r="582" spans="2:8">
      <c r="C582" s="208" t="s">
        <v>249</v>
      </c>
      <c r="D582" s="212">
        <v>5377000.0522000901</v>
      </c>
      <c r="E582" s="212">
        <v>9805999.9868491292</v>
      </c>
      <c r="F582" s="212">
        <v>1972000.0086686001</v>
      </c>
      <c r="G582" s="212">
        <v>8502999.9518522602</v>
      </c>
      <c r="H582" s="212">
        <v>10373999.9657667</v>
      </c>
    </row>
    <row r="583" spans="2:8">
      <c r="B583" s="204" t="s">
        <v>500</v>
      </c>
      <c r="C583" s="657" t="s">
        <v>250</v>
      </c>
      <c r="D583" s="239">
        <f>D581+D582</f>
        <v>5512000.0506511144</v>
      </c>
      <c r="E583" s="239">
        <f t="shared" ref="E583:H583" si="57">E581+E582</f>
        <v>9805999.9868491292</v>
      </c>
      <c r="F583" s="239">
        <f t="shared" si="57"/>
        <v>1972000.0086686001</v>
      </c>
      <c r="G583" s="239">
        <f t="shared" si="57"/>
        <v>8807999.9501252156</v>
      </c>
      <c r="H583" s="239">
        <f t="shared" si="57"/>
        <v>10542999.961510779</v>
      </c>
    </row>
    <row r="584" spans="2:8" ht="28">
      <c r="B584" s="204" t="s">
        <v>501</v>
      </c>
      <c r="C584" s="210" t="s">
        <v>251</v>
      </c>
      <c r="D584" s="212">
        <v>3752999.95693848</v>
      </c>
      <c r="E584" s="212">
        <v>1175999.9984228599</v>
      </c>
      <c r="F584" s="212">
        <v>-8847000.0388900209</v>
      </c>
      <c r="G584" s="212">
        <v>-9705999.9450403508</v>
      </c>
      <c r="H584" s="212">
        <v>-8302000.0179458</v>
      </c>
    </row>
    <row r="585" spans="2:8" ht="28">
      <c r="C585" s="208" t="s">
        <v>252</v>
      </c>
      <c r="D585" s="235"/>
      <c r="E585" s="235"/>
      <c r="F585" s="235"/>
      <c r="G585" s="235"/>
      <c r="H585" s="235"/>
    </row>
    <row r="586" spans="2:8" ht="28">
      <c r="C586" s="208" t="s">
        <v>253</v>
      </c>
      <c r="D586" s="235"/>
      <c r="E586" s="235"/>
      <c r="F586" s="235"/>
      <c r="G586" s="235"/>
      <c r="H586" s="235"/>
    </row>
    <row r="587" spans="2:8" ht="28">
      <c r="C587" s="208" t="s">
        <v>254</v>
      </c>
      <c r="D587" s="235"/>
      <c r="E587" s="235"/>
      <c r="F587" s="235"/>
      <c r="G587" s="235"/>
      <c r="H587" s="235"/>
    </row>
    <row r="588" spans="2:8">
      <c r="B588" s="204" t="s">
        <v>502</v>
      </c>
      <c r="C588" s="659" t="s">
        <v>255</v>
      </c>
      <c r="D588" s="212">
        <v>15827000.046193101</v>
      </c>
      <c r="E588" s="212">
        <v>12073999.9838075</v>
      </c>
      <c r="F588" s="212">
        <v>11395000.0500906</v>
      </c>
      <c r="G588" s="212">
        <v>20274000.001208901</v>
      </c>
      <c r="H588" s="212">
        <v>30015000.038685001</v>
      </c>
    </row>
    <row r="593" spans="1:26">
      <c r="A593" s="204" t="s">
        <v>341</v>
      </c>
      <c r="S593" s="656" t="s">
        <v>999</v>
      </c>
    </row>
    <row r="594" spans="1:26">
      <c r="A594" s="204" t="s">
        <v>342</v>
      </c>
      <c r="C594" s="655"/>
      <c r="D594" s="655">
        <v>2021</v>
      </c>
      <c r="E594" s="219" t="s">
        <v>159</v>
      </c>
      <c r="F594" s="219" t="s">
        <v>160</v>
      </c>
      <c r="G594" s="219" t="s">
        <v>164</v>
      </c>
      <c r="H594" s="219" t="s">
        <v>162</v>
      </c>
      <c r="J594" s="656" t="s">
        <v>1000</v>
      </c>
      <c r="L594" s="655"/>
      <c r="M594" s="655">
        <v>2021</v>
      </c>
      <c r="N594" s="219" t="s">
        <v>159</v>
      </c>
      <c r="O594" s="219" t="s">
        <v>160</v>
      </c>
      <c r="P594" s="219" t="s">
        <v>164</v>
      </c>
      <c r="Q594" s="219" t="s">
        <v>162</v>
      </c>
      <c r="S594" s="656" t="s">
        <v>199</v>
      </c>
      <c r="U594" s="655"/>
      <c r="V594" s="655">
        <v>2021</v>
      </c>
      <c r="W594" s="219" t="s">
        <v>159</v>
      </c>
      <c r="X594" s="219" t="s">
        <v>160</v>
      </c>
      <c r="Y594" s="219" t="s">
        <v>164</v>
      </c>
      <c r="Z594" s="219" t="s">
        <v>162</v>
      </c>
    </row>
    <row r="595" spans="1:26" ht="18">
      <c r="B595" s="204" t="s">
        <v>151</v>
      </c>
      <c r="C595" s="202" t="s">
        <v>246</v>
      </c>
      <c r="D595" s="216">
        <v>1280228.5311763301</v>
      </c>
      <c r="E595" s="216">
        <v>740284.38910868799</v>
      </c>
      <c r="F595" s="216">
        <v>475926.64601990598</v>
      </c>
      <c r="G595" s="216">
        <v>395309.20545373898</v>
      </c>
      <c r="H595" s="216">
        <v>375991.11005718302</v>
      </c>
      <c r="J595" s="656" t="s">
        <v>561</v>
      </c>
      <c r="K595" s="204" t="s">
        <v>151</v>
      </c>
      <c r="L595" s="202" t="s">
        <v>246</v>
      </c>
      <c r="M595" s="216">
        <v>25071.541161827699</v>
      </c>
      <c r="N595" s="216">
        <v>26310.433092773001</v>
      </c>
      <c r="O595" s="216">
        <v>27475.056632362299</v>
      </c>
      <c r="P595" s="216">
        <v>22424.395827233799</v>
      </c>
      <c r="Q595" s="216">
        <v>26037.880747832402</v>
      </c>
      <c r="T595" s="204" t="s">
        <v>151</v>
      </c>
      <c r="U595" s="202" t="s">
        <v>246</v>
      </c>
      <c r="V595" s="228">
        <v>1360241</v>
      </c>
      <c r="W595" s="228">
        <v>1295344</v>
      </c>
      <c r="X595" s="228">
        <v>1079454</v>
      </c>
      <c r="Y595" s="228">
        <v>756557</v>
      </c>
      <c r="Z595" s="228">
        <v>644088</v>
      </c>
    </row>
    <row r="596" spans="1:26">
      <c r="C596" s="655"/>
      <c r="D596" s="234"/>
      <c r="E596" s="234"/>
      <c r="F596" s="234"/>
      <c r="G596" s="234"/>
      <c r="H596" s="234"/>
      <c r="L596" s="655"/>
      <c r="M596" s="234"/>
      <c r="N596" s="234"/>
      <c r="O596" s="234"/>
      <c r="P596" s="234"/>
      <c r="Q596" s="234"/>
      <c r="U596" s="655"/>
      <c r="V596" s="234"/>
      <c r="W596" s="234"/>
      <c r="X596" s="234"/>
      <c r="Y596" s="234"/>
      <c r="Z596" s="234"/>
    </row>
    <row r="597" spans="1:26" ht="42">
      <c r="B597" s="204" t="s">
        <v>499</v>
      </c>
      <c r="C597" s="211" t="s">
        <v>247</v>
      </c>
      <c r="D597" s="212">
        <v>2997543.1030318099</v>
      </c>
      <c r="E597" s="212">
        <v>2299724.5603925399</v>
      </c>
      <c r="F597" s="212">
        <v>1551027.31705561</v>
      </c>
      <c r="G597" s="212">
        <v>1041142.23105481</v>
      </c>
      <c r="H597" s="212">
        <v>889368.09160745097</v>
      </c>
      <c r="K597" s="204" t="s">
        <v>499</v>
      </c>
      <c r="L597" s="211" t="s">
        <v>247</v>
      </c>
      <c r="M597" s="212">
        <v>71775.734704717994</v>
      </c>
      <c r="N597" s="212">
        <v>72144.429580211596</v>
      </c>
      <c r="O597" s="212">
        <v>63817.539131090001</v>
      </c>
      <c r="P597" s="212">
        <v>61141.8871446997</v>
      </c>
      <c r="Q597" s="212">
        <v>57859.318159334398</v>
      </c>
      <c r="T597" s="204" t="s">
        <v>499</v>
      </c>
      <c r="U597" s="211" t="s">
        <v>247</v>
      </c>
      <c r="V597" s="228">
        <v>2695000</v>
      </c>
      <c r="W597" s="228">
        <v>2401844</v>
      </c>
      <c r="X597" s="228">
        <v>2132052</v>
      </c>
      <c r="Y597" s="228">
        <v>1846711</v>
      </c>
      <c r="Z597" s="228">
        <v>1607353</v>
      </c>
    </row>
    <row r="598" spans="1:26" ht="42">
      <c r="C598" s="208" t="s">
        <v>248</v>
      </c>
      <c r="D598" s="212">
        <v>232588.881575957</v>
      </c>
      <c r="E598" s="212">
        <v>53876.083035156102</v>
      </c>
      <c r="F598" s="212">
        <v>52446.582541741402</v>
      </c>
      <c r="G598" s="212">
        <v>58128.308322504199</v>
      </c>
      <c r="H598" s="212">
        <v>59933.008789643602</v>
      </c>
      <c r="L598" s="208" t="s">
        <v>248</v>
      </c>
      <c r="M598" s="212">
        <v>2468.9341627359399</v>
      </c>
      <c r="N598" s="212">
        <v>3010.0819866061202</v>
      </c>
      <c r="O598" s="212">
        <v>4174.82910927385</v>
      </c>
      <c r="P598" s="212">
        <v>645.91484378278301</v>
      </c>
      <c r="Q598" s="212">
        <v>828.136422641575</v>
      </c>
      <c r="U598" s="208" t="s">
        <v>248</v>
      </c>
      <c r="V598" s="235"/>
      <c r="W598" s="235"/>
      <c r="X598" s="235"/>
      <c r="Y598" s="235"/>
      <c r="Z598" s="235"/>
    </row>
    <row r="599" spans="1:26" ht="28">
      <c r="C599" s="208" t="s">
        <v>249</v>
      </c>
      <c r="D599" s="212">
        <v>802974.464549236</v>
      </c>
      <c r="E599" s="212">
        <v>557079.58721186197</v>
      </c>
      <c r="F599" s="212">
        <v>356804.32392428798</v>
      </c>
      <c r="G599" s="212">
        <v>269711.507118151</v>
      </c>
      <c r="H599" s="212">
        <v>247118.027882881</v>
      </c>
      <c r="L599" s="208" t="s">
        <v>249</v>
      </c>
      <c r="M599" s="212">
        <v>18120.067457489698</v>
      </c>
      <c r="N599" s="212">
        <v>19274.442650720499</v>
      </c>
      <c r="O599" s="212">
        <v>18018.792503960402</v>
      </c>
      <c r="P599" s="212">
        <v>16318.987319886701</v>
      </c>
      <c r="Q599" s="212">
        <v>19041.9002055079</v>
      </c>
      <c r="U599" s="208" t="s">
        <v>249</v>
      </c>
      <c r="V599" s="235"/>
      <c r="W599" s="235"/>
      <c r="X599" s="235"/>
      <c r="Y599" s="235"/>
      <c r="Z599" s="235"/>
    </row>
    <row r="600" spans="1:26" ht="18">
      <c r="B600" s="204" t="s">
        <v>500</v>
      </c>
      <c r="C600" s="657" t="s">
        <v>250</v>
      </c>
      <c r="D600" s="239">
        <f>D598+D599</f>
        <v>1035563.3461251929</v>
      </c>
      <c r="E600" s="239">
        <f t="shared" ref="E600:H600" si="58">E598+E599</f>
        <v>610955.6702470181</v>
      </c>
      <c r="F600" s="239">
        <f t="shared" si="58"/>
        <v>409250.90646602935</v>
      </c>
      <c r="G600" s="239">
        <f t="shared" si="58"/>
        <v>327839.81544065522</v>
      </c>
      <c r="H600" s="239">
        <f t="shared" si="58"/>
        <v>307051.03667252458</v>
      </c>
      <c r="K600" s="204" t="s">
        <v>500</v>
      </c>
      <c r="L600" s="657" t="s">
        <v>250</v>
      </c>
      <c r="M600" s="662">
        <f>M598+M599</f>
        <v>20589.001620225637</v>
      </c>
      <c r="N600" s="662">
        <f t="shared" ref="N600:Q600" si="59">N598+N599</f>
        <v>22284.52463732662</v>
      </c>
      <c r="O600" s="662">
        <f t="shared" si="59"/>
        <v>22193.621613234252</v>
      </c>
      <c r="P600" s="662">
        <f t="shared" si="59"/>
        <v>16964.902163669485</v>
      </c>
      <c r="Q600" s="662">
        <f t="shared" si="59"/>
        <v>19870.036628149475</v>
      </c>
      <c r="T600" s="204" t="s">
        <v>500</v>
      </c>
      <c r="U600" s="657" t="s">
        <v>250</v>
      </c>
      <c r="V600" s="228">
        <v>910986</v>
      </c>
      <c r="W600" s="228">
        <v>872423</v>
      </c>
      <c r="X600" s="228">
        <v>761703</v>
      </c>
      <c r="Y600" s="228">
        <v>479564</v>
      </c>
      <c r="Z600" s="228">
        <v>423680</v>
      </c>
    </row>
    <row r="601" spans="1:26" ht="28">
      <c r="B601" s="204" t="s">
        <v>501</v>
      </c>
      <c r="C601" s="210" t="s">
        <v>251</v>
      </c>
      <c r="D601" s="212">
        <v>25728.570619627801</v>
      </c>
      <c r="E601" s="212">
        <v>14126.0254313797</v>
      </c>
      <c r="F601" s="212">
        <v>-1393.5079566761899</v>
      </c>
      <c r="G601" s="212">
        <v>1768.0092036128001</v>
      </c>
      <c r="H601" s="212">
        <v>-5435.9318143948904</v>
      </c>
      <c r="K601" s="204" t="s">
        <v>501</v>
      </c>
      <c r="L601" s="210" t="s">
        <v>251</v>
      </c>
      <c r="M601" s="212">
        <v>5005.4420194923896</v>
      </c>
      <c r="N601" s="212">
        <v>5701.4066542536002</v>
      </c>
      <c r="O601" s="212">
        <v>4739.0660048499703</v>
      </c>
      <c r="P601" s="212">
        <v>3645.2243909686799</v>
      </c>
      <c r="Q601" s="212">
        <v>3609.62242756039</v>
      </c>
      <c r="T601" s="204" t="s">
        <v>501</v>
      </c>
      <c r="U601" s="210" t="s">
        <v>251</v>
      </c>
      <c r="V601" s="228">
        <v>265858</v>
      </c>
      <c r="W601" s="228">
        <v>241199</v>
      </c>
      <c r="X601" s="228">
        <v>180133</v>
      </c>
      <c r="Y601" s="228">
        <v>150497</v>
      </c>
      <c r="Z601" s="228">
        <v>112022</v>
      </c>
    </row>
    <row r="602" spans="1:26" ht="28">
      <c r="C602" s="208" t="s">
        <v>252</v>
      </c>
      <c r="D602" s="235"/>
      <c r="E602" s="235"/>
      <c r="F602" s="235"/>
      <c r="G602" s="235"/>
      <c r="H602" s="235"/>
      <c r="L602" s="208" t="s">
        <v>252</v>
      </c>
      <c r="M602" s="235"/>
      <c r="N602" s="235"/>
      <c r="O602" s="235"/>
      <c r="P602" s="235"/>
      <c r="Q602" s="235"/>
      <c r="U602" s="208" t="s">
        <v>252</v>
      </c>
      <c r="V602" s="235"/>
      <c r="W602" s="235"/>
      <c r="X602" s="235"/>
      <c r="Y602" s="235"/>
      <c r="Z602" s="235"/>
    </row>
    <row r="603" spans="1:26" ht="28">
      <c r="C603" s="208" t="s">
        <v>253</v>
      </c>
      <c r="D603" s="235"/>
      <c r="E603" s="235"/>
      <c r="F603" s="235"/>
      <c r="G603" s="235"/>
      <c r="H603" s="235"/>
      <c r="L603" s="208" t="s">
        <v>253</v>
      </c>
      <c r="M603" s="235"/>
      <c r="N603" s="235"/>
      <c r="O603" s="235"/>
      <c r="P603" s="235"/>
      <c r="Q603" s="235"/>
      <c r="U603" s="208" t="s">
        <v>253</v>
      </c>
      <c r="V603" s="235"/>
      <c r="W603" s="235"/>
      <c r="X603" s="235"/>
      <c r="Y603" s="235"/>
      <c r="Z603" s="235"/>
    </row>
    <row r="604" spans="1:26" ht="42">
      <c r="C604" s="208" t="s">
        <v>254</v>
      </c>
      <c r="D604" s="235"/>
      <c r="E604" s="235"/>
      <c r="F604" s="235"/>
      <c r="G604" s="235"/>
      <c r="H604" s="235"/>
      <c r="L604" s="208" t="s">
        <v>254</v>
      </c>
      <c r="M604" s="235"/>
      <c r="N604" s="235"/>
      <c r="O604" s="235"/>
      <c r="P604" s="235"/>
      <c r="Q604" s="235"/>
      <c r="U604" s="208" t="s">
        <v>254</v>
      </c>
      <c r="V604" s="235"/>
      <c r="W604" s="235"/>
      <c r="X604" s="235"/>
      <c r="Y604" s="235"/>
      <c r="Z604" s="235"/>
    </row>
    <row r="605" spans="1:26" ht="18">
      <c r="B605" s="204" t="s">
        <v>502</v>
      </c>
      <c r="C605" s="659" t="s">
        <v>255</v>
      </c>
      <c r="D605" s="212">
        <v>244665.18505113601</v>
      </c>
      <c r="E605" s="212">
        <v>129328.718861669</v>
      </c>
      <c r="F605" s="212">
        <v>66675.739553876207</v>
      </c>
      <c r="G605" s="212">
        <v>67469.390013083801</v>
      </c>
      <c r="H605" s="212">
        <v>68940.073384657502</v>
      </c>
      <c r="K605" s="204" t="s">
        <v>502</v>
      </c>
      <c r="L605" s="659" t="s">
        <v>255</v>
      </c>
      <c r="M605" s="212">
        <v>4482.5395416021302</v>
      </c>
      <c r="N605" s="212">
        <v>4025.9084554463602</v>
      </c>
      <c r="O605" s="212">
        <v>5281.43501912802</v>
      </c>
      <c r="P605" s="212">
        <v>5459.4936635643198</v>
      </c>
      <c r="Q605" s="212">
        <v>6167.8441196829099</v>
      </c>
      <c r="T605" s="204" t="s">
        <v>502</v>
      </c>
      <c r="U605" s="659" t="s">
        <v>255</v>
      </c>
      <c r="V605" s="228">
        <v>449255</v>
      </c>
      <c r="W605" s="228">
        <v>422921</v>
      </c>
      <c r="X605" s="228">
        <v>317751</v>
      </c>
      <c r="Y605" s="228">
        <v>276993</v>
      </c>
      <c r="Z605" s="228">
        <v>220408</v>
      </c>
    </row>
    <row r="609" spans="1:21">
      <c r="A609" s="204" t="s">
        <v>489</v>
      </c>
    </row>
    <row r="610" spans="1:21">
      <c r="A610" s="204" t="s">
        <v>239</v>
      </c>
      <c r="C610" s="655"/>
      <c r="D610" s="655">
        <v>2009</v>
      </c>
      <c r="E610" s="219" t="s">
        <v>220</v>
      </c>
      <c r="F610" s="219" t="s">
        <v>221</v>
      </c>
      <c r="G610" s="219" t="s">
        <v>222</v>
      </c>
      <c r="H610" s="219" t="s">
        <v>223</v>
      </c>
    </row>
    <row r="611" spans="1:21" ht="18">
      <c r="B611" s="204" t="s">
        <v>151</v>
      </c>
      <c r="C611" s="202" t="s">
        <v>246</v>
      </c>
      <c r="D611" s="228">
        <v>4071410</v>
      </c>
      <c r="E611" s="228">
        <v>3996834</v>
      </c>
      <c r="F611" s="228">
        <v>3525328</v>
      </c>
      <c r="G611" s="228">
        <v>2983959</v>
      </c>
      <c r="H611" s="228">
        <f>2259033*$K$617</f>
        <v>351254.782137</v>
      </c>
    </row>
    <row r="612" spans="1:21">
      <c r="C612" s="655"/>
      <c r="D612" s="234"/>
      <c r="E612" s="234"/>
      <c r="F612" s="234"/>
      <c r="G612" s="234"/>
      <c r="H612" s="234"/>
    </row>
    <row r="613" spans="1:21" ht="28">
      <c r="B613" s="204" t="s">
        <v>499</v>
      </c>
      <c r="C613" s="211" t="s">
        <v>247</v>
      </c>
      <c r="D613" s="228">
        <v>3381357</v>
      </c>
      <c r="E613" s="228">
        <v>3045613</v>
      </c>
      <c r="F613" s="228">
        <v>2723213</v>
      </c>
      <c r="G613" s="228">
        <v>2305616</v>
      </c>
      <c r="H613" s="228">
        <f>1906614*K617</f>
        <v>296457.50424599997</v>
      </c>
    </row>
    <row r="614" spans="1:21">
      <c r="C614" s="208" t="s">
        <v>248</v>
      </c>
      <c r="D614" s="212"/>
      <c r="E614" s="212"/>
      <c r="F614" s="212"/>
      <c r="G614" s="212"/>
      <c r="H614" s="212"/>
    </row>
    <row r="615" spans="1:21">
      <c r="C615" s="208" t="s">
        <v>249</v>
      </c>
      <c r="D615" s="212"/>
      <c r="E615" s="212"/>
      <c r="F615" s="212"/>
      <c r="G615" s="212"/>
      <c r="H615" s="212"/>
    </row>
    <row r="616" spans="1:21" ht="18">
      <c r="B616" s="204" t="s">
        <v>500</v>
      </c>
      <c r="C616" s="657" t="s">
        <v>250</v>
      </c>
      <c r="D616" s="228">
        <v>3101195</v>
      </c>
      <c r="E616" s="228">
        <v>3445964</v>
      </c>
      <c r="F616" s="228">
        <v>2756535</v>
      </c>
      <c r="G616" s="228">
        <v>2392494</v>
      </c>
      <c r="H616" s="228">
        <f>881003*K617</f>
        <v>136986.275467</v>
      </c>
      <c r="K616" s="49">
        <v>2005</v>
      </c>
      <c r="L616" s="49">
        <v>2006</v>
      </c>
      <c r="M616" s="49">
        <v>2007</v>
      </c>
      <c r="N616" s="49">
        <v>2008</v>
      </c>
      <c r="O616" s="49">
        <v>2009</v>
      </c>
      <c r="P616" s="49">
        <v>2010</v>
      </c>
      <c r="Q616" s="49">
        <v>2011</v>
      </c>
      <c r="R616" s="49">
        <v>2012</v>
      </c>
      <c r="S616" s="49">
        <v>2013</v>
      </c>
      <c r="T616" s="49">
        <v>2014</v>
      </c>
      <c r="U616" s="49">
        <v>2015</v>
      </c>
    </row>
    <row r="617" spans="1:21" ht="28">
      <c r="B617" s="204" t="s">
        <v>501</v>
      </c>
      <c r="C617" s="210" t="s">
        <v>251</v>
      </c>
      <c r="D617" s="228">
        <v>275371</v>
      </c>
      <c r="E617" s="228">
        <v>297026</v>
      </c>
      <c r="F617" s="228">
        <v>154999</v>
      </c>
      <c r="G617" s="228">
        <v>123159</v>
      </c>
      <c r="H617" s="228">
        <f>124651*K617</f>
        <v>19381.859338999999</v>
      </c>
      <c r="K617" s="257">
        <v>0.15548899999999999</v>
      </c>
      <c r="L617" s="257">
        <v>0.156108</v>
      </c>
      <c r="M617" s="256">
        <v>0.17111199999999999</v>
      </c>
      <c r="N617" s="257">
        <v>0.179786</v>
      </c>
      <c r="O617" s="258">
        <v>0.15977</v>
      </c>
      <c r="P617" s="257">
        <v>0.165661</v>
      </c>
      <c r="Q617" s="257">
        <v>0.178596</v>
      </c>
      <c r="R617" s="258">
        <v>0.17192399999999999</v>
      </c>
      <c r="S617" s="257">
        <v>0.170267</v>
      </c>
      <c r="T617" s="257">
        <v>0.159195</v>
      </c>
      <c r="U617" s="257">
        <v>0.124226</v>
      </c>
    </row>
    <row r="618" spans="1:21" ht="28">
      <c r="C618" s="208" t="s">
        <v>252</v>
      </c>
      <c r="D618" s="235"/>
      <c r="E618" s="235"/>
      <c r="F618" s="235"/>
      <c r="G618" s="235"/>
      <c r="H618" s="235"/>
    </row>
    <row r="619" spans="1:21" ht="28">
      <c r="C619" s="208" t="s">
        <v>253</v>
      </c>
      <c r="D619" s="235"/>
      <c r="E619" s="235"/>
      <c r="F619" s="235"/>
      <c r="G619" s="235"/>
      <c r="H619" s="235"/>
    </row>
    <row r="620" spans="1:21" ht="28">
      <c r="C620" s="208" t="s">
        <v>254</v>
      </c>
      <c r="D620" s="235"/>
      <c r="E620" s="235"/>
      <c r="F620" s="235"/>
      <c r="G620" s="235"/>
      <c r="H620" s="235"/>
      <c r="J620" s="204" t="s">
        <v>489</v>
      </c>
      <c r="L620" s="655"/>
      <c r="M620" s="655">
        <v>2009</v>
      </c>
      <c r="N620" s="219" t="s">
        <v>220</v>
      </c>
      <c r="O620" s="219" t="s">
        <v>221</v>
      </c>
      <c r="P620" s="219" t="s">
        <v>222</v>
      </c>
      <c r="Q620" s="219" t="s">
        <v>223</v>
      </c>
    </row>
    <row r="621" spans="1:21" ht="18">
      <c r="B621" s="204" t="s">
        <v>502</v>
      </c>
      <c r="C621" s="659" t="s">
        <v>255</v>
      </c>
      <c r="D621" s="228">
        <v>970214</v>
      </c>
      <c r="E621" s="228">
        <v>550869</v>
      </c>
      <c r="F621" s="228">
        <v>768793</v>
      </c>
      <c r="G621" s="228">
        <v>591465</v>
      </c>
      <c r="H621" s="228">
        <f>1378029*K617</f>
        <v>214268.35118099998</v>
      </c>
      <c r="K621" s="204" t="s">
        <v>151</v>
      </c>
      <c r="L621" s="202" t="s">
        <v>246</v>
      </c>
      <c r="M621" s="228">
        <f>D611*$O$617</f>
        <v>650489.17570000002</v>
      </c>
      <c r="N621" s="228">
        <f>E611*$N$617</f>
        <v>718574.79752400005</v>
      </c>
      <c r="O621" s="228">
        <f>F611*$M$617</f>
        <v>603225.9247359999</v>
      </c>
      <c r="P621" s="228">
        <f>G611*$L$617</f>
        <v>465819.87157199997</v>
      </c>
      <c r="Q621" s="228">
        <f>2259033*$K$617</f>
        <v>351254.782137</v>
      </c>
    </row>
    <row r="622" spans="1:21" ht="18">
      <c r="L622" s="655"/>
      <c r="M622" s="228">
        <f t="shared" ref="M622:M631" si="60">D612*$O$617</f>
        <v>0</v>
      </c>
      <c r="N622" s="228">
        <f t="shared" ref="N622:N631" si="61">E612*$N$617</f>
        <v>0</v>
      </c>
      <c r="O622" s="228">
        <f t="shared" ref="O622:O631" si="62">F612*$M$617</f>
        <v>0</v>
      </c>
      <c r="P622" s="228">
        <f t="shared" ref="P622:P631" si="63">G612*$L$617</f>
        <v>0</v>
      </c>
      <c r="Q622" s="234"/>
    </row>
    <row r="623" spans="1:21" ht="42">
      <c r="K623" s="204" t="s">
        <v>499</v>
      </c>
      <c r="L623" s="211" t="s">
        <v>247</v>
      </c>
      <c r="M623" s="228">
        <f t="shared" si="60"/>
        <v>540239.40789000003</v>
      </c>
      <c r="N623" s="228">
        <f t="shared" si="61"/>
        <v>547558.57881800004</v>
      </c>
      <c r="O623" s="228">
        <f t="shared" si="62"/>
        <v>465974.42285599996</v>
      </c>
      <c r="P623" s="228">
        <f t="shared" si="63"/>
        <v>359925.10252800002</v>
      </c>
      <c r="Q623" s="228">
        <f>H613</f>
        <v>296457.50424599997</v>
      </c>
    </row>
    <row r="624" spans="1:21" ht="42">
      <c r="L624" s="208" t="s">
        <v>248</v>
      </c>
      <c r="M624" s="228">
        <f t="shared" si="60"/>
        <v>0</v>
      </c>
      <c r="N624" s="228">
        <f t="shared" si="61"/>
        <v>0</v>
      </c>
      <c r="O624" s="228">
        <f t="shared" si="62"/>
        <v>0</v>
      </c>
      <c r="P624" s="228">
        <f t="shared" si="63"/>
        <v>0</v>
      </c>
      <c r="Q624" s="212"/>
    </row>
    <row r="625" spans="1:17" ht="28">
      <c r="A625" s="204" t="s">
        <v>490</v>
      </c>
      <c r="L625" s="208" t="s">
        <v>249</v>
      </c>
      <c r="M625" s="228">
        <f t="shared" si="60"/>
        <v>0</v>
      </c>
      <c r="N625" s="228">
        <f t="shared" si="61"/>
        <v>0</v>
      </c>
      <c r="O625" s="228">
        <f t="shared" si="62"/>
        <v>0</v>
      </c>
      <c r="P625" s="228">
        <f t="shared" si="63"/>
        <v>0</v>
      </c>
      <c r="Q625" s="212"/>
    </row>
    <row r="626" spans="1:17" ht="18">
      <c r="A626" s="204" t="s">
        <v>1001</v>
      </c>
      <c r="C626" s="655"/>
      <c r="D626" s="655">
        <v>2015</v>
      </c>
      <c r="E626" s="219" t="s">
        <v>167</v>
      </c>
      <c r="F626" s="219" t="s">
        <v>168</v>
      </c>
      <c r="G626" s="219" t="s">
        <v>169</v>
      </c>
      <c r="H626" s="219" t="s">
        <v>170</v>
      </c>
      <c r="K626" s="204" t="s">
        <v>500</v>
      </c>
      <c r="L626" s="657" t="s">
        <v>250</v>
      </c>
      <c r="M626" s="228">
        <f t="shared" si="60"/>
        <v>495477.92514999997</v>
      </c>
      <c r="N626" s="228">
        <f t="shared" si="61"/>
        <v>619536.08370399999</v>
      </c>
      <c r="O626" s="228">
        <f t="shared" si="62"/>
        <v>471676.21691999998</v>
      </c>
      <c r="P626" s="228">
        <f t="shared" si="63"/>
        <v>373487.45335199998</v>
      </c>
      <c r="Q626" s="228">
        <f>H616</f>
        <v>136986.275467</v>
      </c>
    </row>
    <row r="627" spans="1:17" ht="28">
      <c r="B627" s="204" t="s">
        <v>151</v>
      </c>
      <c r="C627" s="202" t="s">
        <v>246</v>
      </c>
      <c r="D627" s="228">
        <v>4475930</v>
      </c>
      <c r="E627" s="228">
        <v>6268775</v>
      </c>
      <c r="F627" s="228">
        <v>5353479</v>
      </c>
      <c r="G627" s="228">
        <v>4774453</v>
      </c>
      <c r="H627" s="228">
        <v>4083961</v>
      </c>
      <c r="K627" s="204" t="s">
        <v>501</v>
      </c>
      <c r="L627" s="210" t="s">
        <v>251</v>
      </c>
      <c r="M627" s="228">
        <f t="shared" si="60"/>
        <v>43996.024669999999</v>
      </c>
      <c r="N627" s="228">
        <f t="shared" si="61"/>
        <v>53401.116436000004</v>
      </c>
      <c r="O627" s="228">
        <f t="shared" si="62"/>
        <v>26522.188887999997</v>
      </c>
      <c r="P627" s="228">
        <f t="shared" si="63"/>
        <v>19226.105172</v>
      </c>
      <c r="Q627" s="228">
        <f>H617</f>
        <v>19381.859338999999</v>
      </c>
    </row>
    <row r="628" spans="1:17" ht="28">
      <c r="C628" s="655"/>
      <c r="D628" s="234"/>
      <c r="E628" s="234"/>
      <c r="F628" s="234"/>
      <c r="G628" s="234"/>
      <c r="H628" s="234"/>
      <c r="L628" s="208" t="s">
        <v>252</v>
      </c>
      <c r="M628" s="228">
        <f t="shared" si="60"/>
        <v>0</v>
      </c>
      <c r="N628" s="228">
        <f t="shared" si="61"/>
        <v>0</v>
      </c>
      <c r="O628" s="228">
        <f t="shared" si="62"/>
        <v>0</v>
      </c>
      <c r="P628" s="228">
        <f t="shared" si="63"/>
        <v>0</v>
      </c>
      <c r="Q628" s="235"/>
    </row>
    <row r="629" spans="1:17" ht="28">
      <c r="B629" s="204" t="s">
        <v>499</v>
      </c>
      <c r="C629" s="211" t="s">
        <v>247</v>
      </c>
      <c r="D629" s="228">
        <v>115431</v>
      </c>
      <c r="E629" s="228">
        <v>26200</v>
      </c>
      <c r="F629" s="228">
        <v>22430</v>
      </c>
      <c r="G629" s="228">
        <v>28471</v>
      </c>
      <c r="H629" s="228">
        <v>23106</v>
      </c>
      <c r="L629" s="208" t="s">
        <v>253</v>
      </c>
      <c r="M629" s="228">
        <f t="shared" si="60"/>
        <v>0</v>
      </c>
      <c r="N629" s="228">
        <f t="shared" si="61"/>
        <v>0</v>
      </c>
      <c r="O629" s="228">
        <f t="shared" si="62"/>
        <v>0</v>
      </c>
      <c r="P629" s="228">
        <f t="shared" si="63"/>
        <v>0</v>
      </c>
      <c r="Q629" s="235"/>
    </row>
    <row r="630" spans="1:17" ht="42">
      <c r="C630" s="208" t="s">
        <v>248</v>
      </c>
      <c r="D630" s="212"/>
      <c r="E630" s="212"/>
      <c r="F630" s="212"/>
      <c r="G630" s="212"/>
      <c r="H630" s="212"/>
      <c r="L630" s="208" t="s">
        <v>254</v>
      </c>
      <c r="M630" s="228">
        <f t="shared" si="60"/>
        <v>0</v>
      </c>
      <c r="N630" s="228">
        <f t="shared" si="61"/>
        <v>0</v>
      </c>
      <c r="O630" s="228">
        <f t="shared" si="62"/>
        <v>0</v>
      </c>
      <c r="P630" s="228">
        <f t="shared" si="63"/>
        <v>0</v>
      </c>
      <c r="Q630" s="235"/>
    </row>
    <row r="631" spans="1:17" ht="18">
      <c r="C631" s="208" t="s">
        <v>249</v>
      </c>
      <c r="D631" s="212"/>
      <c r="E631" s="212"/>
      <c r="F631" s="212"/>
      <c r="G631" s="212"/>
      <c r="H631" s="212"/>
      <c r="K631" s="204" t="s">
        <v>502</v>
      </c>
      <c r="L631" s="659" t="s">
        <v>255</v>
      </c>
      <c r="M631" s="228">
        <f t="shared" si="60"/>
        <v>155011.09078</v>
      </c>
      <c r="N631" s="228">
        <f t="shared" si="61"/>
        <v>99038.534033999997</v>
      </c>
      <c r="O631" s="228">
        <f t="shared" si="62"/>
        <v>131549.70781599998</v>
      </c>
      <c r="P631" s="228">
        <f t="shared" si="63"/>
        <v>92332.418219999992</v>
      </c>
      <c r="Q631" s="228">
        <f>H621</f>
        <v>214268.35118099998</v>
      </c>
    </row>
    <row r="632" spans="1:17" ht="18">
      <c r="B632" s="204" t="s">
        <v>500</v>
      </c>
      <c r="C632" s="657" t="s">
        <v>250</v>
      </c>
      <c r="D632" s="228">
        <v>2995465</v>
      </c>
      <c r="E632" s="228">
        <v>4692601</v>
      </c>
      <c r="F632" s="228">
        <v>3852268</v>
      </c>
      <c r="G632" s="228">
        <v>3325673</v>
      </c>
      <c r="H632" s="228">
        <v>2583677</v>
      </c>
    </row>
    <row r="633" spans="1:17" ht="28">
      <c r="B633" s="204" t="s">
        <v>501</v>
      </c>
      <c r="C633" s="210" t="s">
        <v>251</v>
      </c>
      <c r="D633" s="228">
        <v>-95709</v>
      </c>
      <c r="E633" s="228">
        <v>173619</v>
      </c>
      <c r="F633" s="228">
        <v>50999</v>
      </c>
      <c r="G633" s="228">
        <v>-21524</v>
      </c>
      <c r="H633" s="228">
        <v>-143209</v>
      </c>
    </row>
    <row r="634" spans="1:17" ht="28">
      <c r="C634" s="208" t="s">
        <v>252</v>
      </c>
      <c r="D634" s="235"/>
      <c r="E634" s="235"/>
      <c r="F634" s="235"/>
      <c r="G634" s="235"/>
      <c r="H634" s="235"/>
      <c r="J634" s="204" t="s">
        <v>490</v>
      </c>
      <c r="L634" s="655"/>
      <c r="M634" s="655">
        <v>2015</v>
      </c>
      <c r="N634" s="219" t="s">
        <v>167</v>
      </c>
      <c r="O634" s="219" t="s">
        <v>168</v>
      </c>
      <c r="P634" s="219" t="s">
        <v>169</v>
      </c>
      <c r="Q634" s="219" t="s">
        <v>170</v>
      </c>
    </row>
    <row r="635" spans="1:17" ht="28">
      <c r="C635" s="208" t="s">
        <v>253</v>
      </c>
      <c r="D635" s="235"/>
      <c r="E635" s="235"/>
      <c r="F635" s="235"/>
      <c r="G635" s="235"/>
      <c r="H635" s="235"/>
      <c r="K635" s="204" t="s">
        <v>151</v>
      </c>
      <c r="L635" s="202" t="s">
        <v>246</v>
      </c>
      <c r="M635" s="228">
        <f>D627*$U$617</f>
        <v>556026.88017999998</v>
      </c>
      <c r="N635" s="228">
        <f>E627*$T$617</f>
        <v>997957.63612500008</v>
      </c>
      <c r="O635" s="228">
        <f>F627*$S$617</f>
        <v>911520.80889300001</v>
      </c>
      <c r="P635" s="228">
        <f>G627*$R$617</f>
        <v>820843.05757199996</v>
      </c>
      <c r="Q635" s="228">
        <f>H627*$Q$617</f>
        <v>729379.09875600005</v>
      </c>
    </row>
    <row r="636" spans="1:17" ht="28">
      <c r="C636" s="208" t="s">
        <v>254</v>
      </c>
      <c r="D636" s="235"/>
      <c r="E636" s="235"/>
      <c r="F636" s="235"/>
      <c r="G636" s="235"/>
      <c r="H636" s="235"/>
      <c r="L636" s="655"/>
      <c r="M636" s="228">
        <f t="shared" ref="M636:M645" si="64">D628*$U$617</f>
        <v>0</v>
      </c>
      <c r="N636" s="228">
        <f t="shared" ref="N636:N644" si="65">E628*$T$617</f>
        <v>0</v>
      </c>
      <c r="O636" s="228">
        <f t="shared" ref="O636:O645" si="66">F628*$S$617</f>
        <v>0</v>
      </c>
      <c r="P636" s="228">
        <f t="shared" ref="P636:P645" si="67">G628*$R$617</f>
        <v>0</v>
      </c>
      <c r="Q636" s="228">
        <f t="shared" ref="Q636:Q645" si="68">H628*$Q$617</f>
        <v>0</v>
      </c>
    </row>
    <row r="637" spans="1:17" ht="42">
      <c r="B637" s="204" t="s">
        <v>502</v>
      </c>
      <c r="C637" s="659" t="s">
        <v>255</v>
      </c>
      <c r="D637" s="228">
        <v>1480465</v>
      </c>
      <c r="E637" s="228">
        <v>1576174</v>
      </c>
      <c r="F637" s="228">
        <v>1501211</v>
      </c>
      <c r="G637" s="228">
        <v>1448779</v>
      </c>
      <c r="H637" s="228">
        <v>1500282</v>
      </c>
      <c r="K637" s="204" t="s">
        <v>499</v>
      </c>
      <c r="L637" s="211" t="s">
        <v>247</v>
      </c>
      <c r="M637" s="228">
        <f t="shared" si="64"/>
        <v>14339.531406</v>
      </c>
      <c r="N637" s="228">
        <f t="shared" si="65"/>
        <v>4170.9089999999997</v>
      </c>
      <c r="O637" s="228">
        <f t="shared" si="66"/>
        <v>3819.0888100000002</v>
      </c>
      <c r="P637" s="228">
        <f t="shared" si="67"/>
        <v>4894.8482039999999</v>
      </c>
      <c r="Q637" s="228">
        <f t="shared" si="68"/>
        <v>4126.6391759999997</v>
      </c>
    </row>
    <row r="638" spans="1:17" ht="42">
      <c r="L638" s="208" t="s">
        <v>248</v>
      </c>
      <c r="M638" s="228">
        <f t="shared" si="64"/>
        <v>0</v>
      </c>
      <c r="N638" s="228">
        <f t="shared" si="65"/>
        <v>0</v>
      </c>
      <c r="O638" s="228">
        <f t="shared" si="66"/>
        <v>0</v>
      </c>
      <c r="P638" s="228">
        <f t="shared" si="67"/>
        <v>0</v>
      </c>
      <c r="Q638" s="228">
        <f t="shared" si="68"/>
        <v>0</v>
      </c>
    </row>
    <row r="639" spans="1:17" ht="28">
      <c r="L639" s="208" t="s">
        <v>249</v>
      </c>
      <c r="M639" s="228">
        <f t="shared" si="64"/>
        <v>0</v>
      </c>
      <c r="N639" s="228">
        <f t="shared" si="65"/>
        <v>0</v>
      </c>
      <c r="O639" s="228">
        <f t="shared" si="66"/>
        <v>0</v>
      </c>
      <c r="P639" s="228">
        <f t="shared" si="67"/>
        <v>0</v>
      </c>
      <c r="Q639" s="228">
        <f t="shared" si="68"/>
        <v>0</v>
      </c>
    </row>
    <row r="640" spans="1:17" ht="18">
      <c r="K640" s="204" t="s">
        <v>500</v>
      </c>
      <c r="L640" s="657" t="s">
        <v>250</v>
      </c>
      <c r="M640" s="228">
        <f t="shared" si="64"/>
        <v>372114.63509</v>
      </c>
      <c r="N640" s="228">
        <f t="shared" si="65"/>
        <v>747038.61619500001</v>
      </c>
      <c r="O640" s="228">
        <f t="shared" si="66"/>
        <v>655914.11555600003</v>
      </c>
      <c r="P640" s="228">
        <f t="shared" si="67"/>
        <v>571763.00485199993</v>
      </c>
      <c r="Q640" s="228">
        <f t="shared" si="68"/>
        <v>461434.377492</v>
      </c>
    </row>
    <row r="641" spans="1:17" ht="28">
      <c r="K641" s="204" t="s">
        <v>501</v>
      </c>
      <c r="L641" s="210" t="s">
        <v>251</v>
      </c>
      <c r="M641" s="228">
        <f t="shared" si="64"/>
        <v>-11889.546233999999</v>
      </c>
      <c r="N641" s="228">
        <f t="shared" si="65"/>
        <v>27639.276705</v>
      </c>
      <c r="O641" s="228">
        <f t="shared" si="66"/>
        <v>8683.4467330000007</v>
      </c>
      <c r="P641" s="228">
        <f t="shared" si="67"/>
        <v>-3700.4921759999997</v>
      </c>
      <c r="Q641" s="228">
        <f t="shared" si="68"/>
        <v>-25576.554564000002</v>
      </c>
    </row>
    <row r="642" spans="1:17" ht="28">
      <c r="L642" s="208" t="s">
        <v>252</v>
      </c>
      <c r="M642" s="228">
        <f t="shared" si="64"/>
        <v>0</v>
      </c>
      <c r="N642" s="228">
        <f t="shared" si="65"/>
        <v>0</v>
      </c>
      <c r="O642" s="228">
        <f t="shared" si="66"/>
        <v>0</v>
      </c>
      <c r="P642" s="228">
        <f t="shared" si="67"/>
        <v>0</v>
      </c>
      <c r="Q642" s="228">
        <f t="shared" si="68"/>
        <v>0</v>
      </c>
    </row>
    <row r="643" spans="1:17" ht="28">
      <c r="L643" s="208" t="s">
        <v>253</v>
      </c>
      <c r="M643" s="228">
        <f t="shared" si="64"/>
        <v>0</v>
      </c>
      <c r="N643" s="228">
        <f t="shared" si="65"/>
        <v>0</v>
      </c>
      <c r="O643" s="228">
        <f t="shared" si="66"/>
        <v>0</v>
      </c>
      <c r="P643" s="228">
        <f t="shared" si="67"/>
        <v>0</v>
      </c>
      <c r="Q643" s="228">
        <f t="shared" si="68"/>
        <v>0</v>
      </c>
    </row>
    <row r="644" spans="1:17" ht="42">
      <c r="A644" s="675" t="s">
        <v>1002</v>
      </c>
      <c r="L644" s="208" t="s">
        <v>254</v>
      </c>
      <c r="M644" s="228">
        <f t="shared" si="64"/>
        <v>0</v>
      </c>
      <c r="N644" s="228">
        <f t="shared" si="65"/>
        <v>0</v>
      </c>
      <c r="O644" s="228">
        <f t="shared" si="66"/>
        <v>0</v>
      </c>
      <c r="P644" s="228">
        <f t="shared" si="67"/>
        <v>0</v>
      </c>
      <c r="Q644" s="228">
        <f t="shared" si="68"/>
        <v>0</v>
      </c>
    </row>
    <row r="645" spans="1:17" ht="18">
      <c r="A645" s="204" t="s">
        <v>199</v>
      </c>
      <c r="K645" s="204" t="s">
        <v>502</v>
      </c>
      <c r="L645" s="659" t="s">
        <v>255</v>
      </c>
      <c r="M645" s="228">
        <f t="shared" si="64"/>
        <v>183912.24509000001</v>
      </c>
      <c r="N645" s="228">
        <f>E637*$T$617</f>
        <v>250919.01993000001</v>
      </c>
      <c r="O645" s="228">
        <f t="shared" si="66"/>
        <v>255606.693337</v>
      </c>
      <c r="P645" s="228">
        <f t="shared" si="67"/>
        <v>249079.88079599998</v>
      </c>
      <c r="Q645" s="228">
        <f t="shared" si="68"/>
        <v>267944.36407200003</v>
      </c>
    </row>
    <row r="646" spans="1:17">
      <c r="C646" s="655"/>
      <c r="D646" s="655">
        <v>2017</v>
      </c>
      <c r="E646" s="219" t="s">
        <v>503</v>
      </c>
      <c r="F646" s="219" t="s">
        <v>504</v>
      </c>
      <c r="G646" s="219" t="s">
        <v>505</v>
      </c>
      <c r="H646" s="219" t="s">
        <v>506</v>
      </c>
    </row>
    <row r="647" spans="1:17" ht="18">
      <c r="B647" s="204" t="s">
        <v>151</v>
      </c>
      <c r="C647" s="202" t="s">
        <v>246</v>
      </c>
      <c r="D647" s="228" t="s">
        <v>1003</v>
      </c>
      <c r="E647" s="228" t="s">
        <v>1004</v>
      </c>
      <c r="F647" s="228" t="s">
        <v>1005</v>
      </c>
      <c r="G647" s="228" t="s">
        <v>1006</v>
      </c>
      <c r="H647" s="228" t="s">
        <v>1007</v>
      </c>
    </row>
    <row r="648" spans="1:17">
      <c r="C648" s="655"/>
      <c r="D648" s="234"/>
      <c r="E648" s="234"/>
      <c r="F648" s="234"/>
      <c r="G648" s="234"/>
      <c r="H648" s="234"/>
    </row>
    <row r="649" spans="1:17" ht="28">
      <c r="B649" s="204" t="s">
        <v>499</v>
      </c>
      <c r="C649" s="211" t="s">
        <v>247</v>
      </c>
      <c r="D649" s="228" t="s">
        <v>1008</v>
      </c>
      <c r="E649" s="228" t="s">
        <v>1009</v>
      </c>
      <c r="F649" s="228" t="s">
        <v>1010</v>
      </c>
      <c r="G649" s="228" t="s">
        <v>1011</v>
      </c>
      <c r="H649" s="228" t="s">
        <v>1012</v>
      </c>
    </row>
    <row r="650" spans="1:17">
      <c r="C650" s="208" t="s">
        <v>248</v>
      </c>
      <c r="D650" s="212"/>
      <c r="E650" s="212"/>
      <c r="F650" s="212"/>
      <c r="G650" s="212"/>
      <c r="H650" s="212"/>
    </row>
    <row r="651" spans="1:17">
      <c r="C651" s="208" t="s">
        <v>249</v>
      </c>
      <c r="D651" s="212"/>
      <c r="E651" s="212"/>
      <c r="F651" s="212"/>
      <c r="G651" s="212"/>
      <c r="H651" s="212"/>
    </row>
    <row r="652" spans="1:17" ht="18">
      <c r="B652" s="204" t="s">
        <v>500</v>
      </c>
      <c r="C652" s="657" t="s">
        <v>250</v>
      </c>
      <c r="D652" s="228" t="s">
        <v>1013</v>
      </c>
      <c r="E652" s="228" t="s">
        <v>1014</v>
      </c>
      <c r="F652" s="228" t="s">
        <v>1015</v>
      </c>
      <c r="G652" s="228" t="s">
        <v>1016</v>
      </c>
      <c r="H652" s="228" t="s">
        <v>1017</v>
      </c>
    </row>
    <row r="653" spans="1:17" ht="28">
      <c r="B653" s="204" t="s">
        <v>501</v>
      </c>
      <c r="C653" s="210" t="s">
        <v>251</v>
      </c>
      <c r="D653" s="228" t="s">
        <v>1018</v>
      </c>
      <c r="E653" s="228" t="s">
        <v>1019</v>
      </c>
      <c r="F653" s="228" t="s">
        <v>1020</v>
      </c>
      <c r="G653" s="228" t="s">
        <v>1021</v>
      </c>
      <c r="H653" s="228" t="s">
        <v>1022</v>
      </c>
    </row>
    <row r="654" spans="1:17" ht="28">
      <c r="C654" s="208" t="s">
        <v>252</v>
      </c>
      <c r="D654" s="235"/>
      <c r="E654" s="235"/>
      <c r="F654" s="235"/>
      <c r="G654" s="235"/>
      <c r="H654" s="235"/>
    </row>
    <row r="655" spans="1:17" ht="28">
      <c r="C655" s="208" t="s">
        <v>253</v>
      </c>
      <c r="D655" s="235"/>
      <c r="E655" s="235"/>
      <c r="F655" s="235"/>
      <c r="G655" s="235"/>
      <c r="H655" s="235"/>
    </row>
    <row r="656" spans="1:17" ht="28">
      <c r="C656" s="208" t="s">
        <v>254</v>
      </c>
      <c r="D656" s="235"/>
      <c r="E656" s="235"/>
      <c r="F656" s="235"/>
      <c r="G656" s="235"/>
      <c r="H656" s="235"/>
    </row>
    <row r="657" spans="2:8" ht="18">
      <c r="B657" s="204" t="s">
        <v>502</v>
      </c>
      <c r="C657" s="659" t="s">
        <v>255</v>
      </c>
      <c r="D657" s="228" t="s">
        <v>1023</v>
      </c>
      <c r="E657" s="228" t="s">
        <v>1024</v>
      </c>
      <c r="F657" s="228" t="s">
        <v>1025</v>
      </c>
      <c r="G657" s="228" t="s">
        <v>1026</v>
      </c>
      <c r="H657" s="228" t="s">
        <v>1027</v>
      </c>
    </row>
    <row r="664" spans="2:8">
      <c r="B664" s="779" t="s">
        <v>73</v>
      </c>
      <c r="C664" s="684"/>
      <c r="D664" s="684"/>
      <c r="E664" s="684"/>
      <c r="F664" s="684"/>
      <c r="G664" s="684"/>
      <c r="H664" s="684"/>
    </row>
    <row r="665" spans="2:8" ht="16" thickBot="1">
      <c r="B665" s="613" t="s">
        <v>1043</v>
      </c>
      <c r="C665" s="408" t="s">
        <v>435</v>
      </c>
      <c r="D665" s="684">
        <v>2018</v>
      </c>
      <c r="E665" s="684">
        <v>2017</v>
      </c>
      <c r="F665" s="684">
        <v>2016</v>
      </c>
      <c r="G665" s="684">
        <v>2015</v>
      </c>
      <c r="H665" s="684">
        <v>2014</v>
      </c>
    </row>
    <row r="666" spans="2:8" ht="29" thickBot="1">
      <c r="B666" s="598" t="s">
        <v>421</v>
      </c>
      <c r="C666" s="211" t="s">
        <v>11</v>
      </c>
      <c r="D666" s="780">
        <v>3742920</v>
      </c>
      <c r="E666" s="780">
        <v>2576884</v>
      </c>
      <c r="F666" s="780">
        <v>1364129</v>
      </c>
      <c r="G666" s="780">
        <v>1221802</v>
      </c>
      <c r="H666" s="780">
        <v>464231</v>
      </c>
    </row>
    <row r="667" spans="2:8" ht="16" thickBot="1">
      <c r="B667" s="600"/>
      <c r="C667" s="208" t="s">
        <v>2</v>
      </c>
      <c r="D667" s="781">
        <v>6352551</v>
      </c>
      <c r="E667" s="781">
        <v>6141488</v>
      </c>
      <c r="F667" s="781">
        <v>5921250</v>
      </c>
      <c r="G667" s="781">
        <v>4454944</v>
      </c>
      <c r="H667" s="781">
        <v>4079831</v>
      </c>
    </row>
    <row r="668" spans="2:8" ht="16" thickBot="1">
      <c r="B668" s="600"/>
      <c r="C668" s="208" t="s">
        <v>3</v>
      </c>
      <c r="D668" s="781">
        <v>1380281</v>
      </c>
      <c r="E668" s="781">
        <v>2888476</v>
      </c>
      <c r="F668" s="781">
        <v>884739</v>
      </c>
      <c r="G668" s="781">
        <v>394839</v>
      </c>
      <c r="H668" s="781">
        <v>652879</v>
      </c>
    </row>
    <row r="669" spans="2:8" ht="16" thickBot="1">
      <c r="B669" s="598" t="s">
        <v>422</v>
      </c>
      <c r="C669" s="206" t="s">
        <v>8</v>
      </c>
      <c r="D669" s="554">
        <f>SUM(D667:D668)</f>
        <v>7732832</v>
      </c>
      <c r="E669" s="554">
        <f>SUM(E667:E668)</f>
        <v>9029964</v>
      </c>
      <c r="F669" s="554">
        <f>SUM(F667:F668)</f>
        <v>6805989</v>
      </c>
      <c r="G669" s="554">
        <f>SUM(G667:G668)</f>
        <v>4849783</v>
      </c>
      <c r="H669" s="554">
        <f>SUM(H667:H668)</f>
        <v>4732710</v>
      </c>
    </row>
    <row r="670" spans="2:8" ht="29" thickBot="1">
      <c r="B670" s="598" t="s">
        <v>423</v>
      </c>
      <c r="C670" s="210" t="s">
        <v>12</v>
      </c>
      <c r="D670" s="781">
        <v>475778</v>
      </c>
      <c r="E670" s="781">
        <v>274787</v>
      </c>
      <c r="F670" s="781">
        <v>34971</v>
      </c>
      <c r="G670" s="781">
        <v>-312652</v>
      </c>
      <c r="H670" s="781">
        <v>-279139</v>
      </c>
    </row>
    <row r="671" spans="2:8" ht="16" thickBot="1">
      <c r="B671" s="602" t="s">
        <v>138</v>
      </c>
      <c r="C671" s="417" t="s">
        <v>138</v>
      </c>
      <c r="D671" s="782">
        <v>10709371</v>
      </c>
      <c r="E671" s="782">
        <v>12018560</v>
      </c>
      <c r="F671" s="782">
        <v>9255196</v>
      </c>
      <c r="G671" s="782">
        <v>5188809</v>
      </c>
      <c r="H671" s="782">
        <v>5384372</v>
      </c>
    </row>
    <row r="672" spans="2:8">
      <c r="B672" s="600"/>
      <c r="C672" s="208"/>
      <c r="D672" s="554"/>
      <c r="E672" s="554"/>
      <c r="F672" s="554"/>
      <c r="G672" s="554"/>
      <c r="H672" s="554"/>
    </row>
    <row r="673" spans="2:8" ht="29" thickBot="1">
      <c r="B673" s="600"/>
      <c r="C673" s="208" t="s">
        <v>15</v>
      </c>
      <c r="D673" s="554"/>
      <c r="E673" s="554"/>
      <c r="F673" s="554"/>
      <c r="G673" s="554"/>
      <c r="H673" s="554"/>
    </row>
    <row r="674" spans="2:8" ht="16" thickBot="1">
      <c r="B674" s="603" t="s">
        <v>424</v>
      </c>
      <c r="C674" s="604" t="s">
        <v>23</v>
      </c>
      <c r="D674" s="781">
        <v>2976539</v>
      </c>
      <c r="E674" s="781">
        <v>2988596</v>
      </c>
      <c r="F674" s="781">
        <v>2449207</v>
      </c>
      <c r="G674" s="781">
        <v>339026</v>
      </c>
      <c r="H674" s="781">
        <v>651662</v>
      </c>
    </row>
    <row r="675" spans="2:8">
      <c r="B675" s="684"/>
      <c r="C675" s="684"/>
      <c r="D675" s="684"/>
      <c r="E675" s="684"/>
      <c r="F675" s="684"/>
      <c r="G675" s="684"/>
      <c r="H675" s="684"/>
    </row>
    <row r="676" spans="2:8">
      <c r="B676" s="684"/>
      <c r="C676" s="684"/>
      <c r="D676" s="684"/>
      <c r="E676" s="684"/>
      <c r="F676" s="684"/>
      <c r="G676" s="684"/>
      <c r="H676" s="684"/>
    </row>
    <row r="677" spans="2:8" ht="16" thickBot="1">
      <c r="B677" s="613" t="s">
        <v>1044</v>
      </c>
      <c r="C677" s="408" t="s">
        <v>435</v>
      </c>
      <c r="D677" s="684">
        <v>2018</v>
      </c>
      <c r="E677" s="684">
        <v>2017</v>
      </c>
      <c r="F677" s="684">
        <v>2016</v>
      </c>
      <c r="G677" s="684">
        <v>2015</v>
      </c>
      <c r="H677" s="684">
        <v>2014</v>
      </c>
    </row>
    <row r="678" spans="2:8" ht="29" thickBot="1">
      <c r="B678" s="598" t="s">
        <v>421</v>
      </c>
      <c r="C678" s="211" t="s">
        <v>11</v>
      </c>
      <c r="D678" s="781">
        <v>1632</v>
      </c>
      <c r="E678" s="781">
        <v>5346</v>
      </c>
      <c r="F678" s="781">
        <v>8</v>
      </c>
      <c r="G678" s="781">
        <v>0</v>
      </c>
      <c r="H678" s="781">
        <v>1975</v>
      </c>
    </row>
    <row r="679" spans="2:8" ht="16" thickBot="1">
      <c r="B679" s="600"/>
      <c r="C679" s="208" t="s">
        <v>2</v>
      </c>
      <c r="D679" s="781">
        <v>0</v>
      </c>
      <c r="E679" s="781">
        <v>1425</v>
      </c>
      <c r="F679" s="781">
        <v>9455</v>
      </c>
      <c r="G679" s="781">
        <v>8513</v>
      </c>
      <c r="H679" s="781">
        <v>8953</v>
      </c>
    </row>
    <row r="680" spans="2:8" ht="16" thickBot="1">
      <c r="B680" s="600"/>
      <c r="C680" s="208" t="s">
        <v>3</v>
      </c>
      <c r="D680" s="781">
        <v>182</v>
      </c>
      <c r="E680" s="781">
        <v>2705</v>
      </c>
      <c r="F680" s="781">
        <v>1226</v>
      </c>
      <c r="G680" s="781">
        <v>1279</v>
      </c>
      <c r="H680" s="781">
        <v>696</v>
      </c>
    </row>
    <row r="681" spans="2:8" ht="16" thickBot="1">
      <c r="B681" s="598" t="s">
        <v>422</v>
      </c>
      <c r="C681" s="206" t="s">
        <v>8</v>
      </c>
      <c r="D681" s="684">
        <f>SUM(D679:D680)</f>
        <v>182</v>
      </c>
      <c r="E681" s="684">
        <f>SUM(E679:E680)</f>
        <v>4130</v>
      </c>
      <c r="F681" s="684">
        <f>SUM(F679:F680)</f>
        <v>10681</v>
      </c>
      <c r="G681" s="684">
        <f>SUM(G679:G680)</f>
        <v>9792</v>
      </c>
      <c r="H681" s="684">
        <f>SUM(H679:H680)</f>
        <v>9649</v>
      </c>
    </row>
    <row r="682" spans="2:8" ht="29" thickBot="1">
      <c r="B682" s="598" t="s">
        <v>423</v>
      </c>
      <c r="C682" s="210" t="s">
        <v>12</v>
      </c>
      <c r="D682" s="781">
        <v>-3741</v>
      </c>
      <c r="E682" s="781">
        <v>-11733</v>
      </c>
      <c r="F682" s="781">
        <v>-819</v>
      </c>
      <c r="G682" s="781">
        <v>-1505</v>
      </c>
      <c r="H682" s="781">
        <v>-3145</v>
      </c>
    </row>
    <row r="683" spans="2:8" ht="16" thickBot="1">
      <c r="B683" s="602" t="s">
        <v>138</v>
      </c>
      <c r="C683" s="417" t="s">
        <v>138</v>
      </c>
      <c r="D683" s="782">
        <v>116661</v>
      </c>
      <c r="E683" s="782">
        <v>54695</v>
      </c>
      <c r="F683" s="782">
        <v>17515</v>
      </c>
      <c r="G683" s="782">
        <v>17307</v>
      </c>
      <c r="H683" s="782">
        <v>20276</v>
      </c>
    </row>
    <row r="684" spans="2:8">
      <c r="B684" s="600"/>
      <c r="C684" s="208"/>
      <c r="D684" s="684"/>
      <c r="E684" s="684"/>
      <c r="F684" s="684"/>
      <c r="G684" s="684"/>
      <c r="H684" s="684"/>
    </row>
    <row r="685" spans="2:8" ht="29" thickBot="1">
      <c r="B685" s="600"/>
      <c r="C685" s="208" t="s">
        <v>15</v>
      </c>
      <c r="D685" s="684"/>
      <c r="E685" s="684"/>
      <c r="F685" s="684"/>
      <c r="G685" s="684"/>
      <c r="H685" s="684"/>
    </row>
    <row r="686" spans="2:8" ht="16" thickBot="1">
      <c r="B686" s="603" t="s">
        <v>424</v>
      </c>
      <c r="C686" s="604" t="s">
        <v>23</v>
      </c>
      <c r="D686" s="781">
        <v>116479</v>
      </c>
      <c r="E686" s="781">
        <v>50565</v>
      </c>
      <c r="F686" s="781">
        <v>6835</v>
      </c>
      <c r="G686" s="781">
        <v>7515</v>
      </c>
      <c r="H686" s="781">
        <v>10627</v>
      </c>
    </row>
    <row r="687" spans="2:8">
      <c r="B687" s="684"/>
      <c r="C687" s="684"/>
      <c r="D687" s="684"/>
      <c r="E687" s="684"/>
      <c r="F687" s="684"/>
      <c r="G687" s="684"/>
      <c r="H687" s="684"/>
    </row>
    <row r="688" spans="2:8">
      <c r="B688" s="684"/>
      <c r="C688" s="684"/>
      <c r="D688" s="684"/>
      <c r="E688" s="684"/>
      <c r="F688" s="684"/>
      <c r="G688" s="684"/>
      <c r="H688" s="684"/>
    </row>
    <row r="689" spans="2:8" ht="16" thickBot="1">
      <c r="B689" s="613" t="s">
        <v>356</v>
      </c>
      <c r="C689" s="408" t="s">
        <v>435</v>
      </c>
      <c r="D689" s="684">
        <v>2018</v>
      </c>
      <c r="E689" s="684">
        <v>2017</v>
      </c>
      <c r="F689" s="684">
        <v>2016</v>
      </c>
      <c r="G689" s="684">
        <v>2015</v>
      </c>
      <c r="H689" s="684">
        <v>2014</v>
      </c>
    </row>
    <row r="690" spans="2:8" ht="29" thickBot="1">
      <c r="B690" s="598" t="s">
        <v>421</v>
      </c>
      <c r="C690" s="211" t="s">
        <v>11</v>
      </c>
      <c r="D690" s="780">
        <v>881200</v>
      </c>
      <c r="E690" s="780">
        <v>838900</v>
      </c>
      <c r="F690" s="780">
        <v>764300</v>
      </c>
      <c r="G690" s="780">
        <v>961900</v>
      </c>
      <c r="H690" s="780">
        <v>1454500</v>
      </c>
    </row>
    <row r="691" spans="2:8" ht="16" thickBot="1">
      <c r="B691" s="600"/>
      <c r="C691" s="208" t="s">
        <v>2</v>
      </c>
      <c r="D691" s="780">
        <v>1237900</v>
      </c>
      <c r="E691" s="780">
        <v>1236100</v>
      </c>
      <c r="F691" s="780">
        <v>1211200</v>
      </c>
      <c r="G691" s="780">
        <v>1152000</v>
      </c>
      <c r="H691" s="780">
        <v>1251600</v>
      </c>
    </row>
    <row r="692" spans="2:8" ht="16" thickBot="1">
      <c r="B692" s="600"/>
      <c r="C692" s="208" t="s">
        <v>3</v>
      </c>
      <c r="D692" s="780">
        <v>425100</v>
      </c>
      <c r="E692" s="780">
        <v>367200</v>
      </c>
      <c r="F692" s="780">
        <v>246400</v>
      </c>
      <c r="G692" s="780">
        <v>298400</v>
      </c>
      <c r="H692" s="780">
        <v>409800</v>
      </c>
    </row>
    <row r="693" spans="2:8" ht="16" thickBot="1">
      <c r="B693" s="598" t="s">
        <v>422</v>
      </c>
      <c r="C693" s="206" t="s">
        <v>8</v>
      </c>
      <c r="D693" s="554">
        <f>SUM(D691:D692)</f>
        <v>1663000</v>
      </c>
      <c r="E693" s="554">
        <f>SUM(E691:E692)</f>
        <v>1603300</v>
      </c>
      <c r="F693" s="554">
        <f>SUM(F691:F692)</f>
        <v>1457600</v>
      </c>
      <c r="G693" s="554">
        <f>SUM(G691:G692)</f>
        <v>1450400</v>
      </c>
      <c r="H693" s="554">
        <f>SUM(H691:H692)</f>
        <v>1661400</v>
      </c>
    </row>
    <row r="694" spans="2:8" ht="29" thickBot="1">
      <c r="B694" s="598" t="s">
        <v>423</v>
      </c>
      <c r="C694" s="210" t="s">
        <v>12</v>
      </c>
      <c r="D694" s="780">
        <v>-87900</v>
      </c>
      <c r="E694" s="780">
        <v>-523400</v>
      </c>
      <c r="F694" s="780">
        <v>-294000</v>
      </c>
      <c r="G694" s="780">
        <v>-527900</v>
      </c>
      <c r="H694" s="780">
        <v>-50900</v>
      </c>
    </row>
    <row r="695" spans="2:8" ht="16" thickBot="1">
      <c r="B695" s="602" t="s">
        <v>138</v>
      </c>
      <c r="C695" s="417" t="s">
        <v>138</v>
      </c>
      <c r="D695" s="783">
        <v>2384800</v>
      </c>
      <c r="E695" s="783">
        <v>2482800</v>
      </c>
      <c r="F695" s="783">
        <v>2817000</v>
      </c>
      <c r="G695" s="783">
        <v>2914100</v>
      </c>
      <c r="H695" s="783">
        <v>3563000</v>
      </c>
    </row>
    <row r="696" spans="2:8">
      <c r="B696" s="600"/>
      <c r="C696" s="208"/>
      <c r="D696" s="554"/>
      <c r="E696" s="554"/>
      <c r="F696" s="554"/>
      <c r="G696" s="554"/>
      <c r="H696" s="554"/>
    </row>
    <row r="697" spans="2:8" ht="29" thickBot="1">
      <c r="B697" s="600"/>
      <c r="C697" s="208" t="s">
        <v>15</v>
      </c>
      <c r="D697" s="554"/>
      <c r="E697" s="554"/>
      <c r="F697" s="554"/>
      <c r="G697" s="554"/>
      <c r="H697" s="554"/>
    </row>
    <row r="698" spans="2:8" ht="16" thickBot="1">
      <c r="B698" s="603" t="s">
        <v>424</v>
      </c>
      <c r="C698" s="604" t="s">
        <v>23</v>
      </c>
      <c r="D698" s="780">
        <v>7218</v>
      </c>
      <c r="E698" s="780">
        <v>8795</v>
      </c>
      <c r="F698" s="780">
        <v>1359400</v>
      </c>
      <c r="G698" s="780">
        <v>1463700</v>
      </c>
      <c r="H698" s="780">
        <v>1901600</v>
      </c>
    </row>
    <row r="699" spans="2:8">
      <c r="B699" s="684"/>
      <c r="C699" s="684"/>
      <c r="D699" s="784"/>
      <c r="E699" s="784"/>
      <c r="F699" s="784"/>
      <c r="G699" s="784"/>
      <c r="H699" s="784"/>
    </row>
    <row r="700" spans="2:8">
      <c r="B700" s="684"/>
      <c r="C700" s="684"/>
      <c r="D700" s="784"/>
      <c r="E700" s="784"/>
      <c r="F700" s="784"/>
      <c r="G700" s="784"/>
      <c r="H700" s="784"/>
    </row>
    <row r="701" spans="2:8" ht="16" thickBot="1">
      <c r="B701" s="613" t="s">
        <v>1046</v>
      </c>
      <c r="C701" s="408" t="s">
        <v>435</v>
      </c>
      <c r="D701" s="684">
        <v>2018</v>
      </c>
      <c r="E701" s="684">
        <v>2017</v>
      </c>
      <c r="F701" s="684">
        <v>2016</v>
      </c>
      <c r="G701" s="684">
        <v>2015</v>
      </c>
      <c r="H701" s="684">
        <v>2014</v>
      </c>
    </row>
    <row r="702" spans="2:8" ht="29" thickBot="1">
      <c r="B702" s="598" t="s">
        <v>421</v>
      </c>
      <c r="C702" s="211" t="s">
        <v>11</v>
      </c>
      <c r="D702" s="780">
        <v>1841</v>
      </c>
      <c r="E702" s="780">
        <v>14860</v>
      </c>
      <c r="F702" s="780">
        <v>8933</v>
      </c>
      <c r="G702" s="780">
        <v>50397</v>
      </c>
      <c r="H702" s="780">
        <v>157873</v>
      </c>
    </row>
    <row r="703" spans="2:8" ht="16" thickBot="1">
      <c r="B703" s="600"/>
      <c r="C703" s="208" t="s">
        <v>2</v>
      </c>
      <c r="D703" s="781">
        <v>68354</v>
      </c>
      <c r="E703" s="781">
        <v>72229</v>
      </c>
      <c r="F703" s="781">
        <v>129466</v>
      </c>
      <c r="G703" s="781">
        <v>157208</v>
      </c>
      <c r="H703" s="781">
        <v>82369</v>
      </c>
    </row>
    <row r="704" spans="2:8" ht="16" thickBot="1">
      <c r="B704" s="600"/>
      <c r="C704" s="208" t="s">
        <v>3</v>
      </c>
      <c r="D704" s="781">
        <v>61910</v>
      </c>
      <c r="E704" s="781">
        <v>22533</v>
      </c>
      <c r="F704" s="781">
        <v>7773</v>
      </c>
      <c r="G704" s="781">
        <v>84904</v>
      </c>
      <c r="H704" s="781">
        <v>514805</v>
      </c>
    </row>
    <row r="705" spans="2:8" ht="16" thickBot="1">
      <c r="B705" s="598" t="s">
        <v>422</v>
      </c>
      <c r="C705" s="206" t="s">
        <v>8</v>
      </c>
      <c r="D705" s="785">
        <f>SUM(D703:D704)</f>
        <v>130264</v>
      </c>
      <c r="E705" s="785">
        <f>SUM(E703:E704)</f>
        <v>94762</v>
      </c>
      <c r="F705" s="785">
        <f>SUM(F703:F704)</f>
        <v>137239</v>
      </c>
      <c r="G705" s="785">
        <f>SUM(G703:G704)</f>
        <v>242112</v>
      </c>
      <c r="H705" s="785">
        <f>SUM(H703:H704)</f>
        <v>597174</v>
      </c>
    </row>
    <row r="706" spans="2:8" ht="29" thickBot="1">
      <c r="B706" s="598" t="s">
        <v>423</v>
      </c>
      <c r="C706" s="210" t="s">
        <v>12</v>
      </c>
      <c r="D706" s="780">
        <v>-16456</v>
      </c>
      <c r="E706" s="780">
        <v>-38490</v>
      </c>
      <c r="F706" s="780">
        <v>33643</v>
      </c>
      <c r="G706" s="780">
        <v>72191</v>
      </c>
      <c r="H706" s="780">
        <v>-391925</v>
      </c>
    </row>
    <row r="707" spans="2:8" ht="16" thickBot="1">
      <c r="B707" s="602" t="s">
        <v>138</v>
      </c>
      <c r="C707" s="417" t="s">
        <v>138</v>
      </c>
      <c r="D707" s="782">
        <v>124511</v>
      </c>
      <c r="E707" s="782">
        <v>111937</v>
      </c>
      <c r="F707" s="782">
        <v>187935</v>
      </c>
      <c r="G707" s="782">
        <v>258456</v>
      </c>
      <c r="H707" s="782">
        <v>489098</v>
      </c>
    </row>
    <row r="708" spans="2:8">
      <c r="B708" s="600"/>
      <c r="C708" s="208"/>
      <c r="D708" s="785"/>
      <c r="E708" s="785"/>
      <c r="F708" s="785"/>
      <c r="G708" s="785"/>
      <c r="H708" s="785"/>
    </row>
    <row r="709" spans="2:8" ht="29" thickBot="1">
      <c r="B709" s="600"/>
      <c r="C709" s="208" t="s">
        <v>15</v>
      </c>
      <c r="D709" s="785"/>
      <c r="E709" s="785"/>
      <c r="F709" s="785"/>
      <c r="G709" s="785"/>
      <c r="H709" s="785"/>
    </row>
    <row r="710" spans="2:8" ht="16" thickBot="1">
      <c r="B710" s="603" t="s">
        <v>424</v>
      </c>
      <c r="C710" s="604" t="s">
        <v>23</v>
      </c>
      <c r="D710" s="781">
        <v>-5754</v>
      </c>
      <c r="E710" s="781">
        <v>17174</v>
      </c>
      <c r="F710" s="781">
        <v>50696</v>
      </c>
      <c r="G710" s="781">
        <v>16345</v>
      </c>
      <c r="H710" s="781">
        <v>-108075</v>
      </c>
    </row>
    <row r="717" spans="2:8">
      <c r="B717" s="779" t="s">
        <v>141</v>
      </c>
      <c r="C717" s="684"/>
      <c r="D717" s="684"/>
      <c r="E717" s="684"/>
      <c r="F717" s="684"/>
      <c r="G717" s="684"/>
      <c r="H717" s="684"/>
    </row>
    <row r="718" spans="2:8" ht="16" thickBot="1">
      <c r="B718" s="613" t="s">
        <v>523</v>
      </c>
      <c r="C718" s="408" t="s">
        <v>435</v>
      </c>
      <c r="D718" s="684">
        <v>2017</v>
      </c>
      <c r="E718" s="684">
        <v>2016</v>
      </c>
      <c r="F718" s="684">
        <v>2015</v>
      </c>
      <c r="G718" s="684">
        <v>2014</v>
      </c>
      <c r="H718" s="684">
        <v>2013</v>
      </c>
    </row>
    <row r="719" spans="2:8" ht="29" thickBot="1">
      <c r="B719" s="598" t="s">
        <v>421</v>
      </c>
      <c r="C719" s="211" t="s">
        <v>11</v>
      </c>
      <c r="D719" s="780">
        <v>3951035</v>
      </c>
      <c r="E719" s="780">
        <v>3618097</v>
      </c>
      <c r="F719" s="780">
        <v>3167310</v>
      </c>
      <c r="G719" s="780">
        <v>3309341</v>
      </c>
      <c r="H719" s="780">
        <v>3634178</v>
      </c>
    </row>
    <row r="720" spans="2:8" ht="16" thickBot="1">
      <c r="B720" s="600"/>
      <c r="C720" s="208" t="s">
        <v>2</v>
      </c>
      <c r="D720" s="780">
        <v>49695</v>
      </c>
      <c r="E720" s="780">
        <v>156381</v>
      </c>
      <c r="F720" s="780">
        <v>165834</v>
      </c>
      <c r="G720" s="780">
        <v>184522</v>
      </c>
      <c r="H720" s="780">
        <v>205461</v>
      </c>
    </row>
    <row r="721" spans="2:8" ht="16" thickBot="1">
      <c r="B721" s="600"/>
      <c r="C721" s="208" t="s">
        <v>3</v>
      </c>
      <c r="D721" s="780">
        <v>1356151</v>
      </c>
      <c r="E721" s="780">
        <v>1033411</v>
      </c>
      <c r="F721" s="780">
        <v>99773</v>
      </c>
      <c r="G721" s="780">
        <v>1036810</v>
      </c>
      <c r="H721" s="780">
        <v>1053520</v>
      </c>
    </row>
    <row r="722" spans="2:8" ht="16" thickBot="1">
      <c r="B722" s="598" t="s">
        <v>422</v>
      </c>
      <c r="C722" s="206" t="s">
        <v>8</v>
      </c>
      <c r="D722" s="554">
        <f>SUM(D720:D721)</f>
        <v>1405846</v>
      </c>
      <c r="E722" s="554">
        <f>SUM(E720:E721)</f>
        <v>1189792</v>
      </c>
      <c r="F722" s="554">
        <f>SUM(F720:F721)</f>
        <v>265607</v>
      </c>
      <c r="G722" s="554">
        <f>SUM(G720:G721)</f>
        <v>1221332</v>
      </c>
      <c r="H722" s="554">
        <f>SUM(H720:H721)</f>
        <v>1258981</v>
      </c>
    </row>
    <row r="723" spans="2:8" ht="29" thickBot="1">
      <c r="B723" s="598" t="s">
        <v>423</v>
      </c>
      <c r="C723" s="210" t="s">
        <v>12</v>
      </c>
      <c r="D723" s="780">
        <v>66139</v>
      </c>
      <c r="E723" s="780">
        <v>59397</v>
      </c>
      <c r="F723" s="780">
        <v>44608</v>
      </c>
      <c r="G723" s="780">
        <v>57739</v>
      </c>
      <c r="H723" s="780">
        <v>44671</v>
      </c>
    </row>
    <row r="724" spans="2:8" ht="16" thickBot="1">
      <c r="B724" s="602" t="s">
        <v>138</v>
      </c>
      <c r="C724" s="417" t="s">
        <v>138</v>
      </c>
      <c r="D724" s="783">
        <v>1816687</v>
      </c>
      <c r="E724" s="783">
        <v>1561021</v>
      </c>
      <c r="F724" s="783">
        <v>1558570</v>
      </c>
      <c r="G724" s="783">
        <v>1699018</v>
      </c>
      <c r="H724" s="783">
        <v>1840033</v>
      </c>
    </row>
    <row r="725" spans="2:8">
      <c r="B725" s="600"/>
      <c r="C725" s="208"/>
      <c r="D725" s="554"/>
      <c r="E725" s="554"/>
      <c r="F725" s="554"/>
      <c r="G725" s="554"/>
      <c r="H725" s="554"/>
    </row>
    <row r="726" spans="2:8" ht="29" thickBot="1">
      <c r="B726" s="600"/>
      <c r="C726" s="208" t="s">
        <v>15</v>
      </c>
      <c r="D726" s="554"/>
      <c r="E726" s="554"/>
      <c r="F726" s="554"/>
      <c r="G726" s="554"/>
      <c r="H726" s="554"/>
    </row>
    <row r="727" spans="2:8" ht="16" thickBot="1">
      <c r="B727" s="603" t="s">
        <v>424</v>
      </c>
      <c r="C727" s="604" t="s">
        <v>23</v>
      </c>
      <c r="D727" s="780">
        <v>41084</v>
      </c>
      <c r="E727" s="780">
        <v>37123</v>
      </c>
      <c r="F727" s="780">
        <v>395006</v>
      </c>
      <c r="G727" s="780">
        <v>477685</v>
      </c>
      <c r="H727" s="780">
        <v>581053</v>
      </c>
    </row>
    <row r="728" spans="2:8">
      <c r="B728" s="684"/>
      <c r="C728" s="684"/>
      <c r="D728" s="684"/>
      <c r="E728" s="684"/>
      <c r="F728" s="684"/>
      <c r="G728" s="684"/>
      <c r="H728" s="684"/>
    </row>
    <row r="729" spans="2:8">
      <c r="B729" s="684"/>
      <c r="C729" s="684"/>
      <c r="D729" s="684"/>
      <c r="E729" s="684"/>
      <c r="F729" s="684"/>
      <c r="G729" s="684"/>
      <c r="H729" s="684"/>
    </row>
    <row r="730" spans="2:8" ht="16" thickBot="1">
      <c r="B730" s="613" t="s">
        <v>1047</v>
      </c>
      <c r="C730" s="408" t="s">
        <v>435</v>
      </c>
      <c r="D730" s="684">
        <v>2017</v>
      </c>
      <c r="E730" s="684">
        <v>2016</v>
      </c>
      <c r="F730" s="684">
        <v>2015</v>
      </c>
      <c r="G730" s="684">
        <v>2014</v>
      </c>
      <c r="H730" s="684">
        <v>2013</v>
      </c>
    </row>
    <row r="731" spans="2:8" ht="29" thickBot="1">
      <c r="B731" s="598" t="s">
        <v>421</v>
      </c>
      <c r="C731" s="211" t="s">
        <v>11</v>
      </c>
      <c r="D731" s="780">
        <v>19578</v>
      </c>
      <c r="E731" s="780">
        <v>154386</v>
      </c>
      <c r="F731" s="780">
        <v>140029</v>
      </c>
      <c r="G731" s="780">
        <v>152552</v>
      </c>
      <c r="H731" s="780">
        <v>183073</v>
      </c>
    </row>
    <row r="732" spans="2:8" ht="16" thickBot="1">
      <c r="B732" s="600"/>
      <c r="C732" s="208" t="s">
        <v>2</v>
      </c>
      <c r="D732" s="780">
        <v>27</v>
      </c>
      <c r="E732" s="780">
        <v>183</v>
      </c>
      <c r="F732" s="780">
        <v>32</v>
      </c>
      <c r="G732" s="780">
        <v>90</v>
      </c>
      <c r="H732" s="780">
        <v>0</v>
      </c>
    </row>
    <row r="733" spans="2:8" ht="16" thickBot="1">
      <c r="B733" s="600"/>
      <c r="C733" s="208" t="s">
        <v>3</v>
      </c>
      <c r="D733" s="780">
        <v>51579</v>
      </c>
      <c r="E733" s="780">
        <v>41552</v>
      </c>
      <c r="F733" s="780">
        <v>35336</v>
      </c>
      <c r="G733" s="780">
        <v>39416</v>
      </c>
      <c r="H733" s="780">
        <v>46975</v>
      </c>
    </row>
    <row r="734" spans="2:8" ht="16" thickBot="1">
      <c r="B734" s="598" t="s">
        <v>422</v>
      </c>
      <c r="C734" s="206" t="s">
        <v>8</v>
      </c>
      <c r="D734" s="554">
        <f>SUM(D732:D733)</f>
        <v>51606</v>
      </c>
      <c r="E734" s="554">
        <f>SUM(E732:E733)</f>
        <v>41735</v>
      </c>
      <c r="F734" s="554">
        <f>SUM(F732:F733)</f>
        <v>35368</v>
      </c>
      <c r="G734" s="554">
        <f>SUM(G732:G733)</f>
        <v>39506</v>
      </c>
      <c r="H734" s="554">
        <f>SUM(H732:H733)</f>
        <v>46975</v>
      </c>
    </row>
    <row r="735" spans="2:8" ht="29" thickBot="1">
      <c r="B735" s="598" t="s">
        <v>423</v>
      </c>
      <c r="C735" s="210" t="s">
        <v>12</v>
      </c>
      <c r="D735" s="780">
        <v>13475</v>
      </c>
      <c r="E735" s="780">
        <v>9152</v>
      </c>
      <c r="F735" s="780">
        <v>8359</v>
      </c>
      <c r="G735" s="780">
        <v>7502</v>
      </c>
      <c r="H735" s="780">
        <v>11296</v>
      </c>
    </row>
    <row r="736" spans="2:8" ht="16" thickBot="1">
      <c r="B736" s="602" t="s">
        <v>138</v>
      </c>
      <c r="C736" s="417" t="s">
        <v>138</v>
      </c>
      <c r="D736" s="783">
        <v>78452</v>
      </c>
      <c r="E736" s="783">
        <v>62171</v>
      </c>
      <c r="F736" s="783">
        <v>55189</v>
      </c>
      <c r="G736" s="783">
        <v>6017</v>
      </c>
      <c r="H736" s="783">
        <v>73263</v>
      </c>
    </row>
    <row r="737" spans="2:8">
      <c r="B737" s="600"/>
      <c r="C737" s="208"/>
      <c r="D737" s="554"/>
      <c r="E737" s="554"/>
      <c r="F737" s="554"/>
      <c r="G737" s="554"/>
      <c r="H737" s="554"/>
    </row>
    <row r="738" spans="2:8" ht="29" thickBot="1">
      <c r="B738" s="600"/>
      <c r="C738" s="208" t="s">
        <v>15</v>
      </c>
      <c r="D738" s="554"/>
      <c r="E738" s="554"/>
      <c r="F738" s="554"/>
      <c r="G738" s="554"/>
      <c r="H738" s="554"/>
    </row>
    <row r="739" spans="2:8" ht="16" thickBot="1">
      <c r="B739" s="603" t="s">
        <v>424</v>
      </c>
      <c r="C739" s="604" t="s">
        <v>23</v>
      </c>
      <c r="D739" s="780">
        <v>26846</v>
      </c>
      <c r="E739" s="780">
        <v>20436</v>
      </c>
      <c r="F739" s="780">
        <v>1982</v>
      </c>
      <c r="G739" s="780">
        <v>20664</v>
      </c>
      <c r="H739" s="780">
        <v>26288</v>
      </c>
    </row>
    <row r="740" spans="2:8">
      <c r="B740" s="684"/>
      <c r="C740" s="684"/>
      <c r="D740" s="684"/>
      <c r="E740" s="684"/>
      <c r="F740" s="684"/>
      <c r="G740" s="684"/>
      <c r="H740" s="684"/>
    </row>
    <row r="741" spans="2:8">
      <c r="B741" s="684"/>
      <c r="C741" s="684"/>
      <c r="D741" s="684"/>
      <c r="E741" s="684"/>
      <c r="F741" s="684"/>
      <c r="G741" s="684"/>
      <c r="H741" s="684"/>
    </row>
    <row r="742" spans="2:8" ht="16" thickBot="1">
      <c r="B742" s="613" t="s">
        <v>1048</v>
      </c>
      <c r="C742" s="408" t="s">
        <v>435</v>
      </c>
      <c r="D742" s="684">
        <v>2017</v>
      </c>
      <c r="E742" s="684">
        <v>2016</v>
      </c>
      <c r="F742" s="684">
        <v>2015</v>
      </c>
      <c r="G742" s="684">
        <v>2014</v>
      </c>
      <c r="H742" s="684">
        <v>2013</v>
      </c>
    </row>
    <row r="743" spans="2:8" ht="29" thickBot="1">
      <c r="B743" s="598" t="s">
        <v>421</v>
      </c>
      <c r="C743" s="211" t="s">
        <v>11</v>
      </c>
      <c r="D743" s="781">
        <v>57859</v>
      </c>
      <c r="E743" s="781">
        <v>49279</v>
      </c>
      <c r="F743" s="781">
        <v>4942</v>
      </c>
      <c r="G743" s="781">
        <v>59199</v>
      </c>
      <c r="H743" s="781">
        <v>76512</v>
      </c>
    </row>
    <row r="744" spans="2:8" ht="16" thickBot="1">
      <c r="B744" s="600"/>
      <c r="C744" s="208" t="s">
        <v>2</v>
      </c>
      <c r="D744" s="781">
        <v>828</v>
      </c>
      <c r="E744" s="781">
        <v>2356</v>
      </c>
      <c r="F744" s="781">
        <v>2557</v>
      </c>
      <c r="G744" s="781">
        <v>2158</v>
      </c>
      <c r="H744" s="781">
        <v>2603</v>
      </c>
    </row>
    <row r="745" spans="2:8" ht="16" thickBot="1">
      <c r="B745" s="600"/>
      <c r="C745" s="208" t="s">
        <v>3</v>
      </c>
      <c r="D745" s="781">
        <v>19042</v>
      </c>
      <c r="E745" s="781">
        <v>15600</v>
      </c>
      <c r="F745" s="781">
        <v>15686</v>
      </c>
      <c r="G745" s="781">
        <v>18435</v>
      </c>
      <c r="H745" s="781">
        <v>19298</v>
      </c>
    </row>
    <row r="746" spans="2:8" ht="16" thickBot="1">
      <c r="B746" s="598" t="s">
        <v>422</v>
      </c>
      <c r="C746" s="206" t="s">
        <v>8</v>
      </c>
      <c r="D746" s="554">
        <f>SUM(D744:D745)</f>
        <v>19870</v>
      </c>
      <c r="E746" s="554">
        <f>SUM(E744:E745)</f>
        <v>17956</v>
      </c>
      <c r="F746" s="554">
        <f>SUM(F744:F745)</f>
        <v>18243</v>
      </c>
      <c r="G746" s="554">
        <f>SUM(G744:G745)</f>
        <v>20593</v>
      </c>
      <c r="H746" s="554">
        <f>SUM(H744:H745)</f>
        <v>21901</v>
      </c>
    </row>
    <row r="747" spans="2:8" ht="29" thickBot="1">
      <c r="B747" s="598" t="s">
        <v>423</v>
      </c>
      <c r="C747" s="210" t="s">
        <v>12</v>
      </c>
      <c r="D747" s="781">
        <v>3610</v>
      </c>
      <c r="E747" s="781">
        <v>2936</v>
      </c>
      <c r="F747" s="781">
        <v>1483</v>
      </c>
      <c r="G747" s="781">
        <v>-656</v>
      </c>
      <c r="H747" s="781">
        <v>2599</v>
      </c>
    </row>
    <row r="748" spans="2:8" ht="16" thickBot="1">
      <c r="B748" s="602" t="s">
        <v>138</v>
      </c>
      <c r="C748" s="417" t="s">
        <v>138</v>
      </c>
      <c r="D748" s="782">
        <v>26038</v>
      </c>
      <c r="E748" s="782">
        <v>24257</v>
      </c>
      <c r="F748" s="782">
        <v>24417</v>
      </c>
      <c r="G748" s="782">
        <v>27843</v>
      </c>
      <c r="H748" s="782">
        <v>36199</v>
      </c>
    </row>
    <row r="749" spans="2:8">
      <c r="B749" s="600"/>
      <c r="C749" s="208"/>
      <c r="D749" s="554"/>
      <c r="E749" s="554"/>
      <c r="F749" s="554"/>
      <c r="G749" s="554"/>
      <c r="H749" s="554"/>
    </row>
    <row r="750" spans="2:8" ht="29" thickBot="1">
      <c r="B750" s="600"/>
      <c r="C750" s="208" t="s">
        <v>15</v>
      </c>
      <c r="D750" s="554"/>
      <c r="E750" s="554"/>
      <c r="F750" s="554"/>
      <c r="G750" s="554"/>
      <c r="H750" s="554"/>
    </row>
    <row r="751" spans="2:8" ht="16" thickBot="1">
      <c r="B751" s="603" t="s">
        <v>424</v>
      </c>
      <c r="C751" s="604" t="s">
        <v>23</v>
      </c>
      <c r="D751" s="781">
        <v>6168</v>
      </c>
      <c r="E751" s="781">
        <v>6301</v>
      </c>
      <c r="F751" s="781">
        <v>6175</v>
      </c>
      <c r="G751" s="781">
        <v>7250</v>
      </c>
      <c r="H751" s="781">
        <v>14299</v>
      </c>
    </row>
    <row r="752" spans="2:8">
      <c r="B752" s="684"/>
      <c r="C752" s="684"/>
      <c r="D752" s="684"/>
      <c r="E752" s="684"/>
      <c r="F752" s="684"/>
      <c r="G752" s="684"/>
      <c r="H752" s="684"/>
    </row>
    <row r="753" spans="2:8">
      <c r="B753" s="684"/>
      <c r="C753" s="684"/>
      <c r="D753" s="684"/>
      <c r="E753" s="684"/>
      <c r="F753" s="684"/>
      <c r="G753" s="684"/>
      <c r="H753" s="684"/>
    </row>
    <row r="754" spans="2:8" ht="16" thickBot="1">
      <c r="B754" s="613" t="s">
        <v>1049</v>
      </c>
      <c r="C754" s="408" t="s">
        <v>435</v>
      </c>
      <c r="D754" s="684">
        <v>2017</v>
      </c>
      <c r="E754" s="684">
        <v>2016</v>
      </c>
      <c r="F754" s="684">
        <v>2015</v>
      </c>
      <c r="G754" s="684">
        <v>2014</v>
      </c>
      <c r="H754" s="684">
        <v>2013</v>
      </c>
    </row>
    <row r="755" spans="2:8" ht="29" thickBot="1">
      <c r="B755" s="598" t="s">
        <v>421</v>
      </c>
      <c r="C755" s="211" t="s">
        <v>11</v>
      </c>
      <c r="D755" s="786">
        <v>2148</v>
      </c>
      <c r="E755" s="786">
        <v>752</v>
      </c>
      <c r="F755" s="786">
        <v>559</v>
      </c>
      <c r="G755" s="786">
        <v>55487</v>
      </c>
      <c r="H755" s="786">
        <v>6922</v>
      </c>
    </row>
    <row r="756" spans="2:8" ht="16" thickBot="1">
      <c r="B756" s="600"/>
      <c r="C756" s="208" t="s">
        <v>2</v>
      </c>
      <c r="D756" s="786">
        <v>110</v>
      </c>
      <c r="E756" s="786">
        <v>149</v>
      </c>
      <c r="F756" s="786">
        <v>0</v>
      </c>
      <c r="G756" s="786">
        <v>2513</v>
      </c>
      <c r="H756" s="786">
        <v>58</v>
      </c>
    </row>
    <row r="757" spans="2:8" ht="16" thickBot="1">
      <c r="B757" s="600"/>
      <c r="C757" s="208" t="s">
        <v>3</v>
      </c>
      <c r="D757" s="786">
        <v>2921</v>
      </c>
      <c r="E757" s="786">
        <v>394</v>
      </c>
      <c r="F757" s="786">
        <v>656</v>
      </c>
      <c r="G757" s="786">
        <v>20097</v>
      </c>
      <c r="H757" s="786">
        <v>25287</v>
      </c>
    </row>
    <row r="758" spans="2:8" ht="16" thickBot="1">
      <c r="B758" s="598" t="s">
        <v>422</v>
      </c>
      <c r="C758" s="206" t="s">
        <v>8</v>
      </c>
      <c r="D758" s="787">
        <f>SUM(D756:D757)</f>
        <v>3031</v>
      </c>
      <c r="E758" s="787">
        <f>SUM(E756:E757)</f>
        <v>543</v>
      </c>
      <c r="F758" s="787">
        <f>SUM(F756:F757)</f>
        <v>656</v>
      </c>
      <c r="G758" s="787">
        <f>SUM(G756:G757)</f>
        <v>22610</v>
      </c>
      <c r="H758" s="787">
        <f>SUM(H756:H757)</f>
        <v>25345</v>
      </c>
    </row>
    <row r="759" spans="2:8" ht="29" thickBot="1">
      <c r="B759" s="598" t="s">
        <v>423</v>
      </c>
      <c r="C759" s="210" t="s">
        <v>12</v>
      </c>
      <c r="D759" s="786">
        <v>-5784</v>
      </c>
      <c r="E759" s="786">
        <v>-4870</v>
      </c>
      <c r="F759" s="786">
        <v>-2097</v>
      </c>
      <c r="G759" s="786">
        <v>-2311</v>
      </c>
      <c r="H759" s="786">
        <v>-370</v>
      </c>
    </row>
    <row r="760" spans="2:8" ht="16" thickBot="1">
      <c r="B760" s="602" t="s">
        <v>138</v>
      </c>
      <c r="C760" s="417" t="s">
        <v>138</v>
      </c>
      <c r="D760" s="788">
        <v>5046</v>
      </c>
      <c r="E760" s="788">
        <v>1152</v>
      </c>
      <c r="F760" s="788">
        <v>646</v>
      </c>
      <c r="G760" s="788">
        <v>51572</v>
      </c>
      <c r="H760" s="788">
        <v>68875</v>
      </c>
    </row>
    <row r="761" spans="2:8">
      <c r="B761" s="600"/>
      <c r="C761" s="208"/>
      <c r="D761" s="787"/>
      <c r="E761" s="787"/>
      <c r="F761" s="787"/>
      <c r="G761" s="787"/>
      <c r="H761" s="787"/>
    </row>
    <row r="762" spans="2:8" ht="29" thickBot="1">
      <c r="B762" s="600"/>
      <c r="C762" s="208" t="s">
        <v>15</v>
      </c>
      <c r="D762" s="787"/>
      <c r="E762" s="787"/>
      <c r="F762" s="787"/>
      <c r="G762" s="787"/>
      <c r="H762" s="787"/>
    </row>
    <row r="763" spans="2:8" ht="16" thickBot="1">
      <c r="B763" s="603" t="s">
        <v>424</v>
      </c>
      <c r="C763" s="604" t="s">
        <v>23</v>
      </c>
      <c r="D763" s="786">
        <v>2014</v>
      </c>
      <c r="E763" s="786">
        <v>-2938</v>
      </c>
      <c r="F763" s="786">
        <v>-10</v>
      </c>
      <c r="G763" s="786">
        <v>28962</v>
      </c>
      <c r="H763" s="786">
        <v>37788</v>
      </c>
    </row>
    <row r="769" spans="2:8">
      <c r="B769" s="684">
        <v>2015</v>
      </c>
      <c r="C769" s="684"/>
      <c r="D769" s="684"/>
      <c r="E769" s="684"/>
      <c r="F769" s="684"/>
      <c r="G769" s="684"/>
      <c r="H769" s="684"/>
    </row>
    <row r="770" spans="2:8">
      <c r="B770" s="779" t="s">
        <v>143</v>
      </c>
      <c r="C770" s="684"/>
      <c r="D770" s="684"/>
      <c r="E770" s="684"/>
      <c r="F770" s="684"/>
      <c r="G770" s="684"/>
      <c r="H770" s="684"/>
    </row>
    <row r="771" spans="2:8" ht="16" thickBot="1">
      <c r="B771" s="613" t="s">
        <v>1050</v>
      </c>
      <c r="C771" s="408" t="s">
        <v>435</v>
      </c>
      <c r="D771" s="684">
        <v>2017</v>
      </c>
      <c r="E771" s="684">
        <v>2016</v>
      </c>
      <c r="F771" s="684">
        <v>2015</v>
      </c>
      <c r="G771" s="684">
        <v>2014</v>
      </c>
      <c r="H771" s="684">
        <v>2013</v>
      </c>
    </row>
    <row r="772" spans="2:8" ht="29" thickBot="1">
      <c r="B772" s="598" t="s">
        <v>421</v>
      </c>
      <c r="C772" s="211" t="s">
        <v>11</v>
      </c>
      <c r="D772" s="781">
        <v>660479</v>
      </c>
      <c r="E772" s="781">
        <v>589931</v>
      </c>
      <c r="F772" s="781">
        <v>525452</v>
      </c>
      <c r="G772" s="781">
        <v>573195</v>
      </c>
      <c r="H772" s="781">
        <v>617926</v>
      </c>
    </row>
    <row r="773" spans="2:8" ht="16" thickBot="1">
      <c r="B773" s="600"/>
      <c r="C773" s="208" t="s">
        <v>2</v>
      </c>
      <c r="D773" s="781">
        <v>206946</v>
      </c>
      <c r="E773" s="781">
        <v>196487</v>
      </c>
      <c r="F773" s="781">
        <v>194163</v>
      </c>
      <c r="G773" s="781">
        <v>214823</v>
      </c>
      <c r="H773" s="781">
        <v>303115</v>
      </c>
    </row>
    <row r="774" spans="2:8" ht="16" thickBot="1">
      <c r="B774" s="600"/>
      <c r="C774" s="208" t="s">
        <v>3</v>
      </c>
      <c r="D774" s="781">
        <v>13217</v>
      </c>
      <c r="E774" s="781">
        <v>119997</v>
      </c>
      <c r="F774" s="781">
        <v>97044</v>
      </c>
      <c r="G774" s="781">
        <v>130169</v>
      </c>
      <c r="H774" s="781">
        <v>143051</v>
      </c>
    </row>
    <row r="775" spans="2:8" ht="16" thickBot="1">
      <c r="B775" s="598" t="s">
        <v>422</v>
      </c>
      <c r="C775" s="206" t="s">
        <v>8</v>
      </c>
      <c r="D775" s="787">
        <f>SUM(D773:D774)</f>
        <v>220163</v>
      </c>
      <c r="E775" s="787">
        <f>SUM(E773:E774)</f>
        <v>316484</v>
      </c>
      <c r="F775" s="787">
        <f>SUM(F773:F774)</f>
        <v>291207</v>
      </c>
      <c r="G775" s="787">
        <f>SUM(G773:G774)</f>
        <v>344992</v>
      </c>
      <c r="H775" s="787">
        <f>SUM(H773:H774)</f>
        <v>446166</v>
      </c>
    </row>
    <row r="776" spans="2:8" ht="29" thickBot="1">
      <c r="B776" s="598" t="s">
        <v>423</v>
      </c>
      <c r="C776" s="210" t="s">
        <v>12</v>
      </c>
      <c r="D776" s="781">
        <v>47479</v>
      </c>
      <c r="E776" s="781">
        <v>47989</v>
      </c>
      <c r="F776" s="781">
        <v>31508</v>
      </c>
      <c r="G776" s="781">
        <v>20093</v>
      </c>
      <c r="H776" s="781">
        <v>16311</v>
      </c>
    </row>
    <row r="777" spans="2:8" ht="16" thickBot="1">
      <c r="B777" s="602" t="s">
        <v>138</v>
      </c>
      <c r="C777" s="417" t="s">
        <v>138</v>
      </c>
      <c r="D777" s="782">
        <v>554005</v>
      </c>
      <c r="E777" s="782">
        <v>514671</v>
      </c>
      <c r="F777" s="782">
        <v>464699</v>
      </c>
      <c r="G777" s="782">
        <v>507119</v>
      </c>
      <c r="H777" s="782">
        <v>605885</v>
      </c>
    </row>
    <row r="778" spans="2:8">
      <c r="B778" s="600"/>
      <c r="C778" s="208"/>
      <c r="D778" s="787"/>
      <c r="E778" s="787"/>
      <c r="F778" s="787"/>
      <c r="G778" s="787"/>
      <c r="H778" s="787"/>
    </row>
    <row r="779" spans="2:8" ht="29" thickBot="1">
      <c r="B779" s="600"/>
      <c r="C779" s="208" t="s">
        <v>15</v>
      </c>
      <c r="D779" s="787"/>
      <c r="E779" s="787"/>
      <c r="F779" s="787"/>
      <c r="G779" s="787"/>
      <c r="H779" s="787"/>
    </row>
    <row r="780" spans="2:8" ht="16" thickBot="1">
      <c r="B780" s="603" t="s">
        <v>424</v>
      </c>
      <c r="C780" s="604" t="s">
        <v>23</v>
      </c>
      <c r="D780" s="781">
        <v>214888</v>
      </c>
      <c r="E780" s="781">
        <v>198187</v>
      </c>
      <c r="F780" s="781">
        <v>173492</v>
      </c>
      <c r="G780" s="781">
        <v>162127</v>
      </c>
      <c r="H780" s="781">
        <v>159719</v>
      </c>
    </row>
    <row r="781" spans="2:8">
      <c r="B781" s="684"/>
      <c r="C781" s="684"/>
      <c r="D781" s="684"/>
      <c r="E781" s="684"/>
      <c r="F781" s="684"/>
      <c r="G781" s="684"/>
      <c r="H781" s="684"/>
    </row>
    <row r="782" spans="2:8">
      <c r="B782" s="684" t="s">
        <v>1051</v>
      </c>
      <c r="C782" s="684"/>
      <c r="D782" s="684"/>
      <c r="E782" s="684"/>
      <c r="F782" s="684"/>
      <c r="G782" s="684"/>
      <c r="H782" s="684"/>
    </row>
    <row r="783" spans="2:8">
      <c r="B783" s="613" t="s">
        <v>653</v>
      </c>
      <c r="C783" s="408" t="s">
        <v>487</v>
      </c>
      <c r="D783" s="684">
        <v>2017</v>
      </c>
      <c r="E783" s="684">
        <v>2016</v>
      </c>
      <c r="F783" s="684">
        <v>2015</v>
      </c>
      <c r="G783" s="684">
        <v>2014</v>
      </c>
      <c r="H783" s="684">
        <v>2013</v>
      </c>
    </row>
    <row r="784" spans="2:8" ht="29" thickBot="1">
      <c r="B784" s="598" t="s">
        <v>421</v>
      </c>
      <c r="C784" s="211" t="s">
        <v>11</v>
      </c>
      <c r="D784" s="225">
        <v>8709000</v>
      </c>
      <c r="E784" s="226">
        <v>7813000</v>
      </c>
      <c r="F784" s="225">
        <v>6486000</v>
      </c>
      <c r="G784" s="226">
        <v>5212000</v>
      </c>
      <c r="H784" s="225">
        <v>4008421</v>
      </c>
    </row>
    <row r="785" spans="1:8" ht="16" thickBot="1">
      <c r="B785" s="600"/>
      <c r="C785" s="208" t="s">
        <v>2</v>
      </c>
      <c r="D785" s="225">
        <v>1131000</v>
      </c>
      <c r="E785" s="226">
        <v>1102000</v>
      </c>
      <c r="F785" s="225">
        <v>1177000</v>
      </c>
      <c r="G785" s="226">
        <v>1149000</v>
      </c>
      <c r="H785" s="225">
        <v>2747291</v>
      </c>
    </row>
    <row r="786" spans="1:8" ht="16" thickBot="1">
      <c r="B786" s="600"/>
      <c r="C786" s="208" t="s">
        <v>3</v>
      </c>
      <c r="D786" s="781"/>
      <c r="E786" s="781"/>
      <c r="F786" s="781"/>
      <c r="G786" s="781"/>
      <c r="H786" s="781"/>
    </row>
    <row r="787" spans="1:8" ht="16" thickBot="1">
      <c r="B787" s="598" t="s">
        <v>422</v>
      </c>
      <c r="C787" s="206" t="s">
        <v>8</v>
      </c>
      <c r="D787" s="225">
        <v>3849000</v>
      </c>
      <c r="E787" s="226">
        <v>3065000</v>
      </c>
      <c r="F787" s="225">
        <v>2473000</v>
      </c>
      <c r="G787" s="226">
        <v>2114000</v>
      </c>
      <c r="H787" s="225">
        <v>3660621</v>
      </c>
    </row>
    <row r="788" spans="1:8" ht="29" thickBot="1">
      <c r="B788" s="598" t="s">
        <v>423</v>
      </c>
      <c r="C788" s="210" t="s">
        <v>12</v>
      </c>
      <c r="D788" s="237">
        <v>512000</v>
      </c>
      <c r="E788" s="237">
        <v>516000</v>
      </c>
      <c r="F788" s="237">
        <v>427000</v>
      </c>
      <c r="G788" s="237">
        <v>263000</v>
      </c>
      <c r="H788" s="238">
        <v>125981</v>
      </c>
    </row>
    <row r="789" spans="1:8" ht="16" thickBot="1">
      <c r="B789" s="602" t="s">
        <v>138</v>
      </c>
      <c r="C789" s="417" t="s">
        <v>138</v>
      </c>
      <c r="D789" s="225">
        <v>7695000</v>
      </c>
      <c r="E789" s="226">
        <v>6673000</v>
      </c>
      <c r="F789" s="225">
        <v>5839000</v>
      </c>
      <c r="G789" s="226">
        <v>5333000</v>
      </c>
      <c r="H789" s="225">
        <v>4834102</v>
      </c>
    </row>
    <row r="790" spans="1:8">
      <c r="B790" s="600"/>
      <c r="C790" s="208"/>
      <c r="D790" s="787"/>
      <c r="E790" s="787"/>
      <c r="F790" s="787"/>
      <c r="G790" s="787"/>
      <c r="H790" s="787"/>
    </row>
    <row r="791" spans="1:8" ht="28">
      <c r="B791" s="600"/>
      <c r="C791" s="208" t="s">
        <v>15</v>
      </c>
      <c r="D791" s="787"/>
      <c r="E791" s="787"/>
      <c r="F791" s="787"/>
      <c r="G791" s="787"/>
      <c r="H791" s="787"/>
    </row>
    <row r="792" spans="1:8" ht="16" thickBot="1">
      <c r="B792" s="603" t="s">
        <v>424</v>
      </c>
      <c r="C792" s="604" t="s">
        <v>23</v>
      </c>
      <c r="D792" s="225">
        <v>3846000</v>
      </c>
      <c r="E792" s="226">
        <v>3608000</v>
      </c>
      <c r="F792" s="225">
        <v>3366000</v>
      </c>
      <c r="G792" s="226">
        <v>3219000</v>
      </c>
      <c r="H792" s="225">
        <v>1173481</v>
      </c>
    </row>
    <row r="797" spans="1:8">
      <c r="A797" s="691" t="s">
        <v>1052</v>
      </c>
      <c r="B797" s="684"/>
      <c r="C797" s="684"/>
      <c r="D797" s="684"/>
      <c r="E797" s="684"/>
      <c r="F797" s="684"/>
      <c r="G797" s="684"/>
      <c r="H797" s="684"/>
    </row>
    <row r="798" spans="1:8">
      <c r="A798" s="691" t="s">
        <v>199</v>
      </c>
      <c r="B798" s="684"/>
      <c r="C798" s="778"/>
      <c r="D798" s="778">
        <v>2006</v>
      </c>
      <c r="E798" s="219" t="s">
        <v>329</v>
      </c>
      <c r="F798" s="219" t="s">
        <v>330</v>
      </c>
      <c r="G798" s="219" t="s">
        <v>331</v>
      </c>
      <c r="H798" s="219" t="s">
        <v>332</v>
      </c>
    </row>
    <row r="799" spans="1:8" ht="18">
      <c r="A799" s="684"/>
      <c r="B799" s="685" t="s">
        <v>151</v>
      </c>
      <c r="C799" s="202" t="s">
        <v>246</v>
      </c>
      <c r="D799" s="687">
        <v>366449</v>
      </c>
      <c r="E799" s="687">
        <v>237534</v>
      </c>
      <c r="F799" s="687">
        <v>178475</v>
      </c>
      <c r="G799" s="687">
        <v>118841</v>
      </c>
      <c r="H799" s="687">
        <v>127927</v>
      </c>
    </row>
    <row r="800" spans="1:8">
      <c r="A800" s="684"/>
      <c r="B800" s="684"/>
      <c r="C800" s="778"/>
      <c r="D800" s="234"/>
      <c r="E800" s="234"/>
      <c r="F800" s="234"/>
      <c r="G800" s="234"/>
      <c r="H800" s="234"/>
    </row>
    <row r="801" spans="1:8" ht="28">
      <c r="A801" s="684"/>
      <c r="B801" s="685" t="s">
        <v>499</v>
      </c>
      <c r="C801" s="211" t="s">
        <v>247</v>
      </c>
      <c r="D801" s="687">
        <v>393043</v>
      </c>
      <c r="E801" s="687">
        <v>267156</v>
      </c>
      <c r="F801" s="687">
        <v>240406</v>
      </c>
      <c r="G801" s="687">
        <v>179328</v>
      </c>
      <c r="H801" s="687">
        <v>174171</v>
      </c>
    </row>
    <row r="802" spans="1:8">
      <c r="A802" s="684"/>
      <c r="B802" s="684"/>
      <c r="C802" s="208" t="s">
        <v>248</v>
      </c>
      <c r="D802" s="686"/>
      <c r="E802" s="686"/>
      <c r="F802" s="686"/>
      <c r="G802" s="686"/>
      <c r="H802" s="686"/>
    </row>
    <row r="803" spans="1:8">
      <c r="A803" s="684"/>
      <c r="B803" s="684"/>
      <c r="C803" s="208" t="s">
        <v>249</v>
      </c>
      <c r="D803" s="686"/>
      <c r="E803" s="686"/>
      <c r="F803" s="686"/>
      <c r="G803" s="686"/>
      <c r="H803" s="686"/>
    </row>
    <row r="804" spans="1:8" ht="18">
      <c r="A804" s="684"/>
      <c r="B804" s="685" t="s">
        <v>500</v>
      </c>
      <c r="C804" s="657" t="s">
        <v>250</v>
      </c>
      <c r="D804" s="687">
        <v>130727</v>
      </c>
      <c r="E804" s="687">
        <v>85430</v>
      </c>
      <c r="F804" s="687">
        <v>68417</v>
      </c>
      <c r="G804" s="687">
        <v>43328</v>
      </c>
      <c r="H804" s="687">
        <v>46577</v>
      </c>
    </row>
    <row r="805" spans="1:8" ht="28">
      <c r="A805" s="684"/>
      <c r="B805" s="685" t="s">
        <v>501</v>
      </c>
      <c r="C805" s="210" t="s">
        <v>251</v>
      </c>
      <c r="D805" s="687">
        <v>38215</v>
      </c>
      <c r="E805" s="687">
        <v>8261</v>
      </c>
      <c r="F805" s="687">
        <v>7836</v>
      </c>
      <c r="G805" s="687">
        <v>-7173</v>
      </c>
      <c r="H805" s="687">
        <v>-94695</v>
      </c>
    </row>
    <row r="806" spans="1:8" ht="28">
      <c r="A806" s="684"/>
      <c r="B806" s="684"/>
      <c r="C806" s="208" t="s">
        <v>252</v>
      </c>
      <c r="D806" s="235"/>
      <c r="E806" s="235"/>
      <c r="F806" s="235"/>
      <c r="G806" s="235"/>
      <c r="H806" s="235"/>
    </row>
    <row r="807" spans="1:8" ht="28">
      <c r="A807" s="684"/>
      <c r="B807" s="684" t="s">
        <v>1053</v>
      </c>
      <c r="C807" s="208" t="s">
        <v>253</v>
      </c>
      <c r="D807" s="687">
        <v>42235</v>
      </c>
      <c r="E807" s="687">
        <v>16187</v>
      </c>
      <c r="F807" s="687">
        <v>0</v>
      </c>
      <c r="G807" s="687">
        <v>0</v>
      </c>
      <c r="H807" s="687">
        <v>74</v>
      </c>
    </row>
    <row r="808" spans="1:8" ht="28">
      <c r="A808" s="684"/>
      <c r="B808" s="684"/>
      <c r="C808" s="208" t="s">
        <v>254</v>
      </c>
      <c r="D808" s="235"/>
      <c r="E808" s="235"/>
      <c r="F808" s="235"/>
      <c r="G808" s="235"/>
      <c r="H808" s="235"/>
    </row>
    <row r="809" spans="1:8" ht="18">
      <c r="A809" s="684"/>
      <c r="B809" s="685" t="s">
        <v>502</v>
      </c>
      <c r="C809" s="659" t="s">
        <v>255</v>
      </c>
      <c r="D809" s="687">
        <v>235722</v>
      </c>
      <c r="E809" s="687">
        <v>152104</v>
      </c>
      <c r="F809" s="687">
        <v>110058</v>
      </c>
      <c r="G809" s="687">
        <v>75513</v>
      </c>
      <c r="H809" s="687">
        <v>81350</v>
      </c>
    </row>
    <row r="810" spans="1:8">
      <c r="A810" s="684"/>
      <c r="B810" s="684"/>
      <c r="C810" s="684"/>
      <c r="D810" s="684"/>
      <c r="E810" s="684"/>
      <c r="F810" s="684"/>
      <c r="G810" s="684"/>
      <c r="H810" s="684"/>
    </row>
    <row r="811" spans="1:8">
      <c r="A811" s="684"/>
      <c r="B811" s="684"/>
      <c r="C811" s="684"/>
      <c r="D811" s="684"/>
      <c r="E811" s="684"/>
      <c r="F811" s="684"/>
      <c r="G811" s="684"/>
      <c r="H811" s="684"/>
    </row>
    <row r="812" spans="1:8">
      <c r="A812" s="691" t="s">
        <v>1054</v>
      </c>
      <c r="B812" s="684"/>
      <c r="C812" s="684"/>
      <c r="D812" s="684"/>
      <c r="E812" s="684"/>
      <c r="F812" s="684"/>
      <c r="G812" s="684"/>
      <c r="H812" s="684"/>
    </row>
    <row r="813" spans="1:8">
      <c r="A813" s="691" t="s">
        <v>199</v>
      </c>
      <c r="B813" s="684"/>
      <c r="C813" s="778"/>
      <c r="D813" s="778">
        <v>2006</v>
      </c>
      <c r="E813" s="219" t="s">
        <v>329</v>
      </c>
      <c r="F813" s="219" t="s">
        <v>330</v>
      </c>
      <c r="G813" s="219" t="s">
        <v>331</v>
      </c>
      <c r="H813" s="219" t="s">
        <v>332</v>
      </c>
    </row>
    <row r="814" spans="1:8" ht="18">
      <c r="A814" s="684"/>
      <c r="B814" s="685" t="s">
        <v>151</v>
      </c>
      <c r="C814" s="202" t="s">
        <v>246</v>
      </c>
      <c r="D814" s="687">
        <v>148376000</v>
      </c>
      <c r="E814" s="687">
        <v>124395000</v>
      </c>
      <c r="F814" s="687">
        <v>88094000</v>
      </c>
      <c r="G814" s="687">
        <v>86110000</v>
      </c>
      <c r="H814" s="687">
        <v>89458000</v>
      </c>
    </row>
    <row r="815" spans="1:8">
      <c r="A815" s="684"/>
      <c r="B815" s="684"/>
      <c r="C815" s="778"/>
      <c r="D815" s="234"/>
      <c r="E815" s="234"/>
      <c r="F815" s="234"/>
      <c r="G815" s="234"/>
      <c r="H815" s="234"/>
    </row>
    <row r="816" spans="1:8" ht="28">
      <c r="A816" s="684"/>
      <c r="B816" s="685" t="s">
        <v>499</v>
      </c>
      <c r="C816" s="211" t="s">
        <v>247</v>
      </c>
      <c r="D816" s="687">
        <v>91077000</v>
      </c>
      <c r="E816" s="687">
        <v>68927000</v>
      </c>
      <c r="F816" s="687">
        <v>61302000</v>
      </c>
      <c r="G816" s="687">
        <v>53121000</v>
      </c>
      <c r="H816" s="687">
        <v>48826000</v>
      </c>
    </row>
    <row r="817" spans="1:8">
      <c r="A817" s="684"/>
      <c r="B817" s="684"/>
      <c r="C817" s="208" t="s">
        <v>248</v>
      </c>
      <c r="D817" s="686"/>
      <c r="E817" s="686"/>
      <c r="F817" s="686"/>
      <c r="G817" s="686"/>
      <c r="H817" s="686"/>
    </row>
    <row r="818" spans="1:8">
      <c r="A818" s="684"/>
      <c r="B818" s="684"/>
      <c r="C818" s="208" t="s">
        <v>249</v>
      </c>
      <c r="D818" s="686"/>
      <c r="E818" s="686"/>
      <c r="F818" s="686"/>
      <c r="G818" s="686"/>
      <c r="H818" s="686"/>
    </row>
    <row r="819" spans="1:8" ht="18">
      <c r="A819" s="684"/>
      <c r="B819" s="685" t="s">
        <v>500</v>
      </c>
      <c r="C819" s="657" t="s">
        <v>250</v>
      </c>
      <c r="D819" s="687">
        <v>85648000</v>
      </c>
      <c r="E819" s="687">
        <v>70862000</v>
      </c>
      <c r="F819" s="687">
        <v>46426000</v>
      </c>
      <c r="G819" s="687">
        <v>45227000</v>
      </c>
      <c r="H819" s="687">
        <v>52170000</v>
      </c>
    </row>
    <row r="820" spans="1:8" ht="28">
      <c r="A820" s="684"/>
      <c r="B820" s="685" t="s">
        <v>501</v>
      </c>
      <c r="C820" s="210" t="s">
        <v>251</v>
      </c>
      <c r="D820" s="687">
        <v>15920000</v>
      </c>
      <c r="E820" s="687">
        <v>7646000</v>
      </c>
      <c r="F820" s="687">
        <v>6602000</v>
      </c>
      <c r="G820" s="687">
        <v>5050000</v>
      </c>
      <c r="H820" s="687">
        <v>-4656000</v>
      </c>
    </row>
    <row r="821" spans="1:8" ht="28">
      <c r="A821" s="684"/>
      <c r="B821" s="684"/>
      <c r="C821" s="208" t="s">
        <v>252</v>
      </c>
      <c r="D821" s="235"/>
      <c r="E821" s="235"/>
      <c r="F821" s="235"/>
      <c r="G821" s="235"/>
      <c r="H821" s="235"/>
    </row>
    <row r="822" spans="1:8" ht="28">
      <c r="A822" s="684"/>
      <c r="B822" s="684" t="s">
        <v>1053</v>
      </c>
      <c r="C822" s="208" t="s">
        <v>253</v>
      </c>
      <c r="D822" s="687">
        <v>47855000</v>
      </c>
      <c r="E822" s="687">
        <v>33756000</v>
      </c>
      <c r="F822" s="687">
        <v>24294000</v>
      </c>
      <c r="G822" s="687">
        <v>27775000</v>
      </c>
      <c r="H822" s="687">
        <v>30454000</v>
      </c>
    </row>
    <row r="823" spans="1:8" ht="28">
      <c r="A823" s="684"/>
      <c r="B823" s="684"/>
      <c r="C823" s="208" t="s">
        <v>254</v>
      </c>
      <c r="D823" s="235"/>
      <c r="E823" s="235"/>
      <c r="F823" s="235"/>
      <c r="G823" s="235"/>
      <c r="H823" s="235"/>
    </row>
    <row r="824" spans="1:8" ht="18">
      <c r="A824" s="684"/>
      <c r="B824" s="685" t="s">
        <v>502</v>
      </c>
      <c r="C824" s="659" t="s">
        <v>255</v>
      </c>
      <c r="D824" s="687">
        <v>62728000</v>
      </c>
      <c r="E824" s="687">
        <v>53533000</v>
      </c>
      <c r="F824" s="687">
        <v>41668000</v>
      </c>
      <c r="G824" s="687">
        <v>40883000</v>
      </c>
      <c r="H824" s="687">
        <v>37288000</v>
      </c>
    </row>
    <row r="825" spans="1:8">
      <c r="A825" s="684"/>
      <c r="B825" s="684"/>
      <c r="C825" s="684"/>
      <c r="D825" s="684"/>
      <c r="E825" s="684"/>
      <c r="F825" s="684"/>
      <c r="G825" s="684"/>
      <c r="H825" s="684"/>
    </row>
    <row r="826" spans="1:8">
      <c r="A826" s="684"/>
      <c r="B826" s="684"/>
      <c r="C826" s="684"/>
      <c r="D826" s="684"/>
      <c r="E826" s="684"/>
      <c r="F826" s="684"/>
      <c r="G826" s="684"/>
      <c r="H826" s="684"/>
    </row>
    <row r="827" spans="1:8">
      <c r="A827" s="691" t="s">
        <v>1055</v>
      </c>
      <c r="B827" s="684"/>
      <c r="C827" s="684"/>
      <c r="D827" s="684"/>
      <c r="E827" s="684"/>
      <c r="F827" s="684"/>
      <c r="G827" s="684"/>
      <c r="H827" s="684"/>
    </row>
    <row r="828" spans="1:8">
      <c r="A828" s="691" t="s">
        <v>199</v>
      </c>
      <c r="B828" s="684"/>
      <c r="C828" s="778"/>
      <c r="D828" s="778">
        <v>2010</v>
      </c>
      <c r="E828" s="219" t="s">
        <v>179</v>
      </c>
      <c r="F828" s="219" t="s">
        <v>180</v>
      </c>
      <c r="G828" s="219" t="s">
        <v>181</v>
      </c>
      <c r="H828" s="219" t="s">
        <v>182</v>
      </c>
    </row>
    <row r="829" spans="1:8" ht="18">
      <c r="A829" s="684"/>
      <c r="B829" s="685" t="s">
        <v>151</v>
      </c>
      <c r="C829" s="202" t="s">
        <v>246</v>
      </c>
      <c r="D829" s="687">
        <v>1214062</v>
      </c>
      <c r="E829" s="687">
        <v>1124847</v>
      </c>
      <c r="F829" s="687">
        <v>817723</v>
      </c>
      <c r="G829" s="687">
        <v>877645</v>
      </c>
      <c r="H829" s="687">
        <v>817406</v>
      </c>
    </row>
    <row r="830" spans="1:8">
      <c r="A830" s="684"/>
      <c r="B830" s="684"/>
      <c r="C830" s="778"/>
      <c r="D830" s="234"/>
      <c r="E830" s="234"/>
      <c r="F830" s="234"/>
      <c r="G830" s="234"/>
      <c r="H830" s="234"/>
    </row>
    <row r="831" spans="1:8" ht="28">
      <c r="A831" s="684"/>
      <c r="B831" s="685" t="s">
        <v>499</v>
      </c>
      <c r="C831" s="211" t="s">
        <v>247</v>
      </c>
      <c r="D831" s="687">
        <v>7769865</v>
      </c>
      <c r="E831" s="687">
        <v>6402624</v>
      </c>
      <c r="F831" s="687">
        <v>4973140</v>
      </c>
      <c r="G831" s="687">
        <v>5274686</v>
      </c>
      <c r="H831" s="688">
        <v>4675847</v>
      </c>
    </row>
    <row r="832" spans="1:8">
      <c r="A832" s="684"/>
      <c r="B832" s="684"/>
      <c r="C832" s="208" t="s">
        <v>248</v>
      </c>
      <c r="D832" s="686"/>
      <c r="E832" s="686"/>
      <c r="F832" s="686"/>
      <c r="G832" s="686"/>
      <c r="H832" s="686"/>
    </row>
    <row r="833" spans="1:8">
      <c r="A833" s="684"/>
      <c r="B833" s="684"/>
      <c r="C833" s="208" t="s">
        <v>249</v>
      </c>
      <c r="D833" s="686"/>
      <c r="E833" s="686"/>
      <c r="F833" s="686"/>
      <c r="G833" s="686"/>
      <c r="H833" s="686"/>
    </row>
    <row r="834" spans="1:8" ht="18">
      <c r="A834" s="684"/>
      <c r="B834" s="685" t="s">
        <v>500</v>
      </c>
      <c r="C834" s="657" t="s">
        <v>250</v>
      </c>
      <c r="D834" s="687">
        <v>1089454</v>
      </c>
      <c r="E834" s="687">
        <v>1000239</v>
      </c>
      <c r="F834" s="687">
        <v>694258</v>
      </c>
      <c r="G834" s="687">
        <v>736551</v>
      </c>
      <c r="H834" s="687">
        <v>676737</v>
      </c>
    </row>
    <row r="835" spans="1:8" ht="28">
      <c r="A835" s="684"/>
      <c r="B835" s="685" t="s">
        <v>501</v>
      </c>
      <c r="C835" s="210" t="s">
        <v>251</v>
      </c>
      <c r="D835" s="687">
        <v>148969</v>
      </c>
      <c r="E835" s="687">
        <v>138183</v>
      </c>
      <c r="F835" s="687">
        <v>78509</v>
      </c>
      <c r="G835" s="687">
        <v>68825</v>
      </c>
      <c r="H835" s="687">
        <v>67496</v>
      </c>
    </row>
    <row r="836" spans="1:8" ht="28">
      <c r="A836" s="684"/>
      <c r="B836" s="684"/>
      <c r="C836" s="208" t="s">
        <v>252</v>
      </c>
      <c r="D836" s="235"/>
      <c r="E836" s="235"/>
      <c r="F836" s="235"/>
      <c r="G836" s="235"/>
      <c r="H836" s="235"/>
    </row>
    <row r="837" spans="1:8" ht="28">
      <c r="A837" s="684"/>
      <c r="B837" s="684" t="s">
        <v>1053</v>
      </c>
      <c r="C837" s="208" t="s">
        <v>253</v>
      </c>
      <c r="D837" s="687">
        <v>1870</v>
      </c>
      <c r="E837" s="687">
        <v>0</v>
      </c>
      <c r="F837" s="687">
        <v>0</v>
      </c>
      <c r="G837" s="687">
        <v>0</v>
      </c>
      <c r="H837" s="688">
        <v>0</v>
      </c>
    </row>
    <row r="838" spans="1:8" ht="28">
      <c r="A838" s="684"/>
      <c r="B838" s="684"/>
      <c r="C838" s="208" t="s">
        <v>254</v>
      </c>
      <c r="D838" s="235"/>
      <c r="E838" s="235"/>
      <c r="F838" s="235"/>
      <c r="G838" s="235"/>
      <c r="H838" s="235"/>
    </row>
    <row r="839" spans="1:8" ht="18">
      <c r="A839" s="684"/>
      <c r="B839" s="685" t="s">
        <v>502</v>
      </c>
      <c r="C839" s="659" t="s">
        <v>255</v>
      </c>
      <c r="D839" s="687">
        <v>124608</v>
      </c>
      <c r="E839" s="687">
        <v>124608</v>
      </c>
      <c r="F839" s="687">
        <v>123465</v>
      </c>
      <c r="G839" s="687">
        <v>141094</v>
      </c>
      <c r="H839" s="687">
        <v>140669</v>
      </c>
    </row>
    <row r="840" spans="1:8">
      <c r="A840" s="684"/>
      <c r="B840" s="684"/>
      <c r="C840" s="684"/>
      <c r="D840" s="684"/>
      <c r="E840" s="684"/>
      <c r="F840" s="684"/>
      <c r="G840" s="684"/>
      <c r="H840" s="684"/>
    </row>
    <row r="841" spans="1:8">
      <c r="A841" s="684"/>
      <c r="B841" s="684"/>
      <c r="C841" s="684"/>
      <c r="D841" s="684"/>
      <c r="E841" s="684"/>
      <c r="F841" s="684"/>
      <c r="G841" s="684"/>
      <c r="H841" s="684"/>
    </row>
    <row r="842" spans="1:8">
      <c r="A842" s="691" t="s">
        <v>1056</v>
      </c>
      <c r="B842" s="684"/>
      <c r="C842" s="684"/>
      <c r="D842" s="684"/>
      <c r="E842" s="684"/>
      <c r="F842" s="684"/>
      <c r="G842" s="684"/>
      <c r="H842" s="684"/>
    </row>
    <row r="843" spans="1:8">
      <c r="A843" s="691" t="s">
        <v>199</v>
      </c>
      <c r="B843" s="684"/>
      <c r="C843" s="778"/>
      <c r="D843" s="778">
        <v>2010</v>
      </c>
      <c r="E843" s="219" t="s">
        <v>179</v>
      </c>
      <c r="F843" s="219" t="s">
        <v>180</v>
      </c>
      <c r="G843" s="219" t="s">
        <v>181</v>
      </c>
      <c r="H843" s="219" t="s">
        <v>182</v>
      </c>
    </row>
    <row r="844" spans="1:8" ht="18">
      <c r="A844" s="684"/>
      <c r="B844" s="685" t="s">
        <v>151</v>
      </c>
      <c r="C844" s="202" t="s">
        <v>246</v>
      </c>
      <c r="D844" s="687">
        <v>165135</v>
      </c>
      <c r="E844" s="687">
        <v>182221</v>
      </c>
      <c r="F844" s="687">
        <v>230110</v>
      </c>
      <c r="G844" s="687">
        <v>230734</v>
      </c>
      <c r="H844" s="687">
        <v>199956</v>
      </c>
    </row>
    <row r="845" spans="1:8">
      <c r="A845" s="684"/>
      <c r="B845" s="684"/>
      <c r="C845" s="778"/>
      <c r="D845" s="234"/>
      <c r="E845" s="234"/>
      <c r="F845" s="234"/>
      <c r="G845" s="234"/>
      <c r="H845" s="234"/>
    </row>
    <row r="846" spans="1:8" ht="28">
      <c r="A846" s="684"/>
      <c r="B846" s="685" t="s">
        <v>499</v>
      </c>
      <c r="C846" s="211" t="s">
        <v>247</v>
      </c>
      <c r="D846" s="687">
        <v>186413</v>
      </c>
      <c r="E846" s="687">
        <v>281762</v>
      </c>
      <c r="F846" s="687">
        <v>314427</v>
      </c>
      <c r="G846" s="687">
        <v>265064</v>
      </c>
      <c r="H846" s="687">
        <v>203665</v>
      </c>
    </row>
    <row r="847" spans="1:8">
      <c r="A847" s="684"/>
      <c r="B847" s="684"/>
      <c r="C847" s="208" t="s">
        <v>248</v>
      </c>
      <c r="D847" s="686"/>
      <c r="E847" s="686"/>
      <c r="F847" s="686"/>
      <c r="G847" s="686"/>
      <c r="H847" s="686"/>
    </row>
    <row r="848" spans="1:8">
      <c r="A848" s="684"/>
      <c r="B848" s="684"/>
      <c r="C848" s="208" t="s">
        <v>249</v>
      </c>
      <c r="D848" s="686"/>
      <c r="E848" s="686"/>
      <c r="F848" s="686"/>
      <c r="G848" s="686"/>
      <c r="H848" s="686"/>
    </row>
    <row r="849" spans="1:8" ht="18">
      <c r="A849" s="684"/>
      <c r="B849" s="685" t="s">
        <v>500</v>
      </c>
      <c r="C849" s="657" t="s">
        <v>250</v>
      </c>
      <c r="D849" s="687">
        <v>54287</v>
      </c>
      <c r="E849" s="687">
        <v>85818</v>
      </c>
      <c r="F849" s="687">
        <v>138550</v>
      </c>
      <c r="G849" s="687">
        <v>159635</v>
      </c>
      <c r="H849" s="687">
        <v>133512</v>
      </c>
    </row>
    <row r="850" spans="1:8" ht="28">
      <c r="A850" s="684"/>
      <c r="B850" s="685" t="s">
        <v>501</v>
      </c>
      <c r="C850" s="210" t="s">
        <v>251</v>
      </c>
      <c r="D850" s="687">
        <v>6931</v>
      </c>
      <c r="E850" s="687">
        <v>9084</v>
      </c>
      <c r="F850" s="687">
        <v>23538</v>
      </c>
      <c r="G850" s="687">
        <v>7515</v>
      </c>
      <c r="H850" s="687">
        <v>6958</v>
      </c>
    </row>
    <row r="851" spans="1:8" ht="28">
      <c r="A851" s="684"/>
      <c r="B851" s="684"/>
      <c r="C851" s="208" t="s">
        <v>252</v>
      </c>
      <c r="D851" s="235"/>
      <c r="E851" s="235"/>
      <c r="F851" s="235"/>
      <c r="G851" s="235"/>
      <c r="H851" s="235"/>
    </row>
    <row r="852" spans="1:8" ht="28">
      <c r="A852" s="684"/>
      <c r="B852" s="684" t="s">
        <v>1053</v>
      </c>
      <c r="C852" s="208" t="s">
        <v>253</v>
      </c>
      <c r="D852" s="687">
        <v>7959</v>
      </c>
      <c r="E852" s="687">
        <v>28687</v>
      </c>
      <c r="F852" s="687">
        <v>54582</v>
      </c>
      <c r="G852" s="687">
        <v>88798</v>
      </c>
      <c r="H852" s="687">
        <v>78966</v>
      </c>
    </row>
    <row r="853" spans="1:8" ht="28">
      <c r="A853" s="684"/>
      <c r="B853" s="684"/>
      <c r="C853" s="208" t="s">
        <v>254</v>
      </c>
      <c r="D853" s="235"/>
      <c r="E853" s="235"/>
      <c r="F853" s="235"/>
      <c r="G853" s="235"/>
      <c r="H853" s="235"/>
    </row>
    <row r="854" spans="1:8" ht="18">
      <c r="A854" s="684"/>
      <c r="B854" s="685" t="s">
        <v>502</v>
      </c>
      <c r="C854" s="659" t="s">
        <v>255</v>
      </c>
      <c r="D854" s="687">
        <v>110846</v>
      </c>
      <c r="E854" s="687">
        <v>96403</v>
      </c>
      <c r="F854" s="687">
        <v>91560</v>
      </c>
      <c r="G854" s="687">
        <v>71098</v>
      </c>
      <c r="H854" s="687">
        <v>66445</v>
      </c>
    </row>
    <row r="855" spans="1:8">
      <c r="A855" s="684"/>
      <c r="B855" s="684"/>
      <c r="C855" s="684"/>
      <c r="D855" s="684"/>
      <c r="E855" s="684"/>
      <c r="F855" s="684"/>
      <c r="G855" s="684"/>
      <c r="H855" s="684"/>
    </row>
    <row r="856" spans="1:8">
      <c r="A856" s="684"/>
      <c r="B856" s="684"/>
      <c r="C856" s="684"/>
      <c r="D856" s="684"/>
      <c r="E856" s="684"/>
      <c r="F856" s="684"/>
      <c r="G856" s="684"/>
      <c r="H856" s="684"/>
    </row>
    <row r="857" spans="1:8">
      <c r="A857" s="691" t="s">
        <v>1057</v>
      </c>
      <c r="B857" s="684"/>
      <c r="C857" s="684"/>
      <c r="D857" s="684"/>
      <c r="E857" s="684"/>
      <c r="F857" s="684"/>
      <c r="G857" s="684"/>
      <c r="H857" s="684"/>
    </row>
    <row r="858" spans="1:8">
      <c r="A858" s="691" t="s">
        <v>199</v>
      </c>
      <c r="B858" s="684"/>
      <c r="C858" s="778"/>
      <c r="D858" s="778">
        <v>2010</v>
      </c>
      <c r="E858" s="219" t="s">
        <v>179</v>
      </c>
      <c r="F858" s="219" t="s">
        <v>180</v>
      </c>
      <c r="G858" s="219" t="s">
        <v>181</v>
      </c>
      <c r="H858" s="219" t="s">
        <v>182</v>
      </c>
    </row>
    <row r="859" spans="1:8" ht="18">
      <c r="A859" s="684"/>
      <c r="B859" s="685" t="s">
        <v>151</v>
      </c>
      <c r="C859" s="202" t="s">
        <v>246</v>
      </c>
      <c r="D859" s="687">
        <v>2406800</v>
      </c>
      <c r="E859" s="687">
        <v>2564644</v>
      </c>
      <c r="F859" s="687">
        <v>2368455</v>
      </c>
      <c r="G859" s="687">
        <v>1529764</v>
      </c>
      <c r="H859" s="687">
        <v>783280</v>
      </c>
    </row>
    <row r="860" spans="1:8">
      <c r="A860" s="684"/>
      <c r="B860" s="684"/>
      <c r="C860" s="778"/>
      <c r="D860" s="234"/>
      <c r="E860" s="234"/>
      <c r="F860" s="234"/>
      <c r="G860" s="234"/>
      <c r="H860" s="234"/>
    </row>
    <row r="861" spans="1:8" ht="28">
      <c r="A861" s="684"/>
      <c r="B861" s="685" t="s">
        <v>499</v>
      </c>
      <c r="C861" s="211" t="s">
        <v>247</v>
      </c>
      <c r="D861" s="687">
        <v>14793</v>
      </c>
      <c r="E861" s="687">
        <v>15400</v>
      </c>
      <c r="F861" s="687">
        <v>20279</v>
      </c>
      <c r="G861" s="687">
        <v>22982</v>
      </c>
      <c r="H861" s="687">
        <v>29799</v>
      </c>
    </row>
    <row r="862" spans="1:8">
      <c r="A862" s="684"/>
      <c r="B862" s="684"/>
      <c r="C862" s="208" t="s">
        <v>248</v>
      </c>
      <c r="D862" s="686"/>
      <c r="E862" s="686"/>
      <c r="F862" s="686"/>
      <c r="G862" s="686"/>
      <c r="H862" s="686"/>
    </row>
    <row r="863" spans="1:8">
      <c r="A863" s="684"/>
      <c r="B863" s="684"/>
      <c r="C863" s="208" t="s">
        <v>249</v>
      </c>
      <c r="D863" s="686"/>
      <c r="E863" s="686"/>
      <c r="F863" s="686"/>
      <c r="G863" s="686"/>
      <c r="H863" s="686"/>
    </row>
    <row r="864" spans="1:8" ht="18">
      <c r="A864" s="684"/>
      <c r="B864" s="685" t="s">
        <v>500</v>
      </c>
      <c r="C864" s="657" t="s">
        <v>250</v>
      </c>
      <c r="D864" s="687">
        <v>1148958</v>
      </c>
      <c r="E864" s="687">
        <v>1318046</v>
      </c>
      <c r="F864" s="687">
        <v>1440858</v>
      </c>
      <c r="G864" s="687">
        <v>330664</v>
      </c>
      <c r="H864" s="687">
        <v>287036</v>
      </c>
    </row>
    <row r="865" spans="1:8" ht="28">
      <c r="A865" s="684"/>
      <c r="B865" s="685" t="s">
        <v>501</v>
      </c>
      <c r="C865" s="210" t="s">
        <v>251</v>
      </c>
      <c r="D865" s="687">
        <v>154500</v>
      </c>
      <c r="E865" s="687">
        <v>110611</v>
      </c>
      <c r="F865" s="687">
        <v>-273679</v>
      </c>
      <c r="G865" s="687">
        <v>25994</v>
      </c>
      <c r="H865" s="687">
        <v>3039</v>
      </c>
    </row>
    <row r="866" spans="1:8" ht="28">
      <c r="A866" s="684"/>
      <c r="B866" s="684"/>
      <c r="C866" s="208" t="s">
        <v>252</v>
      </c>
      <c r="D866" s="235"/>
      <c r="E866" s="235"/>
      <c r="F866" s="235"/>
      <c r="G866" s="235"/>
      <c r="H866" s="235"/>
    </row>
    <row r="867" spans="1:8" ht="28">
      <c r="A867" s="684"/>
      <c r="B867" s="684" t="s">
        <v>1053</v>
      </c>
      <c r="C867" s="208" t="s">
        <v>253</v>
      </c>
      <c r="D867" s="687">
        <v>648352</v>
      </c>
      <c r="E867" s="687">
        <v>704292</v>
      </c>
      <c r="F867" s="687">
        <v>809739</v>
      </c>
      <c r="G867" s="687">
        <v>69346</v>
      </c>
      <c r="H867" s="687">
        <v>108934</v>
      </c>
    </row>
    <row r="868" spans="1:8" ht="28">
      <c r="A868" s="684"/>
      <c r="B868" s="684"/>
      <c r="C868" s="208" t="s">
        <v>254</v>
      </c>
      <c r="D868" s="235"/>
      <c r="E868" s="235"/>
      <c r="F868" s="235"/>
      <c r="G868" s="235"/>
      <c r="H868" s="235"/>
    </row>
    <row r="869" spans="1:8" ht="18">
      <c r="A869" s="684"/>
      <c r="B869" s="685" t="s">
        <v>502</v>
      </c>
      <c r="C869" s="659" t="s">
        <v>255</v>
      </c>
      <c r="D869" s="687">
        <v>1257842</v>
      </c>
      <c r="E869" s="687">
        <v>1246599</v>
      </c>
      <c r="F869" s="687">
        <v>927598</v>
      </c>
      <c r="G869" s="687">
        <v>1199099</v>
      </c>
      <c r="H869" s="687">
        <v>496245</v>
      </c>
    </row>
    <row r="870" spans="1:8">
      <c r="A870" s="684"/>
      <c r="B870" s="684"/>
      <c r="C870" s="684"/>
      <c r="D870" s="684"/>
      <c r="E870" s="684"/>
      <c r="F870" s="684"/>
      <c r="G870" s="684"/>
      <c r="H870" s="684"/>
    </row>
    <row r="871" spans="1:8">
      <c r="A871" s="684"/>
      <c r="B871" s="684"/>
      <c r="C871" s="684"/>
      <c r="D871" s="684"/>
      <c r="E871" s="684"/>
      <c r="F871" s="684"/>
      <c r="G871" s="684"/>
      <c r="H871" s="684"/>
    </row>
    <row r="872" spans="1:8">
      <c r="A872" s="691" t="s">
        <v>1058</v>
      </c>
      <c r="B872" s="684"/>
      <c r="C872" s="684"/>
      <c r="D872" s="684"/>
      <c r="E872" s="684"/>
      <c r="F872" s="684"/>
      <c r="G872" s="684"/>
      <c r="H872" s="684"/>
    </row>
    <row r="873" spans="1:8">
      <c r="A873" s="691" t="s">
        <v>199</v>
      </c>
      <c r="B873" s="684"/>
      <c r="C873" s="778"/>
      <c r="D873" s="778">
        <v>2010</v>
      </c>
      <c r="E873" s="219" t="s">
        <v>179</v>
      </c>
      <c r="F873" s="219" t="s">
        <v>180</v>
      </c>
      <c r="G873" s="219" t="s">
        <v>181</v>
      </c>
      <c r="H873" s="219" t="s">
        <v>182</v>
      </c>
    </row>
    <row r="874" spans="1:8" ht="18">
      <c r="A874" s="684"/>
      <c r="B874" s="685" t="s">
        <v>151</v>
      </c>
      <c r="C874" s="202" t="s">
        <v>246</v>
      </c>
      <c r="D874" s="687">
        <v>4622900</v>
      </c>
      <c r="E874" s="687">
        <v>4081805</v>
      </c>
      <c r="F874" s="687">
        <v>3753606</v>
      </c>
      <c r="G874" s="687">
        <v>3414</v>
      </c>
      <c r="H874" s="687">
        <v>3200064</v>
      </c>
    </row>
    <row r="875" spans="1:8">
      <c r="A875" s="684"/>
      <c r="B875" s="684"/>
      <c r="C875" s="778"/>
      <c r="D875" s="234"/>
      <c r="E875" s="234"/>
      <c r="F875" s="234"/>
      <c r="G875" s="234"/>
      <c r="H875" s="234"/>
    </row>
    <row r="876" spans="1:8" ht="28">
      <c r="A876" s="684"/>
      <c r="B876" s="685" t="s">
        <v>499</v>
      </c>
      <c r="C876" s="211" t="s">
        <v>247</v>
      </c>
      <c r="D876" s="687">
        <v>101177</v>
      </c>
      <c r="E876" s="687">
        <v>96656</v>
      </c>
      <c r="F876" s="687">
        <v>98511</v>
      </c>
      <c r="G876" s="687">
        <v>95</v>
      </c>
      <c r="H876" s="687">
        <v>88467</v>
      </c>
    </row>
    <row r="877" spans="1:8">
      <c r="A877" s="684"/>
      <c r="B877" s="684"/>
      <c r="C877" s="208" t="s">
        <v>248</v>
      </c>
      <c r="D877" s="686"/>
      <c r="E877" s="686"/>
      <c r="F877" s="686"/>
      <c r="G877" s="686"/>
      <c r="H877" s="686"/>
    </row>
    <row r="878" spans="1:8">
      <c r="A878" s="684"/>
      <c r="B878" s="684"/>
      <c r="C878" s="208" t="s">
        <v>249</v>
      </c>
      <c r="D878" s="686"/>
      <c r="E878" s="686"/>
      <c r="F878" s="686"/>
      <c r="G878" s="686"/>
      <c r="H878" s="686"/>
    </row>
    <row r="879" spans="1:8" ht="18">
      <c r="A879" s="684"/>
      <c r="B879" s="685" t="s">
        <v>500</v>
      </c>
      <c r="C879" s="657" t="s">
        <v>250</v>
      </c>
      <c r="D879" s="687">
        <v>4296398</v>
      </c>
      <c r="E879" s="687">
        <v>3779975</v>
      </c>
      <c r="F879" s="687">
        <v>3469031</v>
      </c>
      <c r="G879" s="687">
        <v>3135</v>
      </c>
      <c r="H879" s="687">
        <v>2935317</v>
      </c>
    </row>
    <row r="880" spans="1:8" ht="28">
      <c r="A880" s="684"/>
      <c r="B880" s="685" t="s">
        <v>501</v>
      </c>
      <c r="C880" s="210" t="s">
        <v>251</v>
      </c>
      <c r="D880" s="687">
        <v>30919</v>
      </c>
      <c r="E880" s="687">
        <v>25073</v>
      </c>
      <c r="F880" s="687">
        <v>19717</v>
      </c>
      <c r="G880" s="687">
        <v>24</v>
      </c>
      <c r="H880" s="687">
        <v>26540</v>
      </c>
    </row>
    <row r="881" spans="1:8" ht="28">
      <c r="A881" s="684"/>
      <c r="B881" s="684"/>
      <c r="C881" s="208" t="s">
        <v>252</v>
      </c>
      <c r="D881" s="235"/>
      <c r="E881" s="235"/>
      <c r="F881" s="235"/>
      <c r="G881" s="235"/>
      <c r="H881" s="235"/>
    </row>
    <row r="882" spans="1:8" ht="28">
      <c r="A882" s="684"/>
      <c r="B882" s="684" t="s">
        <v>1053</v>
      </c>
      <c r="C882" s="208" t="s">
        <v>253</v>
      </c>
      <c r="D882" s="687">
        <v>116347</v>
      </c>
      <c r="E882" s="687">
        <v>118030</v>
      </c>
      <c r="F882" s="687">
        <v>118326</v>
      </c>
      <c r="G882" s="687">
        <v>118</v>
      </c>
      <c r="H882" s="687">
        <v>97408</v>
      </c>
    </row>
    <row r="883" spans="1:8" ht="28">
      <c r="A883" s="684"/>
      <c r="B883" s="684"/>
      <c r="C883" s="208" t="s">
        <v>254</v>
      </c>
      <c r="D883" s="235"/>
      <c r="E883" s="235"/>
      <c r="F883" s="235"/>
      <c r="G883" s="235"/>
      <c r="H883" s="235"/>
    </row>
    <row r="884" spans="1:8" ht="18">
      <c r="A884" s="684"/>
      <c r="B884" s="685" t="s">
        <v>502</v>
      </c>
      <c r="C884" s="659" t="s">
        <v>255</v>
      </c>
      <c r="D884" s="687">
        <v>326502</v>
      </c>
      <c r="E884" s="687">
        <v>301830</v>
      </c>
      <c r="F884" s="687">
        <v>284575</v>
      </c>
      <c r="G884" s="687">
        <v>279</v>
      </c>
      <c r="H884" s="687">
        <v>264747</v>
      </c>
    </row>
    <row r="885" spans="1:8">
      <c r="A885" s="684"/>
      <c r="B885" s="684"/>
      <c r="C885" s="684"/>
      <c r="D885" s="684"/>
      <c r="E885" s="684"/>
      <c r="F885" s="684"/>
      <c r="G885" s="684"/>
      <c r="H885" s="684"/>
    </row>
    <row r="886" spans="1:8">
      <c r="A886" s="684"/>
      <c r="B886" s="684"/>
      <c r="C886" s="684"/>
      <c r="D886" s="684"/>
      <c r="E886" s="684"/>
      <c r="F886" s="684"/>
      <c r="G886" s="684"/>
      <c r="H886" s="684"/>
    </row>
    <row r="887" spans="1:8">
      <c r="A887" s="691" t="s">
        <v>1059</v>
      </c>
      <c r="B887" s="684"/>
      <c r="C887" s="684"/>
      <c r="D887" s="684"/>
      <c r="E887" s="684"/>
      <c r="F887" s="684"/>
      <c r="G887" s="684"/>
      <c r="H887" s="684"/>
    </row>
    <row r="888" spans="1:8">
      <c r="A888" s="691" t="s">
        <v>199</v>
      </c>
      <c r="B888" s="684"/>
      <c r="C888" s="778"/>
      <c r="D888" s="778">
        <v>2010</v>
      </c>
      <c r="E888" s="219" t="s">
        <v>179</v>
      </c>
      <c r="F888" s="219" t="s">
        <v>180</v>
      </c>
      <c r="G888" s="219" t="s">
        <v>181</v>
      </c>
      <c r="H888" s="219" t="s">
        <v>182</v>
      </c>
    </row>
    <row r="889" spans="1:8" ht="18">
      <c r="A889" s="684"/>
      <c r="B889" s="685" t="s">
        <v>151</v>
      </c>
      <c r="C889" s="202" t="s">
        <v>246</v>
      </c>
      <c r="D889" s="687">
        <v>7149900</v>
      </c>
      <c r="E889" s="687">
        <v>6195939</v>
      </c>
      <c r="F889" s="687">
        <v>5842950</v>
      </c>
      <c r="G889" s="687">
        <v>5336730</v>
      </c>
      <c r="H889" s="687">
        <v>4696876</v>
      </c>
    </row>
    <row r="890" spans="1:8">
      <c r="A890" s="684"/>
      <c r="B890" s="684"/>
      <c r="C890" s="778"/>
      <c r="D890" s="234"/>
      <c r="E890" s="234"/>
      <c r="F890" s="234"/>
      <c r="G890" s="234"/>
      <c r="H890" s="234"/>
    </row>
    <row r="891" spans="1:8" ht="28">
      <c r="A891" s="684"/>
      <c r="B891" s="685" t="s">
        <v>499</v>
      </c>
      <c r="C891" s="211" t="s">
        <v>247</v>
      </c>
      <c r="D891" s="687">
        <v>159709</v>
      </c>
      <c r="E891" s="687">
        <v>143349</v>
      </c>
      <c r="F891" s="687">
        <v>131892</v>
      </c>
      <c r="G891" s="687">
        <v>122682</v>
      </c>
      <c r="H891" s="687">
        <v>117138</v>
      </c>
    </row>
    <row r="892" spans="1:8">
      <c r="A892" s="684"/>
      <c r="B892" s="684"/>
      <c r="C892" s="208" t="s">
        <v>248</v>
      </c>
      <c r="D892" s="686"/>
      <c r="E892" s="686"/>
      <c r="F892" s="686"/>
      <c r="G892" s="686"/>
      <c r="H892" s="686"/>
    </row>
    <row r="893" spans="1:8">
      <c r="A893" s="684"/>
      <c r="B893" s="684"/>
      <c r="C893" s="208" t="s">
        <v>249</v>
      </c>
      <c r="D893" s="686"/>
      <c r="E893" s="686"/>
      <c r="F893" s="686"/>
      <c r="G893" s="686"/>
      <c r="H893" s="686"/>
    </row>
    <row r="894" spans="1:8" ht="18">
      <c r="A894" s="684"/>
      <c r="B894" s="685" t="s">
        <v>500</v>
      </c>
      <c r="C894" s="657" t="s">
        <v>250</v>
      </c>
      <c r="D894" s="687">
        <v>6727454</v>
      </c>
      <c r="E894" s="687">
        <v>5820612</v>
      </c>
      <c r="F894" s="687">
        <v>5493064</v>
      </c>
      <c r="G894" s="687">
        <v>5006337</v>
      </c>
      <c r="H894" s="687">
        <v>4385596</v>
      </c>
    </row>
    <row r="895" spans="1:8" ht="28">
      <c r="A895" s="684"/>
      <c r="B895" s="685" t="s">
        <v>501</v>
      </c>
      <c r="C895" s="210" t="s">
        <v>251</v>
      </c>
      <c r="D895" s="687">
        <v>54962</v>
      </c>
      <c r="E895" s="687">
        <v>34939</v>
      </c>
      <c r="F895" s="687">
        <v>23736</v>
      </c>
      <c r="G895" s="687">
        <v>34893</v>
      </c>
      <c r="H895" s="687">
        <v>38312</v>
      </c>
    </row>
    <row r="896" spans="1:8" ht="28">
      <c r="A896" s="684"/>
      <c r="B896" s="684"/>
      <c r="C896" s="208" t="s">
        <v>252</v>
      </c>
      <c r="D896" s="235"/>
      <c r="E896" s="235"/>
      <c r="F896" s="235"/>
      <c r="G896" s="235"/>
      <c r="H896" s="235"/>
    </row>
    <row r="897" spans="1:8" ht="28">
      <c r="A897" s="684"/>
      <c r="B897" s="684" t="s">
        <v>1053</v>
      </c>
      <c r="C897" s="208" t="s">
        <v>253</v>
      </c>
      <c r="D897" s="687">
        <v>215262</v>
      </c>
      <c r="E897" s="687">
        <v>217047</v>
      </c>
      <c r="F897" s="687">
        <v>156376</v>
      </c>
      <c r="G897" s="687">
        <v>155708</v>
      </c>
      <c r="H897" s="687">
        <v>186953</v>
      </c>
    </row>
    <row r="898" spans="1:8" ht="28">
      <c r="A898" s="684"/>
      <c r="B898" s="684"/>
      <c r="C898" s="208" t="s">
        <v>254</v>
      </c>
      <c r="D898" s="235"/>
      <c r="E898" s="235"/>
      <c r="F898" s="235"/>
      <c r="G898" s="235"/>
      <c r="H898" s="235"/>
    </row>
    <row r="899" spans="1:8" ht="18">
      <c r="A899" s="684"/>
      <c r="B899" s="685" t="s">
        <v>502</v>
      </c>
      <c r="C899" s="659" t="s">
        <v>255</v>
      </c>
      <c r="D899" s="687">
        <v>422446</v>
      </c>
      <c r="E899" s="687">
        <v>94043</v>
      </c>
      <c r="F899" s="687">
        <v>349904</v>
      </c>
      <c r="G899" s="687">
        <v>330393</v>
      </c>
      <c r="H899" s="687">
        <v>311279</v>
      </c>
    </row>
    <row r="900" spans="1:8">
      <c r="A900" s="684"/>
      <c r="B900" s="684"/>
      <c r="C900" s="684"/>
      <c r="D900" s="684"/>
      <c r="E900" s="684"/>
      <c r="F900" s="684"/>
      <c r="G900" s="684"/>
      <c r="H900" s="684"/>
    </row>
    <row r="901" spans="1:8">
      <c r="A901" s="684"/>
      <c r="B901" s="684"/>
      <c r="C901" s="684"/>
      <c r="D901" s="684"/>
      <c r="E901" s="684"/>
      <c r="F901" s="684"/>
      <c r="G901" s="684"/>
      <c r="H901" s="684"/>
    </row>
    <row r="902" spans="1:8">
      <c r="A902" s="691" t="s">
        <v>1060</v>
      </c>
      <c r="B902" s="684"/>
      <c r="C902" s="684"/>
      <c r="D902" s="684"/>
      <c r="E902" s="684"/>
      <c r="F902" s="684"/>
      <c r="G902" s="684"/>
      <c r="H902" s="684"/>
    </row>
    <row r="903" spans="1:8">
      <c r="A903" s="691" t="s">
        <v>199</v>
      </c>
      <c r="B903" s="684"/>
      <c r="C903" s="778"/>
      <c r="D903" s="778">
        <v>2011</v>
      </c>
      <c r="E903" s="219" t="s">
        <v>216</v>
      </c>
      <c r="F903" s="219" t="s">
        <v>217</v>
      </c>
      <c r="G903" s="219" t="s">
        <v>218</v>
      </c>
      <c r="H903" s="219" t="s">
        <v>219</v>
      </c>
    </row>
    <row r="904" spans="1:8" ht="18">
      <c r="A904" s="684"/>
      <c r="B904" s="685" t="s">
        <v>151</v>
      </c>
      <c r="C904" s="202" t="s">
        <v>246</v>
      </c>
      <c r="D904" s="687">
        <v>1510425</v>
      </c>
      <c r="E904" s="687">
        <v>1514437</v>
      </c>
      <c r="F904" s="687">
        <v>1582580</v>
      </c>
      <c r="G904" s="687">
        <v>1644608</v>
      </c>
      <c r="H904" s="687">
        <v>1696914</v>
      </c>
    </row>
    <row r="905" spans="1:8">
      <c r="A905" s="684"/>
      <c r="B905" s="684"/>
      <c r="C905" s="778"/>
      <c r="D905" s="234"/>
      <c r="E905" s="234"/>
      <c r="F905" s="234"/>
      <c r="G905" s="234"/>
      <c r="H905" s="234"/>
    </row>
    <row r="906" spans="1:8" ht="28">
      <c r="A906" s="684"/>
      <c r="B906" s="685" t="s">
        <v>499</v>
      </c>
      <c r="C906" s="211" t="s">
        <v>247</v>
      </c>
      <c r="D906" s="687">
        <v>1709555</v>
      </c>
      <c r="E906" s="687">
        <v>1678332</v>
      </c>
      <c r="F906" s="687">
        <v>1741095</v>
      </c>
      <c r="G906" s="687">
        <v>1778112</v>
      </c>
      <c r="H906" s="688">
        <v>1855831</v>
      </c>
    </row>
    <row r="907" spans="1:8">
      <c r="A907" s="684"/>
      <c r="B907" s="684"/>
      <c r="C907" s="208" t="s">
        <v>248</v>
      </c>
      <c r="D907" s="686"/>
      <c r="E907" s="686"/>
      <c r="F907" s="686"/>
      <c r="G907" s="686"/>
      <c r="H907" s="686"/>
    </row>
    <row r="908" spans="1:8">
      <c r="A908" s="684"/>
      <c r="B908" s="684"/>
      <c r="C908" s="208" t="s">
        <v>249</v>
      </c>
      <c r="D908" s="686"/>
      <c r="E908" s="686"/>
      <c r="F908" s="686"/>
      <c r="G908" s="686"/>
      <c r="H908" s="686"/>
    </row>
    <row r="909" spans="1:8" ht="18">
      <c r="A909" s="684"/>
      <c r="B909" s="685" t="s">
        <v>500</v>
      </c>
      <c r="C909" s="657" t="s">
        <v>250</v>
      </c>
      <c r="D909" s="687">
        <v>939815</v>
      </c>
      <c r="E909" s="687">
        <v>882340</v>
      </c>
      <c r="F909" s="687">
        <v>965521</v>
      </c>
      <c r="G909" s="687">
        <v>1056145</v>
      </c>
      <c r="H909" s="687">
        <v>1107585</v>
      </c>
    </row>
    <row r="910" spans="1:8" ht="28">
      <c r="A910" s="684"/>
      <c r="B910" s="685" t="s">
        <v>501</v>
      </c>
      <c r="C910" s="210" t="s">
        <v>251</v>
      </c>
      <c r="D910" s="687">
        <v>18794</v>
      </c>
      <c r="E910" s="687">
        <v>31182</v>
      </c>
      <c r="F910" s="687">
        <v>37720</v>
      </c>
      <c r="G910" s="687">
        <v>9404</v>
      </c>
      <c r="H910" s="687">
        <v>9037</v>
      </c>
    </row>
    <row r="911" spans="1:8" ht="28">
      <c r="A911" s="684"/>
      <c r="B911" s="684"/>
      <c r="C911" s="208" t="s">
        <v>252</v>
      </c>
      <c r="D911" s="235"/>
      <c r="E911" s="235"/>
      <c r="F911" s="235"/>
      <c r="G911" s="235"/>
      <c r="H911" s="235"/>
    </row>
    <row r="912" spans="1:8" ht="28">
      <c r="A912" s="684"/>
      <c r="B912" s="684" t="s">
        <v>1053</v>
      </c>
      <c r="C912" s="208" t="s">
        <v>253</v>
      </c>
      <c r="D912" s="687">
        <v>407613</v>
      </c>
      <c r="E912" s="687">
        <v>379365</v>
      </c>
      <c r="F912" s="687">
        <v>496500</v>
      </c>
      <c r="G912" s="687">
        <v>394617</v>
      </c>
      <c r="H912" s="687">
        <v>416886</v>
      </c>
    </row>
    <row r="913" spans="1:8" ht="28">
      <c r="A913" s="684"/>
      <c r="B913" s="684"/>
      <c r="C913" s="208" t="s">
        <v>254</v>
      </c>
      <c r="D913" s="235"/>
      <c r="E913" s="235"/>
      <c r="F913" s="235"/>
      <c r="G913" s="235"/>
      <c r="H913" s="235"/>
    </row>
    <row r="914" spans="1:8" ht="18">
      <c r="A914" s="684"/>
      <c r="B914" s="685" t="s">
        <v>502</v>
      </c>
      <c r="C914" s="659" t="s">
        <v>255</v>
      </c>
      <c r="D914" s="687">
        <v>570609</v>
      </c>
      <c r="E914" s="687">
        <v>632097</v>
      </c>
      <c r="F914" s="687">
        <v>617059</v>
      </c>
      <c r="G914" s="687">
        <v>588462</v>
      </c>
      <c r="H914" s="687">
        <v>589329</v>
      </c>
    </row>
    <row r="915" spans="1:8">
      <c r="A915" s="684"/>
      <c r="B915" s="684"/>
      <c r="C915" s="684"/>
      <c r="D915" s="684"/>
      <c r="E915" s="684"/>
      <c r="F915" s="684"/>
      <c r="G915" s="684"/>
      <c r="H915" s="684"/>
    </row>
    <row r="916" spans="1:8">
      <c r="A916" s="684"/>
      <c r="B916" s="684"/>
      <c r="C916" s="684"/>
      <c r="D916" s="684"/>
      <c r="E916" s="684"/>
      <c r="F916" s="684"/>
      <c r="G916" s="684"/>
      <c r="H916" s="684"/>
    </row>
    <row r="917" spans="1:8">
      <c r="A917" s="691" t="s">
        <v>1061</v>
      </c>
      <c r="B917" s="684"/>
      <c r="C917" s="684"/>
      <c r="D917" s="684"/>
      <c r="E917" s="684"/>
      <c r="F917" s="684"/>
      <c r="G917" s="684"/>
      <c r="H917" s="684"/>
    </row>
    <row r="918" spans="1:8">
      <c r="A918" s="691" t="s">
        <v>199</v>
      </c>
      <c r="B918" s="684"/>
      <c r="C918" s="778"/>
      <c r="D918" s="778">
        <v>2011</v>
      </c>
      <c r="E918" s="219" t="s">
        <v>216</v>
      </c>
      <c r="F918" s="219" t="s">
        <v>217</v>
      </c>
      <c r="G918" s="219" t="s">
        <v>218</v>
      </c>
      <c r="H918" s="219" t="s">
        <v>219</v>
      </c>
    </row>
    <row r="919" spans="1:8" ht="18">
      <c r="A919" s="684"/>
      <c r="B919" s="685" t="s">
        <v>151</v>
      </c>
      <c r="C919" s="202" t="s">
        <v>246</v>
      </c>
      <c r="D919" s="687">
        <v>444286</v>
      </c>
      <c r="E919" s="687">
        <v>548336</v>
      </c>
      <c r="F919" s="687">
        <v>732998</v>
      </c>
      <c r="G919" s="687">
        <v>868783</v>
      </c>
      <c r="H919" s="687">
        <v>355615</v>
      </c>
    </row>
    <row r="920" spans="1:8">
      <c r="A920" s="684"/>
      <c r="B920" s="684"/>
      <c r="C920" s="778"/>
      <c r="D920" s="234"/>
      <c r="E920" s="234"/>
      <c r="F920" s="234"/>
      <c r="G920" s="234"/>
      <c r="H920" s="234"/>
    </row>
    <row r="921" spans="1:8" ht="28">
      <c r="A921" s="684"/>
      <c r="B921" s="685" t="s">
        <v>499</v>
      </c>
      <c r="C921" s="211" t="s">
        <v>247</v>
      </c>
      <c r="D921" s="687">
        <v>537210</v>
      </c>
      <c r="E921" s="687">
        <v>441276</v>
      </c>
      <c r="F921" s="687">
        <v>565601</v>
      </c>
      <c r="G921" s="687">
        <v>553287</v>
      </c>
      <c r="H921" s="687">
        <v>462872</v>
      </c>
    </row>
    <row r="922" spans="1:8">
      <c r="A922" s="684"/>
      <c r="B922" s="684"/>
      <c r="C922" s="208" t="s">
        <v>248</v>
      </c>
      <c r="D922" s="686"/>
      <c r="E922" s="686"/>
      <c r="F922" s="686"/>
      <c r="G922" s="686"/>
      <c r="H922" s="686"/>
    </row>
    <row r="923" spans="1:8">
      <c r="A923" s="684"/>
      <c r="B923" s="684"/>
      <c r="C923" s="208" t="s">
        <v>249</v>
      </c>
      <c r="D923" s="686"/>
      <c r="E923" s="686"/>
      <c r="F923" s="686"/>
      <c r="G923" s="686"/>
      <c r="H923" s="686"/>
    </row>
    <row r="924" spans="1:8" ht="18">
      <c r="A924" s="684"/>
      <c r="B924" s="685" t="s">
        <v>500</v>
      </c>
      <c r="C924" s="657" t="s">
        <v>250</v>
      </c>
      <c r="D924" s="687">
        <v>233911</v>
      </c>
      <c r="E924" s="687">
        <v>345071</v>
      </c>
      <c r="F924" s="687">
        <v>368853</v>
      </c>
      <c r="G924" s="687">
        <v>447474</v>
      </c>
      <c r="H924" s="687">
        <v>235128</v>
      </c>
    </row>
    <row r="925" spans="1:8" ht="28">
      <c r="A925" s="684"/>
      <c r="B925" s="685" t="s">
        <v>501</v>
      </c>
      <c r="C925" s="210" t="s">
        <v>251</v>
      </c>
      <c r="D925" s="687">
        <v>-57653</v>
      </c>
      <c r="E925" s="687">
        <v>-205227</v>
      </c>
      <c r="F925" s="687">
        <v>-8667</v>
      </c>
      <c r="G925" s="687">
        <v>13331</v>
      </c>
      <c r="H925" s="687">
        <v>35745</v>
      </c>
    </row>
    <row r="926" spans="1:8" ht="28">
      <c r="A926" s="684"/>
      <c r="B926" s="684"/>
      <c r="C926" s="208" t="s">
        <v>252</v>
      </c>
      <c r="D926" s="235"/>
      <c r="E926" s="235"/>
      <c r="F926" s="235"/>
      <c r="G926" s="235"/>
      <c r="H926" s="235"/>
    </row>
    <row r="927" spans="1:8" ht="28">
      <c r="A927" s="684"/>
      <c r="B927" s="684" t="s">
        <v>1053</v>
      </c>
      <c r="C927" s="208" t="s">
        <v>253</v>
      </c>
      <c r="D927" s="687">
        <v>56578</v>
      </c>
      <c r="E927" s="687">
        <v>1595</v>
      </c>
      <c r="F927" s="687">
        <v>98069</v>
      </c>
      <c r="G927" s="687">
        <v>126199</v>
      </c>
      <c r="H927" s="687">
        <v>100305</v>
      </c>
    </row>
    <row r="928" spans="1:8" ht="28">
      <c r="A928" s="684"/>
      <c r="B928" s="684"/>
      <c r="C928" s="208" t="s">
        <v>254</v>
      </c>
      <c r="D928" s="235"/>
      <c r="E928" s="235"/>
      <c r="F928" s="235"/>
      <c r="G928" s="235"/>
      <c r="H928" s="235"/>
    </row>
    <row r="929" spans="1:8" ht="18">
      <c r="A929" s="684"/>
      <c r="B929" s="685" t="s">
        <v>502</v>
      </c>
      <c r="C929" s="659" t="s">
        <v>255</v>
      </c>
      <c r="D929" s="687">
        <v>210375</v>
      </c>
      <c r="E929" s="687">
        <v>203261</v>
      </c>
      <c r="F929" s="687">
        <v>364145</v>
      </c>
      <c r="G929" s="687">
        <v>421311</v>
      </c>
      <c r="H929" s="687">
        <v>120487</v>
      </c>
    </row>
    <row r="930" spans="1:8">
      <c r="A930" s="684"/>
      <c r="B930" s="684"/>
      <c r="C930" s="684"/>
      <c r="D930" s="684"/>
      <c r="E930" s="684"/>
      <c r="F930" s="684"/>
      <c r="G930" s="684"/>
      <c r="H930" s="684"/>
    </row>
    <row r="931" spans="1:8">
      <c r="A931" s="684"/>
      <c r="B931" s="684"/>
      <c r="C931" s="684"/>
      <c r="D931" s="684"/>
      <c r="E931" s="684"/>
      <c r="F931" s="684"/>
      <c r="G931" s="684"/>
      <c r="H931" s="684"/>
    </row>
    <row r="932" spans="1:8">
      <c r="A932" s="691" t="s">
        <v>1062</v>
      </c>
      <c r="B932" s="684"/>
      <c r="C932" s="684"/>
      <c r="D932" s="684"/>
      <c r="E932" s="684"/>
      <c r="F932" s="684"/>
      <c r="G932" s="684"/>
      <c r="H932" s="684"/>
    </row>
    <row r="933" spans="1:8">
      <c r="A933" s="790" t="s">
        <v>561</v>
      </c>
      <c r="B933" s="684"/>
      <c r="C933" s="778"/>
      <c r="D933" s="778">
        <v>2011</v>
      </c>
      <c r="E933" s="219" t="s">
        <v>216</v>
      </c>
      <c r="F933" s="219" t="s">
        <v>217</v>
      </c>
      <c r="G933" s="219" t="s">
        <v>218</v>
      </c>
      <c r="H933" s="219" t="s">
        <v>219</v>
      </c>
    </row>
    <row r="934" spans="1:8" ht="18">
      <c r="A934" s="684"/>
      <c r="B934" s="685" t="s">
        <v>151</v>
      </c>
      <c r="C934" s="202" t="s">
        <v>246</v>
      </c>
      <c r="D934" s="687">
        <v>1037660</v>
      </c>
      <c r="E934" s="687">
        <v>1008111</v>
      </c>
      <c r="F934" s="687">
        <v>866276</v>
      </c>
      <c r="G934" s="687">
        <v>714073</v>
      </c>
      <c r="H934" s="687">
        <v>572971</v>
      </c>
    </row>
    <row r="935" spans="1:8">
      <c r="A935" s="684"/>
      <c r="B935" s="684"/>
      <c r="C935" s="778"/>
      <c r="D935" s="234"/>
      <c r="E935" s="234"/>
      <c r="F935" s="234"/>
      <c r="G935" s="234"/>
      <c r="H935" s="234"/>
    </row>
    <row r="936" spans="1:8" ht="28">
      <c r="A936" s="684"/>
      <c r="B936" s="685" t="s">
        <v>499</v>
      </c>
      <c r="C936" s="211" t="s">
        <v>247</v>
      </c>
      <c r="D936" s="687">
        <v>83866</v>
      </c>
      <c r="E936" s="687">
        <v>68318</v>
      </c>
      <c r="F936" s="687">
        <v>54363</v>
      </c>
      <c r="G936" s="687">
        <v>33341</v>
      </c>
      <c r="H936" s="687">
        <v>12698</v>
      </c>
    </row>
    <row r="937" spans="1:8">
      <c r="A937" s="684"/>
      <c r="B937" s="684"/>
      <c r="C937" s="208" t="s">
        <v>248</v>
      </c>
      <c r="D937" s="686"/>
      <c r="E937" s="686"/>
      <c r="F937" s="686"/>
      <c r="G937" s="686"/>
      <c r="H937" s="686"/>
    </row>
    <row r="938" spans="1:8">
      <c r="A938" s="684"/>
      <c r="B938" s="684"/>
      <c r="C938" s="208" t="s">
        <v>249</v>
      </c>
      <c r="D938" s="686"/>
      <c r="E938" s="686"/>
      <c r="F938" s="686"/>
      <c r="G938" s="686"/>
      <c r="H938" s="686"/>
    </row>
    <row r="939" spans="1:8" ht="18">
      <c r="A939" s="684"/>
      <c r="B939" s="685" t="s">
        <v>500</v>
      </c>
      <c r="C939" s="657" t="s">
        <v>250</v>
      </c>
      <c r="D939" s="687">
        <v>986891</v>
      </c>
      <c r="E939" s="687">
        <v>949878</v>
      </c>
      <c r="F939" s="687">
        <v>787509</v>
      </c>
      <c r="G939" s="687">
        <v>613059</v>
      </c>
      <c r="H939" s="687">
        <v>417237</v>
      </c>
    </row>
    <row r="940" spans="1:8" ht="28">
      <c r="A940" s="684"/>
      <c r="B940" s="685" t="s">
        <v>501</v>
      </c>
      <c r="C940" s="210" t="s">
        <v>251</v>
      </c>
      <c r="D940" s="687">
        <v>-7464</v>
      </c>
      <c r="E940" s="687">
        <v>-20534</v>
      </c>
      <c r="F940" s="687">
        <v>-1306</v>
      </c>
      <c r="G940" s="687">
        <v>-74720</v>
      </c>
      <c r="H940" s="687">
        <v>-35925</v>
      </c>
    </row>
    <row r="941" spans="1:8" ht="28">
      <c r="A941" s="684"/>
      <c r="B941" s="684"/>
      <c r="C941" s="208" t="s">
        <v>252</v>
      </c>
      <c r="D941" s="235"/>
      <c r="E941" s="235"/>
      <c r="F941" s="235"/>
      <c r="G941" s="235"/>
      <c r="H941" s="235"/>
    </row>
    <row r="942" spans="1:8" ht="28">
      <c r="A942" s="684"/>
      <c r="B942" s="684" t="s">
        <v>1053</v>
      </c>
      <c r="C942" s="208" t="s">
        <v>253</v>
      </c>
      <c r="D942" s="687">
        <v>919849</v>
      </c>
      <c r="E942" s="687">
        <v>800980</v>
      </c>
      <c r="F942" s="687">
        <v>673936</v>
      </c>
      <c r="G942" s="687">
        <v>0</v>
      </c>
      <c r="H942" s="687">
        <v>363852</v>
      </c>
    </row>
    <row r="943" spans="1:8" ht="28">
      <c r="A943" s="684"/>
      <c r="B943" s="684"/>
      <c r="C943" s="208" t="s">
        <v>254</v>
      </c>
      <c r="D943" s="235"/>
      <c r="E943" s="235"/>
      <c r="F943" s="235"/>
      <c r="G943" s="235"/>
      <c r="H943" s="235"/>
    </row>
    <row r="944" spans="1:8" ht="18">
      <c r="A944" s="684"/>
      <c r="B944" s="685" t="s">
        <v>502</v>
      </c>
      <c r="C944" s="659" t="s">
        <v>255</v>
      </c>
      <c r="D944" s="687">
        <v>50769</v>
      </c>
      <c r="E944" s="687">
        <v>58233</v>
      </c>
      <c r="F944" s="687">
        <v>78767</v>
      </c>
      <c r="G944" s="687">
        <v>101014</v>
      </c>
      <c r="H944" s="687">
        <v>155734</v>
      </c>
    </row>
    <row r="945" spans="1:8">
      <c r="A945" s="684"/>
      <c r="B945" s="684"/>
      <c r="C945" s="684"/>
      <c r="D945" s="684"/>
      <c r="E945" s="684"/>
      <c r="F945" s="684"/>
      <c r="G945" s="684"/>
      <c r="H945" s="684"/>
    </row>
    <row r="946" spans="1:8">
      <c r="A946" s="684"/>
      <c r="B946" s="684"/>
      <c r="C946" s="684"/>
      <c r="D946" s="684"/>
      <c r="E946" s="684"/>
      <c r="F946" s="684"/>
      <c r="G946" s="684"/>
      <c r="H946" s="684"/>
    </row>
    <row r="947" spans="1:8">
      <c r="A947" s="691" t="s">
        <v>1063</v>
      </c>
      <c r="B947" s="684"/>
      <c r="C947" s="684"/>
      <c r="D947" s="684"/>
      <c r="E947" s="684"/>
      <c r="F947" s="684"/>
      <c r="G947" s="684"/>
      <c r="H947" s="684"/>
    </row>
    <row r="948" spans="1:8">
      <c r="A948" s="791" t="s">
        <v>199</v>
      </c>
      <c r="B948" s="684"/>
      <c r="C948" s="778"/>
      <c r="D948" s="778">
        <v>2019</v>
      </c>
      <c r="E948" s="219" t="s">
        <v>175</v>
      </c>
      <c r="F948" s="219" t="s">
        <v>176</v>
      </c>
      <c r="G948" s="219" t="s">
        <v>177</v>
      </c>
      <c r="H948" s="219" t="s">
        <v>178</v>
      </c>
    </row>
    <row r="949" spans="1:8" ht="18">
      <c r="A949" s="684"/>
      <c r="B949" s="685" t="s">
        <v>151</v>
      </c>
      <c r="C949" s="202" t="s">
        <v>246</v>
      </c>
      <c r="D949" s="687">
        <v>333409</v>
      </c>
      <c r="E949" s="687">
        <v>241927</v>
      </c>
      <c r="F949" s="687">
        <v>269272</v>
      </c>
      <c r="G949" s="687">
        <v>300316</v>
      </c>
      <c r="H949" s="687">
        <v>526378</v>
      </c>
    </row>
    <row r="950" spans="1:8">
      <c r="A950" s="684"/>
      <c r="B950" s="684"/>
      <c r="C950" s="778"/>
      <c r="D950" s="234"/>
      <c r="E950" s="234"/>
      <c r="F950" s="234"/>
      <c r="G950" s="234"/>
      <c r="H950" s="234"/>
    </row>
    <row r="951" spans="1:8" ht="28">
      <c r="A951" s="684"/>
      <c r="B951" s="685" t="s">
        <v>499</v>
      </c>
      <c r="C951" s="211" t="s">
        <v>247</v>
      </c>
      <c r="D951" s="687">
        <v>493598</v>
      </c>
      <c r="E951" s="687">
        <v>223813</v>
      </c>
      <c r="F951" s="687">
        <v>272102</v>
      </c>
      <c r="G951" s="687">
        <v>246116</v>
      </c>
      <c r="H951" s="687">
        <v>207996</v>
      </c>
    </row>
    <row r="952" spans="1:8">
      <c r="A952" s="684"/>
      <c r="B952" s="684"/>
      <c r="C952" s="208" t="s">
        <v>248</v>
      </c>
      <c r="D952" s="686"/>
      <c r="E952" s="686"/>
      <c r="F952" s="686"/>
      <c r="G952" s="686"/>
      <c r="H952" s="686"/>
    </row>
    <row r="953" spans="1:8">
      <c r="A953" s="684"/>
      <c r="B953" s="684"/>
      <c r="C953" s="208" t="s">
        <v>249</v>
      </c>
      <c r="D953" s="686"/>
      <c r="E953" s="686"/>
      <c r="F953" s="686"/>
      <c r="G953" s="686"/>
      <c r="H953" s="686"/>
    </row>
    <row r="954" spans="1:8" ht="18">
      <c r="A954" s="684"/>
      <c r="B954" s="685" t="s">
        <v>500</v>
      </c>
      <c r="C954" s="657" t="s">
        <v>250</v>
      </c>
      <c r="D954" s="687">
        <v>221906</v>
      </c>
      <c r="E954" s="687">
        <v>115951</v>
      </c>
      <c r="F954" s="687">
        <v>73810</v>
      </c>
      <c r="G954" s="687">
        <v>124841</v>
      </c>
      <c r="H954" s="687">
        <v>445600</v>
      </c>
    </row>
    <row r="955" spans="1:8" ht="28">
      <c r="A955" s="684"/>
      <c r="B955" s="685" t="s">
        <v>501</v>
      </c>
      <c r="C955" s="210" t="s">
        <v>251</v>
      </c>
      <c r="D955" s="687">
        <v>-9617</v>
      </c>
      <c r="E955" s="687">
        <v>-67054</v>
      </c>
      <c r="F955" s="687">
        <v>-11686</v>
      </c>
      <c r="G955" s="687">
        <v>-7500</v>
      </c>
      <c r="H955" s="687">
        <v>-101884</v>
      </c>
    </row>
    <row r="956" spans="1:8" ht="28">
      <c r="A956" s="684"/>
      <c r="B956" s="684"/>
      <c r="C956" s="208" t="s">
        <v>252</v>
      </c>
      <c r="D956" s="235"/>
      <c r="E956" s="235"/>
      <c r="F956" s="235"/>
      <c r="G956" s="235"/>
      <c r="H956" s="235"/>
    </row>
    <row r="957" spans="1:8" ht="28">
      <c r="A957" s="684"/>
      <c r="B957" s="684" t="s">
        <v>1053</v>
      </c>
      <c r="C957" s="208" t="s">
        <v>253</v>
      </c>
      <c r="D957" s="687">
        <v>37406</v>
      </c>
      <c r="E957" s="687">
        <v>34459</v>
      </c>
      <c r="F957" s="687">
        <v>19815</v>
      </c>
      <c r="G957" s="687">
        <v>3698</v>
      </c>
      <c r="H957" s="687">
        <v>3789</v>
      </c>
    </row>
    <row r="958" spans="1:8" ht="28">
      <c r="A958" s="684"/>
      <c r="B958" s="684"/>
      <c r="C958" s="208" t="s">
        <v>254</v>
      </c>
      <c r="D958" s="235"/>
      <c r="E958" s="235"/>
      <c r="F958" s="235"/>
      <c r="G958" s="235"/>
      <c r="H958" s="235"/>
    </row>
    <row r="959" spans="1:8" ht="18">
      <c r="A959" s="684"/>
      <c r="B959" s="685" t="s">
        <v>502</v>
      </c>
      <c r="C959" s="659" t="s">
        <v>255</v>
      </c>
      <c r="D959" s="687">
        <v>111505</v>
      </c>
      <c r="E959" s="687">
        <v>125978</v>
      </c>
      <c r="F959" s="687">
        <v>195463</v>
      </c>
      <c r="G959" s="687">
        <v>175476</v>
      </c>
      <c r="H959" s="687">
        <v>80778</v>
      </c>
    </row>
    <row r="960" spans="1:8">
      <c r="A960" s="684"/>
      <c r="B960" s="684"/>
      <c r="C960" s="684"/>
      <c r="D960" s="684"/>
      <c r="E960" s="684"/>
      <c r="F960" s="684"/>
      <c r="G960" s="684"/>
      <c r="H960" s="684"/>
    </row>
    <row r="961" spans="1:8">
      <c r="A961" s="684"/>
      <c r="B961" s="684"/>
      <c r="C961" s="684"/>
      <c r="D961" s="684"/>
      <c r="E961" s="684"/>
      <c r="F961" s="684"/>
      <c r="G961" s="684"/>
      <c r="H961" s="684"/>
    </row>
    <row r="962" spans="1:8">
      <c r="A962" s="691" t="s">
        <v>1064</v>
      </c>
      <c r="B962" s="684"/>
      <c r="C962" s="684"/>
      <c r="D962" s="684"/>
      <c r="E962" s="684"/>
      <c r="F962" s="684"/>
      <c r="G962" s="684"/>
      <c r="H962" s="684"/>
    </row>
    <row r="963" spans="1:8">
      <c r="A963" s="791" t="s">
        <v>199</v>
      </c>
      <c r="B963" s="684"/>
      <c r="C963" s="778"/>
      <c r="D963" s="778">
        <v>2019</v>
      </c>
      <c r="E963" s="219" t="s">
        <v>175</v>
      </c>
      <c r="F963" s="219" t="s">
        <v>176</v>
      </c>
      <c r="G963" s="219" t="s">
        <v>177</v>
      </c>
      <c r="H963" s="219" t="s">
        <v>178</v>
      </c>
    </row>
    <row r="964" spans="1:8" ht="18">
      <c r="A964" s="684"/>
      <c r="B964" s="685" t="s">
        <v>151</v>
      </c>
      <c r="C964" s="202" t="s">
        <v>246</v>
      </c>
      <c r="D964" s="687">
        <v>39422000</v>
      </c>
      <c r="E964" s="687">
        <v>27658000</v>
      </c>
      <c r="F964" s="687">
        <v>20843000</v>
      </c>
      <c r="G964" s="687">
        <v>21196000</v>
      </c>
      <c r="H964" s="687">
        <v>19120000</v>
      </c>
    </row>
    <row r="965" spans="1:8">
      <c r="A965" s="684"/>
      <c r="B965" s="684"/>
      <c r="C965" s="778"/>
      <c r="D965" s="234"/>
      <c r="E965" s="234"/>
      <c r="F965" s="234"/>
      <c r="G965" s="234"/>
      <c r="H965" s="234"/>
    </row>
    <row r="966" spans="1:8" ht="28">
      <c r="A966" s="684"/>
      <c r="B966" s="685" t="s">
        <v>499</v>
      </c>
      <c r="C966" s="211" t="s">
        <v>247</v>
      </c>
      <c r="D966" s="687">
        <v>24081000</v>
      </c>
      <c r="E966" s="687">
        <v>14381000</v>
      </c>
      <c r="F966" s="687">
        <v>14490000</v>
      </c>
      <c r="G966" s="687">
        <v>15845000</v>
      </c>
      <c r="H966" s="687">
        <v>17032000</v>
      </c>
    </row>
    <row r="967" spans="1:8">
      <c r="A967" s="684"/>
      <c r="B967" s="684"/>
      <c r="C967" s="208" t="s">
        <v>248</v>
      </c>
      <c r="D967" s="686"/>
      <c r="E967" s="686"/>
      <c r="F967" s="686"/>
      <c r="G967" s="686"/>
      <c r="H967" s="686"/>
    </row>
    <row r="968" spans="1:8">
      <c r="A968" s="684"/>
      <c r="B968" s="684"/>
      <c r="C968" s="208" t="s">
        <v>249</v>
      </c>
      <c r="D968" s="686"/>
      <c r="E968" s="686"/>
      <c r="F968" s="686"/>
      <c r="G968" s="686"/>
      <c r="H968" s="686"/>
    </row>
    <row r="969" spans="1:8" ht="18">
      <c r="A969" s="684"/>
      <c r="B969" s="685" t="s">
        <v>500</v>
      </c>
      <c r="C969" s="657" t="s">
        <v>250</v>
      </c>
      <c r="D969" s="687">
        <v>26612000</v>
      </c>
      <c r="E969" s="687">
        <v>15032000</v>
      </c>
      <c r="F969" s="687">
        <v>13478000</v>
      </c>
      <c r="G969" s="687">
        <v>14471000</v>
      </c>
      <c r="H969" s="687">
        <v>12994000</v>
      </c>
    </row>
    <row r="970" spans="1:8" ht="28">
      <c r="A970" s="684"/>
      <c r="B970" s="685" t="s">
        <v>501</v>
      </c>
      <c r="C970" s="210" t="s">
        <v>251</v>
      </c>
      <c r="D970" s="687">
        <v>717000</v>
      </c>
      <c r="E970" s="687">
        <v>704000</v>
      </c>
      <c r="F970" s="687">
        <v>559000</v>
      </c>
      <c r="G970" s="687">
        <v>651000</v>
      </c>
      <c r="H970" s="687">
        <v>755000</v>
      </c>
    </row>
    <row r="971" spans="1:8" ht="28">
      <c r="A971" s="684"/>
      <c r="B971" s="684"/>
      <c r="C971" s="208" t="s">
        <v>252</v>
      </c>
      <c r="D971" s="235"/>
      <c r="E971" s="235"/>
      <c r="F971" s="235"/>
      <c r="G971" s="235"/>
      <c r="H971" s="235"/>
    </row>
    <row r="972" spans="1:8" ht="28">
      <c r="A972" s="684"/>
      <c r="B972" s="684" t="s">
        <v>1053</v>
      </c>
      <c r="C972" s="208" t="s">
        <v>253</v>
      </c>
      <c r="D972" s="687">
        <v>7801000</v>
      </c>
      <c r="E972" s="687">
        <v>5990000</v>
      </c>
      <c r="F972" s="687">
        <v>5420000</v>
      </c>
      <c r="G972" s="687">
        <v>5650000</v>
      </c>
      <c r="H972" s="687">
        <v>2525000</v>
      </c>
    </row>
    <row r="973" spans="1:8" ht="28">
      <c r="A973" s="684"/>
      <c r="B973" s="684"/>
      <c r="C973" s="208" t="s">
        <v>254</v>
      </c>
      <c r="D973" s="235"/>
      <c r="E973" s="235"/>
      <c r="F973" s="235"/>
      <c r="G973" s="235"/>
      <c r="H973" s="235"/>
    </row>
    <row r="974" spans="1:8" ht="18">
      <c r="A974" s="684"/>
      <c r="B974" s="685" t="s">
        <v>502</v>
      </c>
      <c r="C974" s="659" t="s">
        <v>255</v>
      </c>
      <c r="D974" s="687">
        <v>12810000</v>
      </c>
      <c r="E974" s="687">
        <v>12626000</v>
      </c>
      <c r="F974" s="687">
        <v>7365000</v>
      </c>
      <c r="G974" s="687">
        <v>6725000</v>
      </c>
      <c r="H974" s="687">
        <v>6127000</v>
      </c>
    </row>
    <row r="975" spans="1:8">
      <c r="A975" s="684"/>
      <c r="B975" s="684"/>
      <c r="C975" s="684"/>
      <c r="D975" s="684"/>
      <c r="E975" s="684"/>
      <c r="F975" s="684"/>
      <c r="G975" s="684"/>
      <c r="H975" s="684"/>
    </row>
    <row r="976" spans="1:8">
      <c r="A976" s="684"/>
      <c r="B976" s="684"/>
      <c r="C976" s="684"/>
      <c r="D976" s="684"/>
      <c r="E976" s="684"/>
      <c r="F976" s="684"/>
      <c r="G976" s="684"/>
      <c r="H976" s="684"/>
    </row>
    <row r="977" spans="1:8">
      <c r="A977" s="691" t="s">
        <v>1065</v>
      </c>
      <c r="B977" s="684"/>
      <c r="C977" s="684"/>
      <c r="D977" s="684"/>
      <c r="E977" s="684"/>
      <c r="F977" s="684"/>
      <c r="G977" s="684"/>
      <c r="H977" s="684"/>
    </row>
    <row r="978" spans="1:8">
      <c r="A978" s="791" t="s">
        <v>199</v>
      </c>
      <c r="B978" s="684"/>
      <c r="C978" s="778"/>
      <c r="D978" s="778">
        <v>2019</v>
      </c>
      <c r="E978" s="219" t="s">
        <v>175</v>
      </c>
      <c r="F978" s="219" t="s">
        <v>176</v>
      </c>
      <c r="G978" s="219" t="s">
        <v>177</v>
      </c>
      <c r="H978" s="219" t="s">
        <v>178</v>
      </c>
    </row>
    <row r="979" spans="1:8" ht="18">
      <c r="A979" s="684"/>
      <c r="B979" s="685" t="s">
        <v>151</v>
      </c>
      <c r="C979" s="202" t="s">
        <v>246</v>
      </c>
      <c r="D979" s="687">
        <v>416041</v>
      </c>
      <c r="E979" s="687">
        <v>2416035</v>
      </c>
      <c r="F979" s="687">
        <v>2328483</v>
      </c>
      <c r="G979" s="687">
        <v>2175225</v>
      </c>
      <c r="H979" s="687">
        <v>3025503</v>
      </c>
    </row>
    <row r="980" spans="1:8">
      <c r="A980" s="684"/>
      <c r="B980" s="684"/>
      <c r="C980" s="778"/>
      <c r="D980" s="234"/>
      <c r="E980" s="234"/>
      <c r="F980" s="234"/>
      <c r="G980" s="234"/>
      <c r="H980" s="234"/>
    </row>
    <row r="981" spans="1:8" ht="28">
      <c r="A981" s="684"/>
      <c r="B981" s="685" t="s">
        <v>499</v>
      </c>
      <c r="C981" s="211" t="s">
        <v>247</v>
      </c>
      <c r="D981" s="687">
        <v>266614</v>
      </c>
      <c r="E981" s="687">
        <v>220310</v>
      </c>
      <c r="F981" s="687">
        <v>211038</v>
      </c>
      <c r="G981" s="687">
        <v>3086706</v>
      </c>
      <c r="H981" s="687">
        <v>3051243</v>
      </c>
    </row>
    <row r="982" spans="1:8">
      <c r="A982" s="684"/>
      <c r="B982" s="684"/>
      <c r="C982" s="208" t="s">
        <v>248</v>
      </c>
      <c r="D982" s="686"/>
      <c r="E982" s="686"/>
      <c r="F982" s="686"/>
      <c r="G982" s="686"/>
      <c r="H982" s="686"/>
    </row>
    <row r="983" spans="1:8">
      <c r="A983" s="684"/>
      <c r="B983" s="684"/>
      <c r="C983" s="208" t="s">
        <v>249</v>
      </c>
      <c r="D983" s="686"/>
      <c r="E983" s="686"/>
      <c r="F983" s="686"/>
      <c r="G983" s="686"/>
      <c r="H983" s="686"/>
    </row>
    <row r="984" spans="1:8" ht="18">
      <c r="A984" s="684"/>
      <c r="B984" s="685" t="s">
        <v>500</v>
      </c>
      <c r="C984" s="657" t="s">
        <v>250</v>
      </c>
      <c r="D984" s="687">
        <v>182497</v>
      </c>
      <c r="E984" s="687">
        <v>1901805</v>
      </c>
      <c r="F984" s="687">
        <v>1721022</v>
      </c>
      <c r="G984" s="687">
        <v>1558800</v>
      </c>
      <c r="H984" s="687">
        <v>2170937</v>
      </c>
    </row>
    <row r="985" spans="1:8" ht="28">
      <c r="A985" s="684"/>
      <c r="B985" s="685" t="s">
        <v>501</v>
      </c>
      <c r="C985" s="210" t="s">
        <v>251</v>
      </c>
      <c r="D985" s="687">
        <v>48976</v>
      </c>
      <c r="E985" s="687">
        <v>11815</v>
      </c>
      <c r="F985" s="687">
        <v>8198</v>
      </c>
      <c r="G985" s="687">
        <v>-127072</v>
      </c>
      <c r="H985" s="687">
        <v>-40163</v>
      </c>
    </row>
    <row r="986" spans="1:8" ht="28">
      <c r="A986" s="684"/>
      <c r="B986" s="684"/>
      <c r="C986" s="208" t="s">
        <v>252</v>
      </c>
      <c r="D986" s="235"/>
      <c r="E986" s="235"/>
      <c r="F986" s="235"/>
      <c r="G986" s="235"/>
      <c r="H986" s="235"/>
    </row>
    <row r="987" spans="1:8" ht="28">
      <c r="A987" s="684"/>
      <c r="B987" s="684" t="s">
        <v>1053</v>
      </c>
      <c r="C987" s="208" t="s">
        <v>253</v>
      </c>
      <c r="D987" s="687">
        <v>675</v>
      </c>
      <c r="E987" s="687">
        <v>0</v>
      </c>
      <c r="F987" s="687">
        <v>0</v>
      </c>
      <c r="G987" s="687">
        <v>318100</v>
      </c>
      <c r="H987" s="687">
        <v>51581</v>
      </c>
    </row>
    <row r="988" spans="1:8" ht="28">
      <c r="A988" s="684"/>
      <c r="B988" s="684"/>
      <c r="C988" s="208" t="s">
        <v>254</v>
      </c>
      <c r="D988" s="235"/>
      <c r="E988" s="235"/>
      <c r="F988" s="235"/>
      <c r="G988" s="235"/>
      <c r="H988" s="235"/>
    </row>
    <row r="989" spans="1:8" ht="18">
      <c r="A989" s="684"/>
      <c r="B989" s="685" t="s">
        <v>502</v>
      </c>
      <c r="C989" s="659" t="s">
        <v>255</v>
      </c>
      <c r="D989" s="687">
        <v>233545</v>
      </c>
      <c r="E989" s="687">
        <v>514231</v>
      </c>
      <c r="F989" s="687">
        <v>607461</v>
      </c>
      <c r="G989" s="687">
        <v>616427</v>
      </c>
      <c r="H989" s="687">
        <v>854566</v>
      </c>
    </row>
    <row r="993" spans="1:9">
      <c r="A993" s="691" t="s">
        <v>1197</v>
      </c>
      <c r="B993" s="684"/>
      <c r="C993" s="684"/>
      <c r="D993" s="684" t="s">
        <v>1072</v>
      </c>
      <c r="E993" s="684"/>
      <c r="F993" s="684"/>
      <c r="G993" s="684"/>
      <c r="H993" s="684"/>
    </row>
    <row r="994" spans="1:9">
      <c r="A994" s="791" t="s">
        <v>199</v>
      </c>
      <c r="B994" s="684"/>
      <c r="C994" s="778"/>
      <c r="D994" s="778">
        <v>2019</v>
      </c>
      <c r="E994" s="219" t="s">
        <v>175</v>
      </c>
      <c r="F994" s="219" t="s">
        <v>176</v>
      </c>
      <c r="G994" s="219" t="s">
        <v>177</v>
      </c>
      <c r="H994" s="219" t="s">
        <v>178</v>
      </c>
    </row>
    <row r="995" spans="1:9" ht="18">
      <c r="A995" s="684"/>
      <c r="B995" s="685" t="s">
        <v>151</v>
      </c>
      <c r="C995" s="202" t="s">
        <v>246</v>
      </c>
      <c r="D995" s="687">
        <v>817191</v>
      </c>
      <c r="E995" s="687">
        <v>787954</v>
      </c>
      <c r="F995" s="687">
        <v>765477</v>
      </c>
      <c r="G995" s="687">
        <v>508409</v>
      </c>
      <c r="H995" s="687">
        <v>36760</v>
      </c>
      <c r="I995" s="684"/>
    </row>
    <row r="996" spans="1:9">
      <c r="A996" s="684"/>
      <c r="B996" s="684"/>
      <c r="C996" s="778"/>
      <c r="D996" s="234"/>
      <c r="E996" s="234"/>
      <c r="F996" s="234"/>
      <c r="G996" s="234"/>
      <c r="H996" s="234"/>
      <c r="I996" s="684"/>
    </row>
    <row r="997" spans="1:9" ht="28">
      <c r="A997" s="684"/>
      <c r="B997" s="685" t="s">
        <v>499</v>
      </c>
      <c r="C997" s="211" t="s">
        <v>247</v>
      </c>
      <c r="D997" s="687">
        <v>1132059</v>
      </c>
      <c r="E997" s="687">
        <v>1064114</v>
      </c>
      <c r="F997" s="687">
        <v>789473</v>
      </c>
      <c r="G997" s="687">
        <v>573498</v>
      </c>
      <c r="H997" s="687">
        <v>56410</v>
      </c>
      <c r="I997" s="684"/>
    </row>
    <row r="998" spans="1:9" ht="18">
      <c r="A998" s="684"/>
      <c r="B998" s="684"/>
      <c r="C998" s="208" t="s">
        <v>248</v>
      </c>
      <c r="D998" s="687">
        <v>52333</v>
      </c>
      <c r="E998" s="687">
        <v>19030</v>
      </c>
      <c r="F998" s="687">
        <v>56256</v>
      </c>
      <c r="G998" s="687">
        <v>12656</v>
      </c>
      <c r="H998" s="687">
        <v>0</v>
      </c>
      <c r="I998" s="684"/>
    </row>
    <row r="999" spans="1:9">
      <c r="A999" s="684"/>
      <c r="B999" s="684"/>
      <c r="C999" s="208" t="s">
        <v>249</v>
      </c>
      <c r="D999" s="686"/>
      <c r="E999" s="686"/>
      <c r="F999" s="686"/>
      <c r="G999" s="686"/>
      <c r="H999" s="686"/>
      <c r="I999" s="684"/>
    </row>
    <row r="1000" spans="1:9" ht="18">
      <c r="A1000" s="684"/>
      <c r="B1000" s="685" t="s">
        <v>500</v>
      </c>
      <c r="C1000" s="657" t="s">
        <v>250</v>
      </c>
      <c r="D1000" s="687">
        <v>361221</v>
      </c>
      <c r="E1000" s="687">
        <v>274176</v>
      </c>
      <c r="F1000" s="687">
        <v>315366</v>
      </c>
      <c r="G1000" s="687">
        <v>248114</v>
      </c>
      <c r="H1000" s="687">
        <v>11828</v>
      </c>
      <c r="I1000" s="684"/>
    </row>
    <row r="1001" spans="1:9" ht="28">
      <c r="A1001" s="684"/>
      <c r="B1001" s="685" t="s">
        <v>501</v>
      </c>
      <c r="C1001" s="210" t="s">
        <v>251</v>
      </c>
      <c r="D1001" s="687">
        <v>-64331</v>
      </c>
      <c r="E1001" s="687">
        <v>21330</v>
      </c>
      <c r="F1001" s="687">
        <v>-47676</v>
      </c>
      <c r="G1001" s="687">
        <v>-44700</v>
      </c>
      <c r="H1001" s="687">
        <v>-55951</v>
      </c>
      <c r="I1001" s="684"/>
    </row>
    <row r="1002" spans="1:9" ht="28">
      <c r="A1002" s="684"/>
      <c r="B1002" s="684"/>
      <c r="C1002" s="208" t="s">
        <v>252</v>
      </c>
      <c r="D1002" s="235"/>
      <c r="E1002" s="235"/>
      <c r="F1002" s="235"/>
      <c r="G1002" s="235"/>
      <c r="H1002" s="235"/>
      <c r="I1002" s="684"/>
    </row>
    <row r="1003" spans="1:9" ht="28">
      <c r="A1003" s="684"/>
      <c r="B1003" s="684" t="s">
        <v>1053</v>
      </c>
      <c r="C1003" s="208" t="s">
        <v>253</v>
      </c>
      <c r="D1003" s="687">
        <v>3460</v>
      </c>
      <c r="E1003" s="687">
        <v>3387</v>
      </c>
      <c r="F1003" s="687">
        <v>3870</v>
      </c>
      <c r="G1003" s="687">
        <v>4363</v>
      </c>
      <c r="H1003" s="687">
        <v>7852</v>
      </c>
      <c r="I1003" s="684"/>
    </row>
    <row r="1004" spans="1:9" ht="28">
      <c r="A1004" s="684"/>
      <c r="B1004" s="684"/>
      <c r="C1004" s="208" t="s">
        <v>254</v>
      </c>
      <c r="D1004" s="235"/>
      <c r="E1004" s="235"/>
      <c r="F1004" s="235"/>
      <c r="G1004" s="235"/>
      <c r="H1004" s="235"/>
      <c r="I1004" s="684"/>
    </row>
    <row r="1005" spans="1:9" ht="18">
      <c r="A1005" s="684"/>
      <c r="B1005" s="685" t="s">
        <v>502</v>
      </c>
      <c r="C1005" s="659" t="s">
        <v>255</v>
      </c>
      <c r="D1005" s="687">
        <v>455969</v>
      </c>
      <c r="E1005" s="687">
        <v>513779</v>
      </c>
      <c r="F1005" s="687">
        <v>450110</v>
      </c>
      <c r="G1005" s="687">
        <v>260295</v>
      </c>
      <c r="H1005" s="687">
        <v>24932</v>
      </c>
      <c r="I1005" s="687">
        <v>65991</v>
      </c>
    </row>
    <row r="1006" spans="1:9">
      <c r="A1006" s="684"/>
      <c r="B1006" s="684"/>
      <c r="C1006" s="684"/>
      <c r="D1006" s="684"/>
      <c r="E1006" s="684"/>
      <c r="F1006" s="684"/>
      <c r="G1006" s="684"/>
      <c r="H1006" s="684"/>
    </row>
    <row r="1007" spans="1:9">
      <c r="A1007" s="684"/>
      <c r="B1007" s="684"/>
      <c r="C1007" s="684"/>
      <c r="D1007" s="684"/>
      <c r="E1007" s="684"/>
      <c r="F1007" s="684"/>
      <c r="G1007" s="684"/>
      <c r="H1007" s="684"/>
    </row>
    <row r="1008" spans="1:9">
      <c r="A1008" s="691" t="s">
        <v>1073</v>
      </c>
      <c r="B1008" s="684"/>
      <c r="C1008" s="684"/>
      <c r="D1008" s="684"/>
      <c r="E1008" s="684"/>
      <c r="F1008" s="684"/>
      <c r="G1008" s="684"/>
      <c r="H1008" s="684"/>
    </row>
    <row r="1009" spans="1:8">
      <c r="A1009" s="791" t="s">
        <v>199</v>
      </c>
      <c r="B1009" s="684"/>
      <c r="C1009" s="778"/>
      <c r="D1009" s="778">
        <v>2015</v>
      </c>
      <c r="E1009" s="219" t="s">
        <v>167</v>
      </c>
      <c r="F1009" s="219" t="s">
        <v>168</v>
      </c>
      <c r="G1009" s="219" t="s">
        <v>169</v>
      </c>
      <c r="H1009" s="219" t="s">
        <v>170</v>
      </c>
    </row>
    <row r="1010" spans="1:8" ht="18">
      <c r="A1010" s="684"/>
      <c r="B1010" s="685" t="s">
        <v>151</v>
      </c>
      <c r="C1010" s="202" t="s">
        <v>246</v>
      </c>
      <c r="D1010" s="687">
        <v>5824836</v>
      </c>
      <c r="E1010" s="687">
        <v>5330603</v>
      </c>
      <c r="F1010" s="687">
        <v>4865507</v>
      </c>
      <c r="G1010" s="687">
        <v>4645891</v>
      </c>
      <c r="H1010" s="687">
        <v>4520950</v>
      </c>
    </row>
    <row r="1011" spans="1:8">
      <c r="A1011" s="684"/>
      <c r="B1011" s="684"/>
      <c r="C1011" s="778"/>
      <c r="D1011" s="234"/>
      <c r="E1011" s="234"/>
      <c r="F1011" s="234"/>
      <c r="G1011" s="234"/>
      <c r="H1011" s="234"/>
    </row>
    <row r="1012" spans="1:8" ht="28">
      <c r="A1012" s="684"/>
      <c r="B1012" s="685" t="s">
        <v>499</v>
      </c>
      <c r="C1012" s="211" t="s">
        <v>247</v>
      </c>
      <c r="D1012" s="687">
        <v>87213</v>
      </c>
      <c r="E1012" s="687">
        <v>87317</v>
      </c>
      <c r="F1012" s="687">
        <v>50685</v>
      </c>
      <c r="G1012" s="687">
        <v>25656</v>
      </c>
      <c r="H1012" s="688">
        <v>25273</v>
      </c>
    </row>
    <row r="1013" spans="1:8">
      <c r="A1013" s="684"/>
      <c r="B1013" s="684"/>
      <c r="C1013" s="208" t="s">
        <v>248</v>
      </c>
      <c r="D1013" s="686"/>
      <c r="E1013" s="686"/>
      <c r="F1013" s="686"/>
      <c r="G1013" s="686"/>
      <c r="H1013" s="686"/>
    </row>
    <row r="1014" spans="1:8">
      <c r="A1014" s="684"/>
      <c r="B1014" s="684"/>
      <c r="C1014" s="208" t="s">
        <v>249</v>
      </c>
      <c r="D1014" s="686"/>
      <c r="E1014" s="686"/>
      <c r="F1014" s="686"/>
      <c r="G1014" s="686"/>
      <c r="H1014" s="686"/>
    </row>
    <row r="1015" spans="1:8" ht="18">
      <c r="A1015" s="684"/>
      <c r="B1015" s="685" t="s">
        <v>500</v>
      </c>
      <c r="C1015" s="657" t="s">
        <v>250</v>
      </c>
      <c r="D1015" s="687">
        <v>386209</v>
      </c>
      <c r="E1015" s="687">
        <v>400056</v>
      </c>
      <c r="F1015" s="687">
        <v>396415</v>
      </c>
      <c r="G1015" s="687">
        <v>822269</v>
      </c>
      <c r="H1015" s="687">
        <v>813828</v>
      </c>
    </row>
    <row r="1016" spans="1:8" ht="28">
      <c r="A1016" s="684"/>
      <c r="B1016" s="685" t="s">
        <v>501</v>
      </c>
      <c r="C1016" s="210" t="s">
        <v>251</v>
      </c>
      <c r="D1016" s="687">
        <v>728406</v>
      </c>
      <c r="E1016" s="687">
        <v>736084</v>
      </c>
      <c r="F1016" s="687">
        <v>868574</v>
      </c>
      <c r="G1016" s="687">
        <v>485909</v>
      </c>
      <c r="H1016" s="687">
        <v>557100</v>
      </c>
    </row>
    <row r="1017" spans="1:8" ht="28">
      <c r="A1017" s="684"/>
      <c r="B1017" s="684"/>
      <c r="C1017" s="208" t="s">
        <v>252</v>
      </c>
      <c r="D1017" s="235"/>
      <c r="E1017" s="235"/>
      <c r="F1017" s="235"/>
      <c r="G1017" s="235"/>
      <c r="H1017" s="235"/>
    </row>
    <row r="1018" spans="1:8" ht="28">
      <c r="A1018" s="684"/>
      <c r="B1018" s="684" t="s">
        <v>1053</v>
      </c>
      <c r="C1018" s="208" t="s">
        <v>253</v>
      </c>
      <c r="D1018" s="687">
        <v>91955</v>
      </c>
      <c r="E1018" s="687">
        <v>107098</v>
      </c>
      <c r="F1018" s="687">
        <v>113709</v>
      </c>
      <c r="G1018" s="687">
        <v>527275</v>
      </c>
      <c r="H1018" s="687">
        <v>123370</v>
      </c>
    </row>
    <row r="1019" spans="1:8" ht="28">
      <c r="A1019" s="684"/>
      <c r="B1019" s="684"/>
      <c r="C1019" s="208" t="s">
        <v>254</v>
      </c>
      <c r="D1019" s="235"/>
      <c r="E1019" s="235"/>
      <c r="F1019" s="235"/>
      <c r="G1019" s="235"/>
      <c r="H1019" s="235"/>
    </row>
    <row r="1020" spans="1:8" ht="18">
      <c r="A1020" s="684"/>
      <c r="B1020" s="685" t="s">
        <v>502</v>
      </c>
      <c r="C1020" s="659" t="s">
        <v>255</v>
      </c>
      <c r="D1020" s="687">
        <v>5438627</v>
      </c>
      <c r="E1020" s="687">
        <v>4930547</v>
      </c>
      <c r="F1020" s="687">
        <v>4469094</v>
      </c>
      <c r="G1020" s="687">
        <v>3823621</v>
      </c>
      <c r="H1020" s="687">
        <v>3707123</v>
      </c>
    </row>
    <row r="1021" spans="1:8">
      <c r="A1021" s="684"/>
      <c r="B1021" s="684"/>
      <c r="C1021" s="684"/>
      <c r="D1021" s="684"/>
      <c r="E1021" s="684"/>
      <c r="F1021" s="684"/>
      <c r="G1021" s="684"/>
      <c r="H1021" s="684"/>
    </row>
    <row r="1022" spans="1:8">
      <c r="A1022" s="684"/>
      <c r="B1022" s="684"/>
      <c r="C1022" s="684"/>
      <c r="D1022" s="684"/>
      <c r="E1022" s="684"/>
      <c r="F1022" s="684"/>
      <c r="G1022" s="684"/>
      <c r="H1022" s="684"/>
    </row>
    <row r="1023" spans="1:8">
      <c r="A1023" s="691" t="s">
        <v>1074</v>
      </c>
      <c r="B1023" s="684"/>
      <c r="C1023" s="684"/>
      <c r="D1023" s="684"/>
      <c r="E1023" s="684"/>
      <c r="F1023" s="684"/>
      <c r="G1023" s="684"/>
      <c r="H1023" s="684"/>
    </row>
    <row r="1024" spans="1:8">
      <c r="A1024" s="791" t="s">
        <v>199</v>
      </c>
      <c r="B1024" s="684"/>
      <c r="C1024" s="778"/>
      <c r="D1024" s="778">
        <v>2015</v>
      </c>
      <c r="E1024" s="219" t="s">
        <v>167</v>
      </c>
      <c r="F1024" s="219" t="s">
        <v>168</v>
      </c>
      <c r="G1024" s="219" t="s">
        <v>169</v>
      </c>
      <c r="H1024" s="219" t="s">
        <v>170</v>
      </c>
    </row>
    <row r="1025" spans="1:8" ht="18">
      <c r="A1025" s="684"/>
      <c r="B1025" s="685" t="s">
        <v>151</v>
      </c>
      <c r="C1025" s="202" t="s">
        <v>246</v>
      </c>
      <c r="D1025" s="687">
        <v>1538241</v>
      </c>
      <c r="E1025" s="687">
        <v>1256627</v>
      </c>
      <c r="F1025" s="687">
        <v>1242622</v>
      </c>
      <c r="G1025" s="687">
        <v>1295133</v>
      </c>
      <c r="H1025" s="687">
        <v>1328896</v>
      </c>
    </row>
    <row r="1026" spans="1:8">
      <c r="A1026" s="684"/>
      <c r="B1026" s="684"/>
      <c r="C1026" s="778"/>
      <c r="D1026" s="234"/>
      <c r="E1026" s="234"/>
      <c r="F1026" s="234"/>
      <c r="G1026" s="234"/>
      <c r="H1026" s="234"/>
    </row>
    <row r="1027" spans="1:8" ht="28">
      <c r="A1027" s="684"/>
      <c r="B1027" s="685" t="s">
        <v>499</v>
      </c>
      <c r="C1027" s="211" t="s">
        <v>247</v>
      </c>
      <c r="D1027" s="687">
        <v>1453475</v>
      </c>
      <c r="E1027" s="687">
        <v>1807652</v>
      </c>
      <c r="F1027" s="687">
        <v>1710514</v>
      </c>
      <c r="G1027" s="687">
        <v>1795195</v>
      </c>
      <c r="H1027" s="687">
        <v>1848494</v>
      </c>
    </row>
    <row r="1028" spans="1:8">
      <c r="A1028" s="684"/>
      <c r="B1028" s="684"/>
      <c r="C1028" s="208" t="s">
        <v>248</v>
      </c>
      <c r="D1028" s="686"/>
      <c r="E1028" s="686"/>
      <c r="F1028" s="686"/>
      <c r="G1028" s="686"/>
      <c r="H1028" s="686"/>
    </row>
    <row r="1029" spans="1:8">
      <c r="A1029" s="684"/>
      <c r="B1029" s="684"/>
      <c r="C1029" s="208" t="s">
        <v>249</v>
      </c>
      <c r="D1029" s="686"/>
      <c r="E1029" s="686"/>
      <c r="F1029" s="686"/>
      <c r="G1029" s="686"/>
      <c r="H1029" s="686"/>
    </row>
    <row r="1030" spans="1:8" ht="18">
      <c r="A1030" s="684"/>
      <c r="B1030" s="685" t="s">
        <v>500</v>
      </c>
      <c r="C1030" s="657" t="s">
        <v>250</v>
      </c>
      <c r="D1030" s="687">
        <v>747526</v>
      </c>
      <c r="E1030" s="687">
        <v>916245</v>
      </c>
      <c r="F1030" s="687">
        <v>901817</v>
      </c>
      <c r="G1030" s="687">
        <v>968742</v>
      </c>
      <c r="H1030" s="687">
        <v>989649</v>
      </c>
    </row>
    <row r="1031" spans="1:8" ht="28">
      <c r="A1031" s="684"/>
      <c r="B1031" s="685" t="s">
        <v>501</v>
      </c>
      <c r="C1031" s="210" t="s">
        <v>251</v>
      </c>
      <c r="D1031" s="687">
        <v>45444</v>
      </c>
      <c r="E1031" s="687">
        <v>45468</v>
      </c>
      <c r="F1031" s="687">
        <v>29470</v>
      </c>
      <c r="G1031" s="687">
        <v>35299</v>
      </c>
      <c r="H1031" s="687">
        <v>9933</v>
      </c>
    </row>
    <row r="1032" spans="1:8" ht="28">
      <c r="A1032" s="684"/>
      <c r="B1032" s="684"/>
      <c r="C1032" s="208" t="s">
        <v>252</v>
      </c>
      <c r="D1032" s="235"/>
      <c r="E1032" s="235"/>
      <c r="F1032" s="235"/>
      <c r="G1032" s="235"/>
      <c r="H1032" s="235"/>
    </row>
    <row r="1033" spans="1:8" ht="28">
      <c r="A1033" s="684"/>
      <c r="B1033" s="684" t="s">
        <v>1053</v>
      </c>
      <c r="C1033" s="208" t="s">
        <v>253</v>
      </c>
      <c r="D1033" s="687">
        <v>339597</v>
      </c>
      <c r="E1033" s="687">
        <v>484654</v>
      </c>
      <c r="F1033" s="687">
        <v>505795</v>
      </c>
      <c r="G1033" s="687">
        <v>548064</v>
      </c>
      <c r="H1033" s="687">
        <v>559210</v>
      </c>
    </row>
    <row r="1034" spans="1:8" ht="28">
      <c r="A1034" s="684"/>
      <c r="B1034" s="684"/>
      <c r="C1034" s="208" t="s">
        <v>254</v>
      </c>
      <c r="D1034" s="235"/>
      <c r="E1034" s="235"/>
      <c r="F1034" s="235"/>
      <c r="G1034" s="235"/>
      <c r="H1034" s="235"/>
    </row>
    <row r="1035" spans="1:8" ht="18">
      <c r="A1035" s="684"/>
      <c r="B1035" s="685" t="s">
        <v>502</v>
      </c>
      <c r="C1035" s="659" t="s">
        <v>255</v>
      </c>
      <c r="D1035" s="687">
        <v>790716</v>
      </c>
      <c r="E1035" s="687">
        <v>340380</v>
      </c>
      <c r="F1035" s="687">
        <v>340806</v>
      </c>
      <c r="G1035" s="687">
        <v>326391</v>
      </c>
      <c r="H1035" s="687">
        <v>339248</v>
      </c>
    </row>
    <row r="1036" spans="1:8">
      <c r="A1036" s="684"/>
      <c r="B1036" s="684"/>
      <c r="C1036" s="684"/>
      <c r="D1036" s="684"/>
      <c r="E1036" s="684"/>
      <c r="F1036" s="684"/>
      <c r="G1036" s="684"/>
      <c r="H1036" s="684"/>
    </row>
    <row r="1037" spans="1:8">
      <c r="A1037" s="684"/>
      <c r="B1037" s="684"/>
      <c r="C1037" s="684"/>
      <c r="D1037" s="684"/>
      <c r="E1037" s="684"/>
      <c r="F1037" s="684"/>
      <c r="G1037" s="684"/>
      <c r="H1037" s="684"/>
    </row>
    <row r="1038" spans="1:8">
      <c r="A1038" s="691" t="s">
        <v>1075</v>
      </c>
      <c r="B1038" s="684"/>
      <c r="C1038" s="684"/>
      <c r="D1038" s="684"/>
      <c r="E1038" s="684"/>
      <c r="F1038" s="684"/>
      <c r="G1038" s="684"/>
      <c r="H1038" s="684"/>
    </row>
    <row r="1039" spans="1:8">
      <c r="A1039" s="791" t="s">
        <v>199</v>
      </c>
      <c r="B1039" s="684"/>
      <c r="C1039" s="778"/>
      <c r="D1039" s="778">
        <v>2015</v>
      </c>
      <c r="E1039" s="219" t="s">
        <v>167</v>
      </c>
      <c r="F1039" s="219" t="s">
        <v>168</v>
      </c>
      <c r="G1039" s="219" t="s">
        <v>169</v>
      </c>
      <c r="H1039" s="219" t="s">
        <v>170</v>
      </c>
    </row>
    <row r="1040" spans="1:8" ht="18">
      <c r="A1040" s="684"/>
      <c r="B1040" s="685" t="s">
        <v>151</v>
      </c>
      <c r="C1040" s="202" t="s">
        <v>246</v>
      </c>
      <c r="D1040" s="687">
        <v>3025503</v>
      </c>
      <c r="E1040" s="687">
        <v>2411477</v>
      </c>
      <c r="F1040" s="687">
        <v>2224626</v>
      </c>
      <c r="G1040" s="687">
        <v>2350345</v>
      </c>
      <c r="H1040" s="687">
        <v>3528833</v>
      </c>
    </row>
    <row r="1041" spans="1:8">
      <c r="A1041" s="684"/>
      <c r="B1041" s="684"/>
      <c r="C1041" s="778"/>
      <c r="D1041" s="234"/>
      <c r="E1041" s="234"/>
      <c r="F1041" s="234"/>
      <c r="G1041" s="234"/>
      <c r="H1041" s="234"/>
    </row>
    <row r="1042" spans="1:8" ht="28">
      <c r="A1042" s="684"/>
      <c r="B1042" s="685" t="s">
        <v>499</v>
      </c>
      <c r="C1042" s="211" t="s">
        <v>247</v>
      </c>
      <c r="D1042" s="687">
        <v>3051243</v>
      </c>
      <c r="E1042" s="687">
        <v>2453658</v>
      </c>
      <c r="F1042" s="687">
        <v>2693167</v>
      </c>
      <c r="G1042" s="687">
        <v>2369906</v>
      </c>
      <c r="H1042" s="687">
        <v>3545959</v>
      </c>
    </row>
    <row r="1043" spans="1:8">
      <c r="A1043" s="684"/>
      <c r="B1043" s="684"/>
      <c r="C1043" s="208" t="s">
        <v>248</v>
      </c>
      <c r="D1043" s="686"/>
      <c r="E1043" s="686"/>
      <c r="F1043" s="686"/>
      <c r="G1043" s="686"/>
      <c r="H1043" s="686"/>
    </row>
    <row r="1044" spans="1:8">
      <c r="A1044" s="684"/>
      <c r="B1044" s="684"/>
      <c r="C1044" s="208" t="s">
        <v>249</v>
      </c>
      <c r="D1044" s="686"/>
      <c r="E1044" s="686"/>
      <c r="F1044" s="686"/>
      <c r="G1044" s="686"/>
      <c r="H1044" s="686"/>
    </row>
    <row r="1045" spans="1:8" ht="18">
      <c r="A1045" s="684"/>
      <c r="B1045" s="685" t="s">
        <v>500</v>
      </c>
      <c r="C1045" s="657" t="s">
        <v>250</v>
      </c>
      <c r="D1045" s="687">
        <v>2170937</v>
      </c>
      <c r="E1045" s="687">
        <v>1801114</v>
      </c>
      <c r="F1045" s="687">
        <v>1657956</v>
      </c>
      <c r="G1045" s="687">
        <v>1494150</v>
      </c>
      <c r="H1045" s="687">
        <v>2688450</v>
      </c>
    </row>
    <row r="1046" spans="1:8" ht="28">
      <c r="A1046" s="684"/>
      <c r="B1046" s="685" t="s">
        <v>501</v>
      </c>
      <c r="C1046" s="210" t="s">
        <v>251</v>
      </c>
      <c r="D1046" s="687">
        <v>-40163</v>
      </c>
      <c r="E1046" s="687">
        <v>-21819</v>
      </c>
      <c r="F1046" s="687">
        <v>-227363</v>
      </c>
      <c r="G1046" s="687">
        <v>450421</v>
      </c>
      <c r="H1046" s="687">
        <v>22896</v>
      </c>
    </row>
    <row r="1047" spans="1:8" ht="28">
      <c r="A1047" s="684"/>
      <c r="B1047" s="684"/>
      <c r="C1047" s="208" t="s">
        <v>252</v>
      </c>
      <c r="D1047" s="235"/>
      <c r="E1047" s="235"/>
      <c r="F1047" s="235"/>
      <c r="G1047" s="235"/>
      <c r="H1047" s="235"/>
    </row>
    <row r="1048" spans="1:8" ht="28">
      <c r="A1048" s="684"/>
      <c r="B1048" s="684" t="s">
        <v>1053</v>
      </c>
      <c r="C1048" s="208" t="s">
        <v>253</v>
      </c>
      <c r="D1048" s="687">
        <v>51581</v>
      </c>
      <c r="E1048" s="687">
        <v>119479</v>
      </c>
      <c r="F1048" s="687">
        <v>289794</v>
      </c>
      <c r="G1048" s="687">
        <v>114038</v>
      </c>
      <c r="H1048" s="687">
        <v>614448</v>
      </c>
    </row>
    <row r="1049" spans="1:8" ht="28">
      <c r="A1049" s="684"/>
      <c r="B1049" s="684"/>
      <c r="C1049" s="208" t="s">
        <v>254</v>
      </c>
      <c r="D1049" s="235"/>
      <c r="E1049" s="235"/>
      <c r="F1049" s="235"/>
      <c r="G1049" s="235"/>
      <c r="H1049" s="235"/>
    </row>
    <row r="1050" spans="1:8" ht="18">
      <c r="A1050" s="684"/>
      <c r="B1050" s="685" t="s">
        <v>502</v>
      </c>
      <c r="C1050" s="659" t="s">
        <v>255</v>
      </c>
      <c r="D1050" s="687">
        <v>854566</v>
      </c>
      <c r="E1050" s="687">
        <v>610363</v>
      </c>
      <c r="F1050" s="687">
        <v>566670</v>
      </c>
      <c r="G1050" s="687">
        <v>856195</v>
      </c>
      <c r="H1050" s="687">
        <v>840383</v>
      </c>
    </row>
    <row r="1051" spans="1:8">
      <c r="A1051" s="684"/>
      <c r="B1051" s="684"/>
      <c r="C1051" s="684"/>
      <c r="D1051" s="684"/>
      <c r="E1051" s="684"/>
      <c r="F1051" s="684"/>
      <c r="G1051" s="684"/>
      <c r="H1051" s="684"/>
    </row>
    <row r="1052" spans="1:8">
      <c r="A1052" s="684"/>
      <c r="B1052" s="684"/>
      <c r="C1052" s="684"/>
      <c r="D1052" s="684"/>
      <c r="E1052" s="684"/>
      <c r="F1052" s="684"/>
      <c r="G1052" s="684"/>
      <c r="H1052" s="684"/>
    </row>
    <row r="1053" spans="1:8">
      <c r="A1053" s="691" t="s">
        <v>1076</v>
      </c>
      <c r="B1053" s="684"/>
      <c r="C1053" s="684"/>
      <c r="D1053" s="684"/>
      <c r="E1053" s="684"/>
      <c r="F1053" s="684"/>
      <c r="G1053" s="684"/>
      <c r="H1053" s="684"/>
    </row>
    <row r="1054" spans="1:8">
      <c r="A1054" s="791" t="s">
        <v>199</v>
      </c>
      <c r="B1054" s="684"/>
      <c r="C1054" s="778"/>
      <c r="D1054" s="778">
        <v>2015</v>
      </c>
      <c r="E1054" s="219" t="s">
        <v>167</v>
      </c>
      <c r="F1054" s="219" t="s">
        <v>168</v>
      </c>
      <c r="G1054" s="219" t="s">
        <v>169</v>
      </c>
      <c r="H1054" s="219" t="s">
        <v>170</v>
      </c>
    </row>
    <row r="1055" spans="1:8" ht="18">
      <c r="A1055" s="684"/>
      <c r="B1055" s="685" t="s">
        <v>151</v>
      </c>
      <c r="C1055" s="202" t="s">
        <v>246</v>
      </c>
      <c r="D1055" s="687">
        <v>1619078</v>
      </c>
      <c r="E1055" s="687">
        <v>1533722</v>
      </c>
      <c r="F1055" s="687">
        <v>1461031</v>
      </c>
      <c r="G1055" s="687">
        <v>529605</v>
      </c>
      <c r="H1055" s="687">
        <v>538971</v>
      </c>
    </row>
    <row r="1056" spans="1:8">
      <c r="A1056" s="684"/>
      <c r="B1056" s="684"/>
      <c r="C1056" s="778"/>
      <c r="D1056" s="234"/>
      <c r="E1056" s="234"/>
      <c r="F1056" s="234"/>
      <c r="G1056" s="234"/>
      <c r="H1056" s="234"/>
    </row>
    <row r="1057" spans="1:8" ht="28">
      <c r="A1057" s="684"/>
      <c r="B1057" s="685" t="s">
        <v>499</v>
      </c>
      <c r="C1057" s="211" t="s">
        <v>247</v>
      </c>
      <c r="D1057" s="687">
        <v>747262</v>
      </c>
      <c r="E1057" s="687">
        <v>733641</v>
      </c>
      <c r="F1057" s="687">
        <v>712190</v>
      </c>
      <c r="G1057" s="687">
        <v>10336</v>
      </c>
      <c r="H1057" s="687">
        <v>10563</v>
      </c>
    </row>
    <row r="1058" spans="1:8">
      <c r="A1058" s="684"/>
      <c r="B1058" s="684"/>
      <c r="C1058" s="208" t="s">
        <v>248</v>
      </c>
      <c r="D1058" s="686"/>
      <c r="E1058" s="686"/>
      <c r="F1058" s="686"/>
      <c r="G1058" s="686"/>
      <c r="H1058" s="686"/>
    </row>
    <row r="1059" spans="1:8">
      <c r="A1059" s="684"/>
      <c r="B1059" s="684"/>
      <c r="C1059" s="208" t="s">
        <v>249</v>
      </c>
      <c r="D1059" s="686"/>
      <c r="E1059" s="686"/>
      <c r="F1059" s="686"/>
      <c r="G1059" s="686"/>
      <c r="H1059" s="686"/>
    </row>
    <row r="1060" spans="1:8" ht="18">
      <c r="A1060" s="684"/>
      <c r="B1060" s="685" t="s">
        <v>500</v>
      </c>
      <c r="C1060" s="657" t="s">
        <v>250</v>
      </c>
      <c r="D1060" s="687">
        <v>1134159</v>
      </c>
      <c r="E1060" s="687">
        <v>1059597</v>
      </c>
      <c r="F1060" s="687">
        <v>988032</v>
      </c>
      <c r="G1060" s="687">
        <v>271880</v>
      </c>
      <c r="H1060" s="687">
        <v>256695</v>
      </c>
    </row>
    <row r="1061" spans="1:8" ht="28">
      <c r="A1061" s="684"/>
      <c r="B1061" s="685" t="s">
        <v>501</v>
      </c>
      <c r="C1061" s="210" t="s">
        <v>251</v>
      </c>
      <c r="D1061" s="687">
        <v>-17461</v>
      </c>
      <c r="E1061" s="687">
        <v>-23752</v>
      </c>
      <c r="F1061" s="687">
        <v>13235</v>
      </c>
      <c r="G1061" s="687">
        <v>-20057</v>
      </c>
      <c r="H1061" s="687">
        <v>-42356</v>
      </c>
    </row>
    <row r="1062" spans="1:8" ht="28">
      <c r="A1062" s="684"/>
      <c r="B1062" s="684"/>
      <c r="C1062" s="208" t="s">
        <v>252</v>
      </c>
      <c r="D1062" s="235"/>
      <c r="E1062" s="235"/>
      <c r="F1062" s="235"/>
      <c r="G1062" s="235"/>
      <c r="H1062" s="235"/>
    </row>
    <row r="1063" spans="1:8" ht="28">
      <c r="A1063" s="684"/>
      <c r="B1063" s="684" t="s">
        <v>1053</v>
      </c>
      <c r="C1063" s="208" t="s">
        <v>253</v>
      </c>
      <c r="D1063" s="687">
        <v>366322</v>
      </c>
      <c r="E1063" s="687">
        <v>827959</v>
      </c>
      <c r="F1063" s="687">
        <v>622526</v>
      </c>
      <c r="G1063" s="687">
        <v>221087</v>
      </c>
      <c r="H1063" s="687">
        <v>149905</v>
      </c>
    </row>
    <row r="1064" spans="1:8" ht="28">
      <c r="A1064" s="684"/>
      <c r="B1064" s="684"/>
      <c r="C1064" s="208" t="s">
        <v>254</v>
      </c>
      <c r="D1064" s="235"/>
      <c r="E1064" s="235"/>
      <c r="F1064" s="235"/>
      <c r="G1064" s="235"/>
      <c r="H1064" s="235"/>
    </row>
    <row r="1065" spans="1:8" ht="18">
      <c r="A1065" s="684"/>
      <c r="B1065" s="685" t="s">
        <v>502</v>
      </c>
      <c r="C1065" s="659" t="s">
        <v>255</v>
      </c>
      <c r="D1065" s="687">
        <v>484919</v>
      </c>
      <c r="E1065" s="687">
        <v>474125</v>
      </c>
      <c r="F1065" s="687">
        <v>472999</v>
      </c>
      <c r="G1065" s="687">
        <v>257725</v>
      </c>
      <c r="H1065" s="687">
        <v>282276</v>
      </c>
    </row>
    <row r="1066" spans="1:8">
      <c r="A1066" s="684"/>
      <c r="B1066" s="684"/>
      <c r="C1066" s="684"/>
      <c r="D1066" s="684"/>
      <c r="E1066" s="684"/>
      <c r="F1066" s="684"/>
      <c r="G1066" s="684"/>
      <c r="H1066" s="684"/>
    </row>
    <row r="1067" spans="1:8">
      <c r="A1067" s="684"/>
      <c r="B1067" s="684"/>
      <c r="C1067" s="684"/>
      <c r="D1067" s="684"/>
      <c r="E1067" s="684"/>
      <c r="F1067" s="684"/>
      <c r="G1067" s="684"/>
      <c r="H1067" s="684"/>
    </row>
    <row r="1068" spans="1:8">
      <c r="A1068" s="691" t="s">
        <v>1077</v>
      </c>
      <c r="B1068" s="684"/>
      <c r="C1068" s="684"/>
      <c r="D1068" s="684"/>
      <c r="E1068" s="684"/>
      <c r="F1068" s="684"/>
      <c r="G1068" s="684"/>
      <c r="H1068" s="684"/>
    </row>
    <row r="1069" spans="1:8">
      <c r="A1069" s="791" t="s">
        <v>199</v>
      </c>
      <c r="B1069" s="684"/>
      <c r="C1069" s="778"/>
      <c r="D1069" s="778">
        <v>2015</v>
      </c>
      <c r="E1069" s="219" t="s">
        <v>167</v>
      </c>
      <c r="F1069" s="219" t="s">
        <v>168</v>
      </c>
      <c r="G1069" s="219" t="s">
        <v>169</v>
      </c>
      <c r="H1069" s="219" t="s">
        <v>170</v>
      </c>
    </row>
    <row r="1070" spans="1:8" ht="18">
      <c r="A1070" s="684"/>
      <c r="B1070" s="685" t="s">
        <v>151</v>
      </c>
      <c r="C1070" s="202" t="s">
        <v>246</v>
      </c>
      <c r="D1070" s="687">
        <v>1083127</v>
      </c>
      <c r="E1070" s="687">
        <v>903822</v>
      </c>
      <c r="F1070" s="687">
        <v>721980</v>
      </c>
      <c r="G1070" s="687">
        <v>672576</v>
      </c>
      <c r="H1070" s="687">
        <v>721662</v>
      </c>
    </row>
    <row r="1071" spans="1:8">
      <c r="A1071" s="684"/>
      <c r="B1071" s="684"/>
      <c r="C1071" s="778"/>
      <c r="D1071" s="234"/>
      <c r="E1071" s="234"/>
      <c r="F1071" s="234"/>
      <c r="G1071" s="234"/>
      <c r="H1071" s="234"/>
    </row>
    <row r="1072" spans="1:8" ht="28">
      <c r="A1072" s="684"/>
      <c r="B1072" s="685" t="s">
        <v>499</v>
      </c>
      <c r="C1072" s="211" t="s">
        <v>247</v>
      </c>
      <c r="D1072" s="687">
        <v>1425338</v>
      </c>
      <c r="E1072" s="687">
        <v>1246059</v>
      </c>
      <c r="F1072" s="687">
        <v>918670</v>
      </c>
      <c r="G1072" s="687">
        <v>831530</v>
      </c>
      <c r="H1072" s="688">
        <v>893552</v>
      </c>
    </row>
    <row r="1073" spans="1:8">
      <c r="A1073" s="684"/>
      <c r="B1073" s="684"/>
      <c r="C1073" s="208" t="s">
        <v>248</v>
      </c>
      <c r="D1073" s="686"/>
      <c r="E1073" s="686"/>
      <c r="F1073" s="686"/>
      <c r="G1073" s="686"/>
      <c r="H1073" s="686"/>
    </row>
    <row r="1074" spans="1:8">
      <c r="A1074" s="684"/>
      <c r="B1074" s="684"/>
      <c r="C1074" s="208" t="s">
        <v>249</v>
      </c>
      <c r="D1074" s="686"/>
      <c r="E1074" s="686"/>
      <c r="F1074" s="686"/>
      <c r="G1074" s="686"/>
      <c r="H1074" s="686"/>
    </row>
    <row r="1075" spans="1:8" ht="18">
      <c r="A1075" s="684"/>
      <c r="B1075" s="685" t="s">
        <v>500</v>
      </c>
      <c r="C1075" s="657" t="s">
        <v>250</v>
      </c>
      <c r="D1075" s="687">
        <v>654695</v>
      </c>
      <c r="E1075" s="687">
        <v>514569</v>
      </c>
      <c r="F1075" s="687">
        <v>383124</v>
      </c>
      <c r="G1075" s="687">
        <v>347301</v>
      </c>
      <c r="H1075" s="687">
        <v>397894</v>
      </c>
    </row>
    <row r="1076" spans="1:8" ht="28">
      <c r="A1076" s="684"/>
      <c r="B1076" s="685" t="s">
        <v>501</v>
      </c>
      <c r="C1076" s="210" t="s">
        <v>251</v>
      </c>
      <c r="D1076" s="687">
        <v>56828</v>
      </c>
      <c r="E1076" s="687">
        <v>54500</v>
      </c>
      <c r="F1076" s="687">
        <v>2376</v>
      </c>
      <c r="G1076" s="687">
        <v>10274</v>
      </c>
      <c r="H1076" s="688">
        <v>11486</v>
      </c>
    </row>
    <row r="1077" spans="1:8" ht="28">
      <c r="A1077" s="684"/>
      <c r="B1077" s="684"/>
      <c r="C1077" s="208" t="s">
        <v>252</v>
      </c>
      <c r="D1077" s="235"/>
      <c r="E1077" s="235"/>
      <c r="F1077" s="235"/>
      <c r="G1077" s="235"/>
      <c r="H1077" s="235"/>
    </row>
    <row r="1078" spans="1:8" ht="28">
      <c r="A1078" s="684"/>
      <c r="B1078" s="684" t="s">
        <v>1053</v>
      </c>
      <c r="C1078" s="208" t="s">
        <v>253</v>
      </c>
      <c r="D1078" s="687">
        <v>221977</v>
      </c>
      <c r="E1078" s="687">
        <v>131344</v>
      </c>
      <c r="F1078" s="687">
        <v>55933</v>
      </c>
      <c r="G1078" s="687">
        <v>69764</v>
      </c>
      <c r="H1078" s="687">
        <v>112209</v>
      </c>
    </row>
    <row r="1079" spans="1:8" ht="28">
      <c r="A1079" s="684"/>
      <c r="B1079" s="684"/>
      <c r="C1079" s="208" t="s">
        <v>254</v>
      </c>
      <c r="D1079" s="235"/>
      <c r="E1079" s="235"/>
      <c r="F1079" s="235"/>
      <c r="G1079" s="235"/>
      <c r="H1079" s="235"/>
    </row>
    <row r="1080" spans="1:8" ht="18">
      <c r="A1080" s="684"/>
      <c r="B1080" s="685" t="s">
        <v>502</v>
      </c>
      <c r="C1080" s="659" t="s">
        <v>255</v>
      </c>
      <c r="D1080" s="687">
        <v>428432</v>
      </c>
      <c r="E1080" s="687">
        <v>389253</v>
      </c>
      <c r="F1080" s="687">
        <v>338856</v>
      </c>
      <c r="G1080" s="687">
        <v>325274</v>
      </c>
      <c r="H1080" s="687">
        <v>323770</v>
      </c>
    </row>
    <row r="1081" spans="1:8">
      <c r="A1081" s="684"/>
      <c r="B1081" s="684"/>
      <c r="C1081" s="684"/>
      <c r="D1081" s="684"/>
      <c r="E1081" s="684"/>
      <c r="F1081" s="684"/>
      <c r="G1081" s="684"/>
      <c r="H1081" s="684"/>
    </row>
    <row r="1082" spans="1:8">
      <c r="A1082" s="684"/>
      <c r="B1082" s="684"/>
      <c r="C1082" s="684"/>
      <c r="D1082" s="684"/>
      <c r="E1082" s="684"/>
      <c r="F1082" s="684"/>
      <c r="G1082" s="684"/>
      <c r="H1082" s="684"/>
    </row>
    <row r="1083" spans="1:8">
      <c r="A1083" s="691" t="s">
        <v>1078</v>
      </c>
      <c r="B1083" s="684"/>
      <c r="C1083" s="684"/>
      <c r="D1083" s="684"/>
      <c r="E1083" s="684"/>
      <c r="F1083" s="684"/>
      <c r="G1083" s="684"/>
      <c r="H1083" s="684"/>
    </row>
    <row r="1084" spans="1:8">
      <c r="A1084" s="791" t="s">
        <v>199</v>
      </c>
      <c r="B1084" s="684"/>
      <c r="C1084" s="778"/>
      <c r="D1084" s="778">
        <v>2019</v>
      </c>
      <c r="E1084" s="219" t="s">
        <v>175</v>
      </c>
      <c r="F1084" s="219" t="s">
        <v>176</v>
      </c>
      <c r="G1084" s="219" t="s">
        <v>177</v>
      </c>
      <c r="H1084" s="219" t="s">
        <v>178</v>
      </c>
    </row>
    <row r="1085" spans="1:8" ht="18">
      <c r="A1085" s="684"/>
      <c r="B1085" s="685" t="s">
        <v>151</v>
      </c>
      <c r="C1085" s="202" t="s">
        <v>246</v>
      </c>
      <c r="D1085" s="687">
        <v>506253</v>
      </c>
      <c r="E1085" s="687">
        <v>449469</v>
      </c>
      <c r="F1085" s="687">
        <v>623267</v>
      </c>
      <c r="G1085" s="687">
        <v>1245293</v>
      </c>
      <c r="H1085" s="687">
        <v>1200337</v>
      </c>
    </row>
    <row r="1086" spans="1:8">
      <c r="A1086" s="684"/>
      <c r="B1086" s="684"/>
      <c r="C1086" s="778"/>
      <c r="D1086" s="234"/>
      <c r="E1086" s="234"/>
      <c r="F1086" s="234"/>
      <c r="G1086" s="234"/>
      <c r="H1086" s="234"/>
    </row>
    <row r="1087" spans="1:8" ht="28">
      <c r="A1087" s="684"/>
      <c r="B1087" s="685" t="s">
        <v>499</v>
      </c>
      <c r="C1087" s="211" t="s">
        <v>247</v>
      </c>
      <c r="D1087" s="687">
        <v>571249</v>
      </c>
      <c r="E1087" s="687">
        <v>546418</v>
      </c>
      <c r="F1087" s="687">
        <v>539115</v>
      </c>
      <c r="G1087" s="687">
        <v>689141</v>
      </c>
      <c r="H1087" s="687">
        <v>720809</v>
      </c>
    </row>
    <row r="1088" spans="1:8">
      <c r="A1088" s="684"/>
      <c r="B1088" s="684"/>
      <c r="C1088" s="208" t="s">
        <v>248</v>
      </c>
      <c r="D1088" s="686"/>
      <c r="E1088" s="686"/>
      <c r="F1088" s="686"/>
      <c r="G1088" s="686"/>
      <c r="H1088" s="686"/>
    </row>
    <row r="1089" spans="1:8">
      <c r="A1089" s="684"/>
      <c r="B1089" s="684"/>
      <c r="C1089" s="208" t="s">
        <v>249</v>
      </c>
      <c r="D1089" s="686"/>
      <c r="E1089" s="686"/>
      <c r="F1089" s="686"/>
      <c r="G1089" s="686"/>
      <c r="H1089" s="686"/>
    </row>
    <row r="1090" spans="1:8" ht="18">
      <c r="A1090" s="684"/>
      <c r="B1090" s="685" t="s">
        <v>500</v>
      </c>
      <c r="C1090" s="657" t="s">
        <v>250</v>
      </c>
      <c r="D1090" s="687">
        <v>437528</v>
      </c>
      <c r="E1090" s="687">
        <v>368313</v>
      </c>
      <c r="F1090" s="687">
        <v>559548</v>
      </c>
      <c r="G1090" s="687">
        <v>516835</v>
      </c>
      <c r="H1090" s="687">
        <v>717725</v>
      </c>
    </row>
    <row r="1091" spans="1:8" ht="28">
      <c r="A1091" s="684"/>
      <c r="B1091" s="685" t="s">
        <v>501</v>
      </c>
      <c r="C1091" s="210" t="s">
        <v>251</v>
      </c>
      <c r="D1091" s="687">
        <v>76102</v>
      </c>
      <c r="E1091" s="687">
        <v>186586</v>
      </c>
      <c r="F1091" s="687">
        <v>130762</v>
      </c>
      <c r="G1091" s="687">
        <v>271571</v>
      </c>
      <c r="H1091" s="687">
        <v>226057</v>
      </c>
    </row>
    <row r="1092" spans="1:8" ht="28">
      <c r="A1092" s="684"/>
      <c r="B1092" s="684"/>
      <c r="C1092" s="208" t="s">
        <v>252</v>
      </c>
      <c r="D1092" s="235"/>
      <c r="E1092" s="235"/>
      <c r="F1092" s="235"/>
      <c r="G1092" s="235"/>
      <c r="H1092" s="235"/>
    </row>
    <row r="1093" spans="1:8" ht="28">
      <c r="A1093" s="684"/>
      <c r="B1093" s="684" t="s">
        <v>1053</v>
      </c>
      <c r="C1093" s="208" t="s">
        <v>253</v>
      </c>
      <c r="D1093" s="687">
        <v>17914</v>
      </c>
      <c r="E1093" s="687">
        <v>20951</v>
      </c>
      <c r="F1093" s="687">
        <v>97719</v>
      </c>
      <c r="G1093" s="687">
        <v>68449</v>
      </c>
      <c r="H1093" s="687">
        <v>81491</v>
      </c>
    </row>
    <row r="1094" spans="1:8" ht="28">
      <c r="A1094" s="684"/>
      <c r="B1094" s="684"/>
      <c r="C1094" s="208" t="s">
        <v>254</v>
      </c>
      <c r="D1094" s="235"/>
      <c r="E1094" s="235"/>
      <c r="F1094" s="235"/>
      <c r="G1094" s="235"/>
      <c r="H1094" s="235"/>
    </row>
    <row r="1095" spans="1:8" ht="18">
      <c r="A1095" s="684"/>
      <c r="B1095" s="685" t="s">
        <v>502</v>
      </c>
      <c r="C1095" s="659" t="s">
        <v>255</v>
      </c>
      <c r="D1095" s="687">
        <v>68725</v>
      </c>
      <c r="E1095" s="687">
        <v>81156</v>
      </c>
      <c r="F1095" s="687">
        <v>63719</v>
      </c>
      <c r="G1095" s="687">
        <v>728458</v>
      </c>
      <c r="H1095" s="687">
        <v>482613</v>
      </c>
    </row>
    <row r="1099" spans="1:8">
      <c r="A1099" s="691" t="s">
        <v>1084</v>
      </c>
      <c r="B1099" s="684"/>
      <c r="C1099" s="684"/>
      <c r="D1099" s="684"/>
      <c r="E1099" s="684"/>
      <c r="F1099" s="684"/>
      <c r="G1099" s="684"/>
      <c r="H1099" s="684"/>
    </row>
    <row r="1100" spans="1:8">
      <c r="A1100" s="790" t="s">
        <v>561</v>
      </c>
      <c r="B1100" s="684"/>
      <c r="C1100" s="778"/>
      <c r="D1100" s="778">
        <v>2019</v>
      </c>
      <c r="E1100" s="219" t="s">
        <v>175</v>
      </c>
      <c r="F1100" s="219" t="s">
        <v>176</v>
      </c>
      <c r="G1100" s="219" t="s">
        <v>177</v>
      </c>
      <c r="H1100" s="219" t="s">
        <v>178</v>
      </c>
    </row>
    <row r="1101" spans="1:8" ht="17">
      <c r="A1101" s="684"/>
      <c r="B1101" s="685" t="s">
        <v>151</v>
      </c>
      <c r="C1101" s="202" t="s">
        <v>246</v>
      </c>
      <c r="D1101" s="660">
        <v>394771</v>
      </c>
      <c r="E1101" s="660">
        <v>116661</v>
      </c>
      <c r="F1101" s="660">
        <v>54695</v>
      </c>
      <c r="G1101" s="660">
        <v>17515</v>
      </c>
      <c r="H1101" s="660">
        <v>17307</v>
      </c>
    </row>
    <row r="1102" spans="1:8">
      <c r="A1102" s="684"/>
      <c r="B1102" s="684"/>
      <c r="C1102" s="778"/>
      <c r="D1102" s="234"/>
      <c r="E1102" s="234"/>
      <c r="F1102" s="234"/>
      <c r="G1102" s="234"/>
      <c r="H1102" s="234"/>
    </row>
    <row r="1103" spans="1:8" ht="28">
      <c r="A1103" s="684"/>
      <c r="B1103" s="685" t="s">
        <v>499</v>
      </c>
      <c r="C1103" s="211" t="s">
        <v>247</v>
      </c>
      <c r="D1103" s="694">
        <v>12404</v>
      </c>
      <c r="E1103" s="694">
        <v>1632</v>
      </c>
      <c r="F1103" s="694">
        <v>5346</v>
      </c>
      <c r="G1103" s="694">
        <v>8</v>
      </c>
      <c r="H1103" s="694">
        <v>0</v>
      </c>
    </row>
    <row r="1104" spans="1:8" ht="17">
      <c r="A1104" s="684"/>
      <c r="B1104" s="684"/>
      <c r="C1104" s="208" t="s">
        <v>248</v>
      </c>
      <c r="D1104" s="694">
        <v>174494</v>
      </c>
      <c r="E1104" s="694">
        <v>0</v>
      </c>
      <c r="F1104" s="694">
        <v>1425</v>
      </c>
      <c r="G1104" s="694">
        <v>9455</v>
      </c>
      <c r="H1104" s="694">
        <v>8513</v>
      </c>
    </row>
    <row r="1105" spans="1:8" ht="17">
      <c r="A1105" s="684"/>
      <c r="B1105" s="684"/>
      <c r="C1105" s="208" t="s">
        <v>249</v>
      </c>
      <c r="D1105" s="694">
        <v>9073</v>
      </c>
      <c r="E1105" s="694">
        <v>182</v>
      </c>
      <c r="F1105" s="694">
        <v>2705</v>
      </c>
      <c r="G1105" s="694">
        <v>1226</v>
      </c>
      <c r="H1105" s="694">
        <v>1279</v>
      </c>
    </row>
    <row r="1106" spans="1:8" ht="18">
      <c r="A1106" s="684"/>
      <c r="B1106" s="685" t="s">
        <v>500</v>
      </c>
      <c r="C1106" s="657" t="s">
        <v>250</v>
      </c>
      <c r="D1106" s="687">
        <f>D1104+D1105</f>
        <v>183567</v>
      </c>
      <c r="E1106" s="687">
        <f t="shared" ref="E1106:H1106" si="69">E1104+E1105</f>
        <v>182</v>
      </c>
      <c r="F1106" s="687">
        <f t="shared" si="69"/>
        <v>4130</v>
      </c>
      <c r="G1106" s="687">
        <f t="shared" si="69"/>
        <v>10681</v>
      </c>
      <c r="H1106" s="687">
        <f t="shared" si="69"/>
        <v>9792</v>
      </c>
    </row>
    <row r="1107" spans="1:8" ht="28">
      <c r="A1107" s="684"/>
      <c r="B1107" s="685" t="s">
        <v>501</v>
      </c>
      <c r="C1107" s="210" t="s">
        <v>251</v>
      </c>
      <c r="D1107" s="694">
        <v>15953</v>
      </c>
      <c r="E1107" s="694">
        <v>577</v>
      </c>
      <c r="F1107" s="694">
        <v>-11045</v>
      </c>
      <c r="G1107" s="694">
        <v>-819</v>
      </c>
      <c r="H1107" s="694">
        <v>-1505</v>
      </c>
    </row>
    <row r="1108" spans="1:8" ht="28">
      <c r="A1108" s="684"/>
      <c r="B1108" s="684"/>
      <c r="C1108" s="208" t="s">
        <v>252</v>
      </c>
      <c r="D1108" s="235"/>
      <c r="E1108" s="235"/>
      <c r="F1108" s="235"/>
      <c r="G1108" s="235"/>
      <c r="H1108" s="235"/>
    </row>
    <row r="1109" spans="1:8" ht="28">
      <c r="A1109" s="684"/>
      <c r="B1109" s="684" t="s">
        <v>1053</v>
      </c>
      <c r="C1109" s="208" t="s">
        <v>253</v>
      </c>
      <c r="D1109" s="687"/>
      <c r="E1109" s="687"/>
      <c r="F1109" s="687"/>
      <c r="G1109" s="687"/>
      <c r="H1109" s="687"/>
    </row>
    <row r="1110" spans="1:8" ht="28">
      <c r="A1110" s="684"/>
      <c r="B1110" s="684"/>
      <c r="C1110" s="208" t="s">
        <v>254</v>
      </c>
      <c r="D1110" s="235"/>
      <c r="E1110" s="235"/>
      <c r="F1110" s="235"/>
      <c r="G1110" s="235"/>
      <c r="H1110" s="235"/>
    </row>
    <row r="1111" spans="1:8" ht="17">
      <c r="A1111" s="684"/>
      <c r="B1111" s="685" t="s">
        <v>502</v>
      </c>
      <c r="C1111" s="659" t="s">
        <v>255</v>
      </c>
      <c r="D1111" s="694">
        <v>211204</v>
      </c>
      <c r="E1111" s="694">
        <v>116479</v>
      </c>
      <c r="F1111" s="694">
        <v>50565</v>
      </c>
      <c r="G1111" s="694">
        <v>6835</v>
      </c>
      <c r="H1111" s="694">
        <v>7515</v>
      </c>
    </row>
    <row r="1112" spans="1:8">
      <c r="A1112" s="684"/>
      <c r="B1112" s="684"/>
      <c r="C1112" s="684"/>
      <c r="D1112" s="684"/>
      <c r="E1112" s="684"/>
      <c r="F1112" s="684"/>
      <c r="G1112" s="684"/>
      <c r="H1112" s="684"/>
    </row>
    <row r="1113" spans="1:8">
      <c r="A1113" s="684"/>
      <c r="B1113" s="684"/>
      <c r="C1113" s="684"/>
      <c r="D1113" s="684"/>
      <c r="E1113" s="684"/>
      <c r="F1113" s="684"/>
      <c r="G1113" s="684"/>
      <c r="H1113" s="684"/>
    </row>
    <row r="1114" spans="1:8">
      <c r="A1114" s="691" t="s">
        <v>1085</v>
      </c>
      <c r="B1114" s="684"/>
      <c r="C1114" s="684"/>
      <c r="D1114" s="684"/>
      <c r="E1114" s="684"/>
      <c r="F1114" s="684"/>
      <c r="G1114" s="684"/>
      <c r="H1114" s="684"/>
    </row>
    <row r="1115" spans="1:8">
      <c r="A1115" s="791" t="s">
        <v>199</v>
      </c>
      <c r="B1115" s="684"/>
      <c r="C1115" s="778"/>
      <c r="D1115" s="778">
        <v>2015</v>
      </c>
      <c r="E1115" s="219" t="s">
        <v>167</v>
      </c>
      <c r="F1115" s="219" t="s">
        <v>168</v>
      </c>
      <c r="G1115" s="219" t="s">
        <v>169</v>
      </c>
      <c r="H1115" s="219" t="s">
        <v>170</v>
      </c>
    </row>
    <row r="1116" spans="1:8" ht="18">
      <c r="A1116" s="684"/>
      <c r="B1116" s="685" t="s">
        <v>151</v>
      </c>
      <c r="C1116" s="202" t="s">
        <v>246</v>
      </c>
      <c r="D1116" s="687">
        <v>541831</v>
      </c>
      <c r="E1116" s="687">
        <v>403602</v>
      </c>
      <c r="F1116" s="687">
        <v>384669</v>
      </c>
      <c r="G1116" s="687">
        <v>386130</v>
      </c>
      <c r="H1116" s="687">
        <v>430436</v>
      </c>
    </row>
    <row r="1117" spans="1:8">
      <c r="A1117" s="684"/>
      <c r="B1117" s="684"/>
      <c r="C1117" s="778"/>
      <c r="D1117" s="234"/>
      <c r="E1117" s="234"/>
      <c r="F1117" s="234"/>
      <c r="G1117" s="234"/>
      <c r="H1117" s="234"/>
    </row>
    <row r="1118" spans="1:8" ht="28">
      <c r="A1118" s="684"/>
      <c r="B1118" s="685" t="s">
        <v>499</v>
      </c>
      <c r="C1118" s="211" t="s">
        <v>247</v>
      </c>
      <c r="D1118" s="687">
        <v>10443</v>
      </c>
      <c r="E1118" s="687">
        <v>3858</v>
      </c>
      <c r="F1118" s="687">
        <v>4155</v>
      </c>
      <c r="G1118" s="687">
        <v>4421</v>
      </c>
      <c r="H1118" s="687">
        <v>32972</v>
      </c>
    </row>
    <row r="1119" spans="1:8" ht="17">
      <c r="A1119" s="684"/>
      <c r="B1119" s="684"/>
      <c r="C1119" s="208" t="s">
        <v>248</v>
      </c>
      <c r="D1119" s="694"/>
      <c r="E1119" s="694"/>
      <c r="F1119" s="694"/>
      <c r="G1119" s="694"/>
      <c r="H1119" s="694"/>
    </row>
    <row r="1120" spans="1:8" ht="17">
      <c r="A1120" s="684"/>
      <c r="B1120" s="684"/>
      <c r="C1120" s="208" t="s">
        <v>249</v>
      </c>
      <c r="D1120" s="694"/>
      <c r="E1120" s="694"/>
      <c r="F1120" s="694"/>
      <c r="G1120" s="694"/>
      <c r="H1120" s="694"/>
    </row>
    <row r="1121" spans="1:8" ht="18">
      <c r="A1121" s="684"/>
      <c r="B1121" s="685" t="s">
        <v>500</v>
      </c>
      <c r="C1121" s="657" t="s">
        <v>250</v>
      </c>
      <c r="D1121" s="687">
        <v>221385</v>
      </c>
      <c r="E1121" s="687">
        <v>47063</v>
      </c>
      <c r="F1121" s="687">
        <v>18872</v>
      </c>
      <c r="G1121" s="687">
        <v>95402</v>
      </c>
      <c r="H1121" s="687">
        <v>112803</v>
      </c>
    </row>
    <row r="1122" spans="1:8" ht="28">
      <c r="A1122" s="684"/>
      <c r="B1122" s="685" t="s">
        <v>501</v>
      </c>
      <c r="C1122" s="210" t="s">
        <v>251</v>
      </c>
      <c r="D1122" s="687">
        <v>-36112</v>
      </c>
      <c r="E1122" s="687">
        <v>-10447</v>
      </c>
      <c r="F1122" s="687">
        <v>-9040</v>
      </c>
      <c r="G1122" s="687">
        <v>-26947</v>
      </c>
      <c r="H1122" s="687">
        <v>21279</v>
      </c>
    </row>
    <row r="1123" spans="1:8" ht="28">
      <c r="A1123" s="684"/>
      <c r="B1123" s="684"/>
      <c r="C1123" s="208" t="s">
        <v>252</v>
      </c>
      <c r="D1123" s="235"/>
      <c r="E1123" s="235"/>
      <c r="F1123" s="235"/>
      <c r="G1123" s="235"/>
      <c r="H1123" s="235"/>
    </row>
    <row r="1124" spans="1:8" ht="28">
      <c r="A1124" s="684"/>
      <c r="B1124" s="684" t="s">
        <v>1053</v>
      </c>
      <c r="C1124" s="208" t="s">
        <v>253</v>
      </c>
      <c r="D1124" s="687">
        <v>211818</v>
      </c>
      <c r="E1124" s="687">
        <v>13996</v>
      </c>
      <c r="F1124" s="687">
        <v>9999</v>
      </c>
      <c r="G1124" s="687">
        <v>13328</v>
      </c>
      <c r="H1124" s="687">
        <v>88730</v>
      </c>
    </row>
    <row r="1125" spans="1:8" ht="28">
      <c r="A1125" s="684"/>
      <c r="B1125" s="684"/>
      <c r="C1125" s="208" t="s">
        <v>254</v>
      </c>
      <c r="D1125" s="235"/>
      <c r="E1125" s="235"/>
      <c r="F1125" s="235"/>
      <c r="G1125" s="235"/>
      <c r="H1125" s="235"/>
    </row>
    <row r="1126" spans="1:8" ht="18">
      <c r="A1126" s="684"/>
      <c r="B1126" s="685" t="s">
        <v>502</v>
      </c>
      <c r="C1126" s="659" t="s">
        <v>255</v>
      </c>
      <c r="D1126" s="687">
        <v>320447</v>
      </c>
      <c r="E1126" s="687">
        <v>356539</v>
      </c>
      <c r="F1126" s="687">
        <v>365797</v>
      </c>
      <c r="G1126" s="687">
        <v>290728</v>
      </c>
      <c r="H1126" s="687">
        <v>317632</v>
      </c>
    </row>
    <row r="1127" spans="1:8">
      <c r="A1127" s="684"/>
      <c r="B1127" s="684"/>
      <c r="C1127" s="684"/>
      <c r="D1127" s="684"/>
      <c r="E1127" s="684"/>
      <c r="F1127" s="684"/>
      <c r="G1127" s="684"/>
      <c r="H1127" s="684"/>
    </row>
    <row r="1128" spans="1:8">
      <c r="A1128" s="684"/>
      <c r="B1128" s="684"/>
      <c r="C1128" s="684"/>
      <c r="D1128" s="684"/>
      <c r="E1128" s="684"/>
      <c r="F1128" s="684"/>
      <c r="G1128" s="684"/>
      <c r="H1128" s="684"/>
    </row>
    <row r="1129" spans="1:8">
      <c r="A1129" s="691" t="s">
        <v>1086</v>
      </c>
      <c r="B1129" s="684"/>
      <c r="C1129" s="684"/>
      <c r="D1129" s="684"/>
      <c r="E1129" s="684"/>
      <c r="F1129" s="684"/>
      <c r="G1129" s="684"/>
      <c r="H1129" s="684"/>
    </row>
    <row r="1130" spans="1:8">
      <c r="A1130" s="790" t="s">
        <v>561</v>
      </c>
      <c r="B1130" s="684"/>
      <c r="C1130" s="778"/>
      <c r="D1130" s="778">
        <v>2015</v>
      </c>
      <c r="E1130" s="219" t="s">
        <v>167</v>
      </c>
      <c r="F1130" s="219" t="s">
        <v>168</v>
      </c>
      <c r="G1130" s="219" t="s">
        <v>169</v>
      </c>
      <c r="H1130" s="219" t="s">
        <v>170</v>
      </c>
    </row>
    <row r="1131" spans="1:8" ht="18">
      <c r="A1131" s="684"/>
      <c r="B1131" s="685" t="s">
        <v>151</v>
      </c>
      <c r="C1131" s="202" t="s">
        <v>246</v>
      </c>
      <c r="D1131" s="687">
        <v>906984</v>
      </c>
      <c r="E1131" s="687">
        <v>999676</v>
      </c>
      <c r="F1131" s="687">
        <v>932882</v>
      </c>
      <c r="G1131" s="687">
        <v>961189</v>
      </c>
      <c r="H1131" s="687">
        <v>1037660</v>
      </c>
    </row>
    <row r="1132" spans="1:8">
      <c r="A1132" s="684"/>
      <c r="B1132" s="684"/>
      <c r="C1132" s="778"/>
      <c r="D1132" s="234"/>
      <c r="E1132" s="234"/>
      <c r="F1132" s="234"/>
      <c r="G1132" s="234"/>
      <c r="H1132" s="234"/>
    </row>
    <row r="1133" spans="1:8" ht="28">
      <c r="A1133" s="684"/>
      <c r="B1133" s="685" t="s">
        <v>499</v>
      </c>
      <c r="C1133" s="211" t="s">
        <v>247</v>
      </c>
      <c r="D1133" s="687">
        <v>87788</v>
      </c>
      <c r="E1133" s="687">
        <v>87641</v>
      </c>
      <c r="F1133" s="687">
        <v>87353</v>
      </c>
      <c r="G1133" s="687">
        <v>87791</v>
      </c>
      <c r="H1133" s="687">
        <v>83866</v>
      </c>
    </row>
    <row r="1134" spans="1:8" ht="17">
      <c r="A1134" s="684"/>
      <c r="B1134" s="684"/>
      <c r="C1134" s="208" t="s">
        <v>248</v>
      </c>
      <c r="D1134" s="694"/>
      <c r="E1134" s="694"/>
      <c r="F1134" s="694"/>
      <c r="G1134" s="694"/>
      <c r="H1134" s="694"/>
    </row>
    <row r="1135" spans="1:8" ht="17">
      <c r="A1135" s="684"/>
      <c r="B1135" s="684"/>
      <c r="C1135" s="208" t="s">
        <v>249</v>
      </c>
      <c r="D1135" s="694"/>
      <c r="E1135" s="694"/>
      <c r="F1135" s="694"/>
      <c r="G1135" s="694"/>
      <c r="H1135" s="694"/>
    </row>
    <row r="1136" spans="1:8" ht="18">
      <c r="A1136" s="684"/>
      <c r="B1136" s="685" t="s">
        <v>500</v>
      </c>
      <c r="C1136" s="657" t="s">
        <v>250</v>
      </c>
      <c r="D1136" s="687">
        <v>682747</v>
      </c>
      <c r="E1136" s="687">
        <v>765131</v>
      </c>
      <c r="F1136" s="687">
        <v>860084</v>
      </c>
      <c r="G1136" s="687">
        <v>919300</v>
      </c>
      <c r="H1136" s="687">
        <v>986891</v>
      </c>
    </row>
    <row r="1137" spans="1:8" ht="28">
      <c r="A1137" s="684"/>
      <c r="B1137" s="685" t="s">
        <v>501</v>
      </c>
      <c r="C1137" s="210" t="s">
        <v>251</v>
      </c>
      <c r="D1137" s="687">
        <v>14710</v>
      </c>
      <c r="E1137" s="687">
        <v>22982</v>
      </c>
      <c r="F1137" s="687">
        <v>30909</v>
      </c>
      <c r="G1137" s="687">
        <v>-8880</v>
      </c>
      <c r="H1137" s="687">
        <v>-7464</v>
      </c>
    </row>
    <row r="1138" spans="1:8" ht="28">
      <c r="A1138" s="684"/>
      <c r="B1138" s="684"/>
      <c r="C1138" s="208" t="s">
        <v>252</v>
      </c>
      <c r="D1138" s="235"/>
      <c r="E1138" s="235"/>
      <c r="F1138" s="235"/>
      <c r="G1138" s="235"/>
      <c r="H1138" s="235"/>
    </row>
    <row r="1139" spans="1:8" ht="28">
      <c r="A1139" s="684"/>
      <c r="B1139" s="684" t="s">
        <v>1053</v>
      </c>
      <c r="C1139" s="208" t="s">
        <v>253</v>
      </c>
      <c r="D1139" s="687">
        <v>660783</v>
      </c>
      <c r="E1139" s="687">
        <v>683671</v>
      </c>
      <c r="F1139" s="687">
        <v>778390</v>
      </c>
      <c r="G1139" s="687">
        <v>861360</v>
      </c>
      <c r="H1139" s="687">
        <v>919849</v>
      </c>
    </row>
    <row r="1140" spans="1:8" ht="28">
      <c r="A1140" s="684"/>
      <c r="B1140" s="684"/>
      <c r="C1140" s="208" t="s">
        <v>254</v>
      </c>
      <c r="D1140" s="235"/>
      <c r="E1140" s="235"/>
      <c r="F1140" s="235"/>
      <c r="G1140" s="235"/>
      <c r="H1140" s="235"/>
    </row>
    <row r="1141" spans="1:8" ht="18">
      <c r="A1141" s="684"/>
      <c r="B1141" s="685" t="s">
        <v>502</v>
      </c>
      <c r="C1141" s="659" t="s">
        <v>255</v>
      </c>
      <c r="D1141" s="687">
        <v>224237</v>
      </c>
      <c r="E1141" s="687">
        <v>234545</v>
      </c>
      <c r="F1141" s="687">
        <v>72798</v>
      </c>
      <c r="G1141" s="687">
        <v>41889</v>
      </c>
      <c r="H1141" s="687">
        <v>50769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9D019-37BE-4CCC-9805-EDD025DAC43E}">
  <sheetPr codeName="Ark3"/>
  <dimension ref="A1:U123"/>
  <sheetViews>
    <sheetView topLeftCell="A82" zoomScale="90" zoomScaleNormal="90" workbookViewId="0">
      <selection activeCell="G42" sqref="G42"/>
    </sheetView>
  </sheetViews>
  <sheetFormatPr baseColWidth="10" defaultColWidth="11.5" defaultRowHeight="15"/>
  <cols>
    <col min="2" max="2" width="31.6640625" bestFit="1" customWidth="1"/>
    <col min="3" max="5" width="19.5" bestFit="1" customWidth="1"/>
    <col min="6" max="7" width="17.1640625" bestFit="1" customWidth="1"/>
    <col min="8" max="8" width="15.5" bestFit="1" customWidth="1"/>
    <col min="17" max="18" width="12.33203125" bestFit="1" customWidth="1"/>
    <col min="19" max="21" width="13.83203125" bestFit="1" customWidth="1"/>
  </cols>
  <sheetData>
    <row r="1" spans="1:21">
      <c r="A1" s="566" t="s">
        <v>560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</row>
    <row r="3" spans="1:21">
      <c r="A3" s="563"/>
      <c r="B3" s="563"/>
      <c r="C3" s="566" t="s">
        <v>19</v>
      </c>
      <c r="D3" s="566" t="s">
        <v>18</v>
      </c>
      <c r="E3" s="566" t="s">
        <v>17</v>
      </c>
      <c r="F3" s="566" t="s">
        <v>348</v>
      </c>
      <c r="G3" s="566" t="s">
        <v>16</v>
      </c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</row>
    <row r="4" spans="1:21" ht="18">
      <c r="A4" s="580">
        <v>2012</v>
      </c>
      <c r="B4" s="579" t="s">
        <v>210</v>
      </c>
      <c r="C4" s="574">
        <v>632789</v>
      </c>
      <c r="D4" s="574">
        <v>514793</v>
      </c>
      <c r="E4" s="574">
        <v>147893</v>
      </c>
      <c r="F4" s="574">
        <v>870036</v>
      </c>
      <c r="G4" s="574">
        <v>1317393</v>
      </c>
      <c r="H4" s="582" t="s">
        <v>199</v>
      </c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</row>
    <row r="5" spans="1:21" ht="18">
      <c r="A5" s="580">
        <v>2007</v>
      </c>
      <c r="B5" s="579" t="s">
        <v>211</v>
      </c>
      <c r="C5" s="574">
        <v>11191</v>
      </c>
      <c r="D5" s="574">
        <v>11900</v>
      </c>
      <c r="E5" s="574">
        <v>42000</v>
      </c>
      <c r="F5" s="574">
        <v>50000</v>
      </c>
      <c r="G5" s="574">
        <v>101100</v>
      </c>
      <c r="H5" s="582" t="s">
        <v>199</v>
      </c>
      <c r="I5" s="563"/>
      <c r="J5" s="563"/>
      <c r="K5" s="563"/>
      <c r="L5" s="563"/>
      <c r="M5" s="563"/>
      <c r="N5" s="563"/>
      <c r="O5" s="563"/>
      <c r="P5" s="563"/>
      <c r="Q5" s="563"/>
      <c r="R5" s="563"/>
      <c r="S5" s="563"/>
      <c r="T5" s="563"/>
      <c r="U5" s="563"/>
    </row>
    <row r="6" spans="1:21" ht="18">
      <c r="A6" s="580">
        <v>2004</v>
      </c>
      <c r="B6" s="579" t="s">
        <v>212</v>
      </c>
      <c r="C6" s="157">
        <v>1268000</v>
      </c>
      <c r="D6" s="157">
        <v>1244000</v>
      </c>
      <c r="E6" s="157">
        <v>1260000</v>
      </c>
      <c r="F6" s="727">
        <v>950000</v>
      </c>
      <c r="G6" s="157">
        <v>700000</v>
      </c>
      <c r="H6" s="582" t="s">
        <v>199</v>
      </c>
      <c r="I6" s="563"/>
      <c r="J6" s="563"/>
      <c r="K6" s="563"/>
      <c r="L6" s="563"/>
      <c r="M6" s="580"/>
      <c r="N6" s="578"/>
      <c r="O6" s="563"/>
      <c r="P6" s="564"/>
      <c r="Q6" s="564"/>
      <c r="R6" s="571"/>
      <c r="S6" s="571"/>
      <c r="T6" s="571"/>
      <c r="U6" s="571"/>
    </row>
    <row r="7" spans="1:21" ht="18">
      <c r="A7" s="580">
        <v>2009</v>
      </c>
      <c r="B7" s="578" t="s">
        <v>244</v>
      </c>
      <c r="C7" s="574">
        <v>1379860</v>
      </c>
      <c r="D7" s="574">
        <v>1466164</v>
      </c>
      <c r="E7" s="574">
        <v>1450118</v>
      </c>
      <c r="F7" s="574">
        <v>131089</v>
      </c>
      <c r="G7" s="574">
        <v>1101913</v>
      </c>
      <c r="H7" s="582" t="s">
        <v>199</v>
      </c>
      <c r="I7" s="563"/>
      <c r="J7" s="563"/>
      <c r="K7" s="563"/>
      <c r="L7" s="563"/>
      <c r="M7" s="563"/>
      <c r="N7" s="563"/>
      <c r="O7" s="566"/>
      <c r="P7" s="565"/>
      <c r="Q7" s="574"/>
      <c r="R7" s="574"/>
      <c r="S7" s="574"/>
      <c r="T7" s="574"/>
      <c r="U7" s="574"/>
    </row>
    <row r="8" spans="1:21" ht="18">
      <c r="A8" s="580">
        <v>2008</v>
      </c>
      <c r="B8" s="579" t="s">
        <v>245</v>
      </c>
      <c r="C8" s="574">
        <v>547966</v>
      </c>
      <c r="D8" s="574">
        <v>613112</v>
      </c>
      <c r="E8" s="574">
        <v>3946</v>
      </c>
      <c r="F8" s="574">
        <v>326716</v>
      </c>
      <c r="G8" s="574">
        <v>831829</v>
      </c>
      <c r="H8" s="582" t="s">
        <v>199</v>
      </c>
      <c r="I8" s="563"/>
      <c r="J8" s="563"/>
      <c r="K8" s="563"/>
      <c r="L8" s="563"/>
      <c r="M8" s="563"/>
      <c r="N8" s="563"/>
      <c r="O8" s="563"/>
      <c r="P8" s="564"/>
      <c r="Q8" s="576"/>
      <c r="R8" s="576"/>
      <c r="S8" s="576"/>
      <c r="T8" s="576"/>
      <c r="U8" s="576"/>
    </row>
    <row r="9" spans="1:21" ht="18">
      <c r="A9" s="580">
        <v>2008</v>
      </c>
      <c r="B9" s="579" t="s">
        <v>256</v>
      </c>
      <c r="C9" s="574">
        <v>0</v>
      </c>
      <c r="D9" s="574">
        <v>0</v>
      </c>
      <c r="E9" s="574">
        <v>73528</v>
      </c>
      <c r="F9" s="574">
        <v>102512</v>
      </c>
      <c r="G9" s="574">
        <v>141620</v>
      </c>
      <c r="H9" s="583" t="s">
        <v>561</v>
      </c>
      <c r="I9" s="563"/>
      <c r="J9" s="563"/>
      <c r="K9" s="563"/>
      <c r="L9" s="563"/>
      <c r="M9" s="563"/>
      <c r="N9" s="563"/>
      <c r="O9" s="566"/>
      <c r="P9" s="569"/>
      <c r="Q9" s="574"/>
      <c r="R9" s="574"/>
      <c r="S9" s="574"/>
      <c r="T9" s="574"/>
      <c r="U9" s="574"/>
    </row>
    <row r="10" spans="1:21" ht="18">
      <c r="A10" s="580">
        <v>2006</v>
      </c>
      <c r="B10" s="579" t="s">
        <v>257</v>
      </c>
      <c r="C10" s="574">
        <v>17103</v>
      </c>
      <c r="D10" s="574">
        <v>14325</v>
      </c>
      <c r="E10" s="574">
        <v>18081</v>
      </c>
      <c r="F10" s="574">
        <v>4251</v>
      </c>
      <c r="G10" s="574">
        <v>8076</v>
      </c>
      <c r="H10" s="582" t="s">
        <v>199</v>
      </c>
      <c r="I10" s="563"/>
      <c r="J10" s="563"/>
      <c r="K10" s="563"/>
      <c r="L10" s="563"/>
      <c r="M10" s="563"/>
      <c r="N10" s="563"/>
      <c r="O10" s="563"/>
      <c r="P10" s="567"/>
      <c r="Q10" s="570"/>
      <c r="R10" s="570"/>
      <c r="S10" s="570"/>
      <c r="T10" s="570"/>
      <c r="U10" s="570"/>
    </row>
    <row r="11" spans="1:21" ht="18">
      <c r="A11" s="580">
        <v>2005</v>
      </c>
      <c r="B11" s="579" t="s">
        <v>258</v>
      </c>
      <c r="C11" s="574">
        <v>8400</v>
      </c>
      <c r="D11" s="574">
        <v>7579</v>
      </c>
      <c r="E11" s="574">
        <v>5682</v>
      </c>
      <c r="F11" s="574">
        <v>8400</v>
      </c>
      <c r="G11" s="574">
        <v>11989</v>
      </c>
      <c r="H11" s="582" t="s">
        <v>199</v>
      </c>
      <c r="I11" s="563"/>
      <c r="J11" s="563"/>
      <c r="K11" s="563"/>
      <c r="L11" s="563"/>
      <c r="M11" s="563"/>
      <c r="N11" s="563"/>
      <c r="O11" s="563"/>
      <c r="P11" s="567"/>
      <c r="Q11" s="570"/>
      <c r="R11" s="570"/>
      <c r="S11" s="570"/>
      <c r="T11" s="570"/>
      <c r="U11" s="570"/>
    </row>
    <row r="12" spans="1:21" ht="18">
      <c r="A12" s="580">
        <v>2010</v>
      </c>
      <c r="B12" s="579" t="s">
        <v>260</v>
      </c>
      <c r="C12" s="574">
        <v>2718</v>
      </c>
      <c r="D12" s="574">
        <v>0</v>
      </c>
      <c r="E12" s="574">
        <v>0</v>
      </c>
      <c r="F12" s="574">
        <v>0</v>
      </c>
      <c r="G12" s="574">
        <v>0</v>
      </c>
      <c r="H12" s="582" t="s">
        <v>199</v>
      </c>
      <c r="I12" s="563"/>
      <c r="J12" s="563"/>
      <c r="K12" s="563"/>
      <c r="L12" s="563"/>
      <c r="M12" s="563"/>
      <c r="N12" s="563"/>
      <c r="O12" s="566"/>
      <c r="P12" s="584"/>
      <c r="Q12" s="574"/>
      <c r="R12" s="574"/>
      <c r="S12" s="574"/>
      <c r="T12" s="574"/>
      <c r="U12" s="574"/>
    </row>
    <row r="13" spans="1:21" ht="18">
      <c r="A13" s="580">
        <v>2010</v>
      </c>
      <c r="B13" s="579" t="s">
        <v>309</v>
      </c>
      <c r="C13" s="574">
        <v>123286</v>
      </c>
      <c r="D13" s="574">
        <v>61838</v>
      </c>
      <c r="E13" s="574">
        <v>1855</v>
      </c>
      <c r="F13" s="574">
        <v>2547</v>
      </c>
      <c r="G13" s="574">
        <v>4298</v>
      </c>
      <c r="H13" s="574" t="s">
        <v>199</v>
      </c>
      <c r="I13" s="563"/>
      <c r="J13" s="563"/>
      <c r="K13" s="563"/>
      <c r="L13" s="563"/>
      <c r="M13" s="563"/>
      <c r="N13" s="563"/>
      <c r="O13" s="566"/>
      <c r="P13" s="568"/>
      <c r="Q13" s="574"/>
      <c r="R13" s="574"/>
      <c r="S13" s="574"/>
      <c r="T13" s="574"/>
      <c r="U13" s="574"/>
    </row>
    <row r="14" spans="1:21" ht="18">
      <c r="A14" s="580">
        <v>2016</v>
      </c>
      <c r="B14" s="579" t="s">
        <v>310</v>
      </c>
      <c r="C14" s="574">
        <v>1830499</v>
      </c>
      <c r="D14" s="574">
        <v>637784</v>
      </c>
      <c r="E14" s="574">
        <v>591808</v>
      </c>
      <c r="F14" s="574">
        <v>736956</v>
      </c>
      <c r="G14" s="574">
        <v>407407</v>
      </c>
      <c r="H14" s="574" t="s">
        <v>199</v>
      </c>
      <c r="I14" s="563"/>
      <c r="J14" s="563"/>
      <c r="K14" s="563"/>
      <c r="L14" s="563"/>
      <c r="M14" s="563"/>
      <c r="N14" s="563"/>
      <c r="O14" s="563"/>
      <c r="P14" s="567"/>
      <c r="Q14" s="577"/>
      <c r="R14" s="577"/>
      <c r="S14" s="577"/>
      <c r="T14" s="577"/>
      <c r="U14" s="577"/>
    </row>
    <row r="15" spans="1:21" ht="18">
      <c r="A15" s="580">
        <v>2008</v>
      </c>
      <c r="B15" s="579" t="s">
        <v>311</v>
      </c>
      <c r="C15" s="574">
        <v>2252619</v>
      </c>
      <c r="D15" s="574">
        <v>2445210</v>
      </c>
      <c r="E15" s="574">
        <v>2451666</v>
      </c>
      <c r="F15" s="574">
        <v>2290803</v>
      </c>
      <c r="G15" s="574">
        <v>2305120</v>
      </c>
      <c r="H15" s="574" t="s">
        <v>199</v>
      </c>
      <c r="I15" s="563"/>
      <c r="J15" s="563"/>
      <c r="K15" s="563"/>
      <c r="L15" s="563"/>
      <c r="M15" s="563"/>
      <c r="N15" s="563"/>
      <c r="O15" s="563"/>
      <c r="P15" s="567"/>
      <c r="Q15" s="577"/>
      <c r="R15" s="577"/>
      <c r="S15" s="577"/>
      <c r="T15" s="577"/>
      <c r="U15" s="577"/>
    </row>
    <row r="16" spans="1:21" ht="18">
      <c r="A16" s="580">
        <v>2008</v>
      </c>
      <c r="B16" s="579" t="s">
        <v>313</v>
      </c>
      <c r="C16" s="574">
        <v>95000</v>
      </c>
      <c r="D16" s="574">
        <v>588000</v>
      </c>
      <c r="E16" s="574">
        <v>2802000</v>
      </c>
      <c r="F16" s="574">
        <v>4091900</v>
      </c>
      <c r="G16" s="574">
        <v>5863000</v>
      </c>
      <c r="H16" s="574" t="s">
        <v>199</v>
      </c>
      <c r="I16" s="563"/>
      <c r="J16" s="563"/>
      <c r="K16" s="563"/>
      <c r="L16" s="563"/>
      <c r="M16" s="563"/>
      <c r="N16" s="563"/>
      <c r="O16" s="563"/>
      <c r="P16" s="567"/>
      <c r="Q16" s="577"/>
      <c r="R16" s="577"/>
      <c r="S16" s="577"/>
      <c r="T16" s="577"/>
      <c r="U16" s="577"/>
    </row>
    <row r="17" spans="1:21" ht="18">
      <c r="A17" s="580">
        <v>2008</v>
      </c>
      <c r="B17" s="579" t="s">
        <v>314</v>
      </c>
      <c r="C17" s="574">
        <v>0</v>
      </c>
      <c r="D17" s="574">
        <v>0</v>
      </c>
      <c r="E17" s="574">
        <v>0</v>
      </c>
      <c r="F17" s="574">
        <v>0</v>
      </c>
      <c r="G17" s="574">
        <v>77</v>
      </c>
      <c r="H17" s="574" t="s">
        <v>199</v>
      </c>
      <c r="I17" s="563"/>
      <c r="J17" s="563"/>
      <c r="K17" s="563"/>
      <c r="L17" s="563"/>
      <c r="M17" s="563"/>
      <c r="N17" s="563"/>
      <c r="O17" s="566"/>
      <c r="P17" s="585"/>
      <c r="Q17" s="574"/>
      <c r="R17" s="574"/>
      <c r="S17" s="574"/>
      <c r="T17" s="574"/>
      <c r="U17" s="574"/>
    </row>
    <row r="18" spans="1:21" ht="18">
      <c r="A18" s="580">
        <v>2008</v>
      </c>
      <c r="B18" s="578" t="s">
        <v>315</v>
      </c>
      <c r="C18" s="574">
        <v>0</v>
      </c>
      <c r="D18" s="574">
        <v>0</v>
      </c>
      <c r="E18" s="574">
        <v>0</v>
      </c>
      <c r="F18" s="574">
        <v>0</v>
      </c>
      <c r="G18" s="574">
        <v>0</v>
      </c>
      <c r="H18" s="574" t="s">
        <v>199</v>
      </c>
      <c r="I18" s="563"/>
      <c r="J18" s="563"/>
      <c r="K18" s="563"/>
      <c r="L18" s="563"/>
      <c r="M18" s="563"/>
      <c r="N18" s="563"/>
      <c r="O18" s="563"/>
      <c r="P18" s="563"/>
      <c r="Q18" s="563"/>
      <c r="R18" s="563"/>
      <c r="S18" s="563"/>
      <c r="T18" s="563"/>
      <c r="U18" s="563"/>
    </row>
    <row r="19" spans="1:21" ht="18">
      <c r="A19" s="580">
        <v>2006</v>
      </c>
      <c r="B19" s="578" t="s">
        <v>316</v>
      </c>
      <c r="C19" s="574">
        <v>1251</v>
      </c>
      <c r="D19" s="574">
        <v>14764</v>
      </c>
      <c r="E19" s="574">
        <v>21987</v>
      </c>
      <c r="F19" s="574">
        <v>35487</v>
      </c>
      <c r="G19" s="574">
        <v>147095</v>
      </c>
      <c r="H19" s="574" t="s">
        <v>199</v>
      </c>
      <c r="I19" s="563"/>
      <c r="J19" s="563"/>
      <c r="K19" s="563"/>
      <c r="L19" s="563"/>
      <c r="M19" s="563"/>
      <c r="N19" s="563"/>
      <c r="O19" s="563"/>
      <c r="P19" s="563"/>
      <c r="Q19" s="563"/>
      <c r="R19" s="563"/>
      <c r="S19" s="563"/>
      <c r="T19" s="563"/>
      <c r="U19" s="563"/>
    </row>
    <row r="20" spans="1:21" ht="18">
      <c r="A20" s="580">
        <v>2005</v>
      </c>
      <c r="B20" s="578" t="s">
        <v>305</v>
      </c>
      <c r="C20" s="574">
        <v>26932</v>
      </c>
      <c r="D20" s="574">
        <v>24820</v>
      </c>
      <c r="E20" s="574">
        <v>21578</v>
      </c>
      <c r="F20" s="574">
        <v>16807</v>
      </c>
      <c r="G20" s="575">
        <v>19016</v>
      </c>
      <c r="H20" s="574" t="s">
        <v>199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</row>
    <row r="21" spans="1:21" ht="18">
      <c r="A21" s="580">
        <v>2005</v>
      </c>
      <c r="B21" s="578" t="s">
        <v>343</v>
      </c>
      <c r="C21" s="574">
        <v>7598000</v>
      </c>
      <c r="D21" s="574">
        <v>7193000</v>
      </c>
      <c r="E21" s="574">
        <v>9485400</v>
      </c>
      <c r="F21" s="574">
        <v>1630879</v>
      </c>
      <c r="G21" s="574">
        <v>2210196</v>
      </c>
      <c r="H21" s="574" t="s">
        <v>199</v>
      </c>
      <c r="I21" s="563"/>
      <c r="J21" s="563"/>
      <c r="K21" s="563"/>
      <c r="L21" s="563"/>
      <c r="M21" s="563"/>
      <c r="N21" s="563"/>
      <c r="O21" s="563"/>
      <c r="P21" s="563"/>
      <c r="Q21" s="563"/>
      <c r="R21" s="563"/>
      <c r="S21" s="563"/>
      <c r="T21" s="563"/>
      <c r="U21" s="563"/>
    </row>
    <row r="22" spans="1:21" ht="18">
      <c r="A22" s="580">
        <v>2007</v>
      </c>
      <c r="B22" s="578" t="s">
        <v>335</v>
      </c>
      <c r="C22" s="574">
        <v>6381200</v>
      </c>
      <c r="D22" s="574">
        <v>7137800</v>
      </c>
      <c r="E22" s="574">
        <v>7778100</v>
      </c>
      <c r="F22" s="574">
        <v>6948000</v>
      </c>
      <c r="G22" s="574">
        <v>7231200</v>
      </c>
      <c r="H22" s="574" t="s">
        <v>199</v>
      </c>
      <c r="I22" s="563"/>
      <c r="J22" s="563"/>
      <c r="K22" s="563"/>
      <c r="L22" s="563"/>
      <c r="M22" s="563"/>
      <c r="N22" s="563"/>
      <c r="O22" s="563"/>
      <c r="P22" s="563"/>
      <c r="Q22" s="563"/>
      <c r="R22" s="563"/>
      <c r="S22" s="563"/>
      <c r="T22" s="563"/>
      <c r="U22" s="563"/>
    </row>
    <row r="23" spans="1:21" ht="18">
      <c r="A23" s="580">
        <v>2003</v>
      </c>
      <c r="B23" s="578" t="s">
        <v>344</v>
      </c>
      <c r="C23" s="574">
        <v>11161</v>
      </c>
      <c r="D23" s="574">
        <v>40788</v>
      </c>
      <c r="E23" s="574">
        <v>28824</v>
      </c>
      <c r="F23" s="574">
        <v>34429</v>
      </c>
      <c r="G23" s="574">
        <v>5118</v>
      </c>
      <c r="H23" s="574" t="s">
        <v>199</v>
      </c>
      <c r="I23" s="563"/>
      <c r="J23" s="563"/>
      <c r="K23" s="563"/>
      <c r="L23" s="563"/>
      <c r="M23" s="563"/>
      <c r="N23" s="563"/>
      <c r="O23" s="563"/>
      <c r="P23" s="563"/>
      <c r="Q23" s="563"/>
      <c r="R23" s="563"/>
      <c r="S23" s="563"/>
      <c r="T23" s="563"/>
      <c r="U23" s="563"/>
    </row>
    <row r="24" spans="1:21">
      <c r="A24" s="572" t="s">
        <v>562</v>
      </c>
      <c r="B24" s="573"/>
      <c r="C24" s="563"/>
      <c r="D24" s="563"/>
      <c r="E24" s="563"/>
      <c r="F24" s="563"/>
      <c r="G24" s="563"/>
      <c r="H24" s="563"/>
      <c r="I24" s="563"/>
      <c r="J24" s="563"/>
      <c r="K24" s="563"/>
      <c r="L24" s="563"/>
      <c r="M24" s="563"/>
      <c r="N24" s="563"/>
      <c r="O24" s="563"/>
      <c r="P24" s="563"/>
      <c r="Q24" s="563"/>
      <c r="R24" s="563"/>
      <c r="S24" s="563"/>
      <c r="T24" s="563"/>
      <c r="U24" s="563"/>
    </row>
    <row r="25" spans="1:21" ht="18">
      <c r="A25" s="580">
        <v>2012</v>
      </c>
      <c r="B25" s="578" t="s">
        <v>352</v>
      </c>
      <c r="C25" s="574">
        <v>714000</v>
      </c>
      <c r="D25" s="574">
        <v>404000</v>
      </c>
      <c r="E25" s="574">
        <v>482000</v>
      </c>
      <c r="F25" s="574">
        <v>594000</v>
      </c>
      <c r="G25" s="574">
        <v>563000</v>
      </c>
      <c r="H25" s="574" t="s">
        <v>199</v>
      </c>
      <c r="I25" s="563"/>
      <c r="J25" s="563"/>
      <c r="K25" s="563"/>
      <c r="L25" s="563"/>
      <c r="M25" s="563"/>
      <c r="N25" s="563"/>
      <c r="O25" s="563"/>
      <c r="P25" s="563"/>
      <c r="Q25" s="563"/>
      <c r="R25" s="563"/>
      <c r="S25" s="563"/>
      <c r="T25" s="563"/>
      <c r="U25" s="563"/>
    </row>
    <row r="26" spans="1:21" ht="18">
      <c r="A26" s="580">
        <v>2012</v>
      </c>
      <c r="B26" s="578" t="s">
        <v>353</v>
      </c>
      <c r="C26" s="574">
        <v>2309000</v>
      </c>
      <c r="D26" s="574">
        <v>1672000</v>
      </c>
      <c r="E26" s="574">
        <v>1397600</v>
      </c>
      <c r="F26" s="574">
        <v>2216200</v>
      </c>
      <c r="G26" s="574">
        <v>1569900</v>
      </c>
      <c r="H26" s="574" t="s">
        <v>199</v>
      </c>
      <c r="I26" s="563"/>
      <c r="J26" s="563"/>
      <c r="K26" s="563"/>
      <c r="L26" s="563"/>
      <c r="M26" s="563"/>
      <c r="N26" s="563"/>
      <c r="O26" s="563"/>
      <c r="P26" s="563"/>
      <c r="Q26" s="563"/>
      <c r="R26" s="563"/>
      <c r="S26" s="563"/>
      <c r="T26" s="563"/>
      <c r="U26" s="563"/>
    </row>
    <row r="27" spans="1:21" ht="18">
      <c r="A27" s="580">
        <v>2016</v>
      </c>
      <c r="B27" s="578" t="s">
        <v>526</v>
      </c>
      <c r="C27" s="574">
        <v>17531</v>
      </c>
      <c r="D27" s="574">
        <v>16877</v>
      </c>
      <c r="E27" s="574">
        <v>14736</v>
      </c>
      <c r="F27" s="574">
        <v>12290</v>
      </c>
      <c r="G27" s="574">
        <v>10384</v>
      </c>
      <c r="H27" s="574" t="s">
        <v>199</v>
      </c>
      <c r="I27" s="563"/>
      <c r="J27" s="563"/>
      <c r="K27" s="563"/>
      <c r="L27" s="563"/>
      <c r="M27" s="563"/>
      <c r="N27" s="563"/>
      <c r="O27" s="563"/>
      <c r="P27" s="563"/>
      <c r="Q27" s="563"/>
      <c r="R27" s="563"/>
      <c r="S27" s="563"/>
      <c r="T27" s="563"/>
      <c r="U27" s="563"/>
    </row>
    <row r="28" spans="1:21" ht="18">
      <c r="A28" s="580">
        <v>2016</v>
      </c>
      <c r="B28" s="578" t="s">
        <v>527</v>
      </c>
      <c r="C28" s="574">
        <v>10036</v>
      </c>
      <c r="D28" s="574">
        <v>2401</v>
      </c>
      <c r="E28" s="574">
        <v>4752</v>
      </c>
      <c r="F28" s="574">
        <v>3758</v>
      </c>
      <c r="G28" s="574">
        <v>3960</v>
      </c>
      <c r="H28" s="574" t="s">
        <v>199</v>
      </c>
      <c r="I28" s="563"/>
      <c r="J28" s="563"/>
      <c r="K28" s="563"/>
      <c r="L28" s="563"/>
      <c r="M28" s="563"/>
      <c r="N28" s="563"/>
      <c r="O28" s="563"/>
      <c r="P28" s="563"/>
      <c r="Q28" s="563"/>
      <c r="R28" s="563"/>
      <c r="S28" s="563"/>
      <c r="T28" s="563"/>
      <c r="U28" s="563"/>
    </row>
    <row r="29" spans="1:21" ht="18">
      <c r="A29" s="580">
        <v>2012</v>
      </c>
      <c r="B29" s="578" t="s">
        <v>359</v>
      </c>
      <c r="C29" s="574">
        <v>60659</v>
      </c>
      <c r="D29" s="574">
        <v>6263</v>
      </c>
      <c r="E29" s="586">
        <v>8026</v>
      </c>
      <c r="F29" s="574">
        <v>8519</v>
      </c>
      <c r="G29" s="574">
        <v>10736</v>
      </c>
      <c r="H29" s="574" t="s">
        <v>199</v>
      </c>
      <c r="I29" s="563"/>
      <c r="J29" s="563"/>
      <c r="K29" s="563"/>
      <c r="L29" s="563"/>
      <c r="M29" s="563"/>
      <c r="N29" s="563"/>
      <c r="O29" s="563"/>
      <c r="P29" s="563"/>
      <c r="Q29" s="563"/>
      <c r="R29" s="563"/>
      <c r="S29" s="563"/>
      <c r="T29" s="563"/>
      <c r="U29" s="563"/>
    </row>
    <row r="30" spans="1:21" ht="18">
      <c r="A30" s="580">
        <v>2012</v>
      </c>
      <c r="B30" s="578" t="s">
        <v>527</v>
      </c>
      <c r="C30" s="574">
        <v>3960</v>
      </c>
      <c r="D30" s="574">
        <v>3055</v>
      </c>
      <c r="E30" s="574">
        <v>2296</v>
      </c>
      <c r="F30" s="574">
        <v>1621</v>
      </c>
      <c r="G30" s="574">
        <v>1196</v>
      </c>
      <c r="H30" s="574" t="s">
        <v>199</v>
      </c>
      <c r="I30" s="563"/>
      <c r="J30" s="563"/>
      <c r="K30" s="563"/>
      <c r="L30" s="563"/>
      <c r="M30" s="563"/>
      <c r="N30" s="563"/>
      <c r="O30" s="563"/>
      <c r="P30" s="563"/>
      <c r="Q30" s="563"/>
      <c r="R30" s="563"/>
      <c r="S30" s="563"/>
      <c r="T30" s="563"/>
      <c r="U30" s="563"/>
    </row>
    <row r="31" spans="1:21" ht="18">
      <c r="A31" s="580">
        <v>2007</v>
      </c>
      <c r="B31" s="578" t="s">
        <v>528</v>
      </c>
      <c r="C31" s="574">
        <v>16931289</v>
      </c>
      <c r="D31" s="574">
        <v>11973403</v>
      </c>
      <c r="E31" s="574">
        <v>11330097</v>
      </c>
      <c r="F31" s="574">
        <v>10563295</v>
      </c>
      <c r="G31" s="574">
        <v>5877553</v>
      </c>
      <c r="H31" s="574" t="s">
        <v>199</v>
      </c>
      <c r="I31" s="563"/>
      <c r="J31" s="563"/>
      <c r="K31" s="563"/>
      <c r="L31" s="563"/>
      <c r="M31" s="563"/>
      <c r="N31" s="563"/>
      <c r="O31" s="563"/>
      <c r="P31" s="563"/>
      <c r="Q31" s="563"/>
      <c r="R31" s="563"/>
      <c r="S31" s="563"/>
      <c r="T31" s="563"/>
      <c r="U31" s="563"/>
    </row>
    <row r="32" spans="1:21" ht="18">
      <c r="A32" s="580">
        <v>2007</v>
      </c>
      <c r="B32" s="578" t="s">
        <v>529</v>
      </c>
      <c r="C32" s="574">
        <v>8693250</v>
      </c>
      <c r="D32" s="574">
        <v>6459840</v>
      </c>
      <c r="E32" s="574">
        <v>5113793</v>
      </c>
      <c r="F32" s="574">
        <v>4479587</v>
      </c>
      <c r="G32" s="574">
        <v>4218736</v>
      </c>
      <c r="H32" s="574" t="s">
        <v>199</v>
      </c>
      <c r="I32" s="563"/>
      <c r="J32" s="563"/>
      <c r="K32" s="563"/>
      <c r="L32" s="563"/>
      <c r="M32" s="563"/>
      <c r="N32" s="563"/>
      <c r="O32" s="563"/>
      <c r="P32" s="563"/>
      <c r="Q32" s="563"/>
      <c r="R32" s="563"/>
      <c r="S32" s="563"/>
      <c r="T32" s="563"/>
      <c r="U32" s="563"/>
    </row>
    <row r="33" spans="1:8" ht="18">
      <c r="A33" s="580">
        <v>2004</v>
      </c>
      <c r="B33" s="578" t="s">
        <v>531</v>
      </c>
      <c r="C33" s="574">
        <v>155577</v>
      </c>
      <c r="D33" s="574">
        <v>186018</v>
      </c>
      <c r="E33" s="574">
        <v>102215</v>
      </c>
      <c r="F33" s="574">
        <v>102033</v>
      </c>
      <c r="G33" s="574">
        <v>2520781</v>
      </c>
      <c r="H33" s="574" t="s">
        <v>199</v>
      </c>
    </row>
    <row r="34" spans="1:8" ht="18">
      <c r="A34" s="580">
        <v>2004</v>
      </c>
      <c r="B34" s="578" t="s">
        <v>532</v>
      </c>
      <c r="C34" s="574">
        <v>118</v>
      </c>
      <c r="D34" s="574">
        <v>97408</v>
      </c>
      <c r="E34" s="574">
        <v>97279</v>
      </c>
      <c r="F34" s="574">
        <v>44881</v>
      </c>
      <c r="G34" s="574">
        <v>44658</v>
      </c>
      <c r="H34" s="574" t="s">
        <v>199</v>
      </c>
    </row>
    <row r="35" spans="1:8" ht="18">
      <c r="A35" s="580">
        <v>2004</v>
      </c>
      <c r="B35" s="578" t="s">
        <v>533</v>
      </c>
      <c r="C35" s="574">
        <v>475000</v>
      </c>
      <c r="D35" s="574">
        <v>123000</v>
      </c>
      <c r="E35" s="574">
        <v>112000</v>
      </c>
      <c r="F35" s="574">
        <v>112000</v>
      </c>
      <c r="G35" s="575">
        <v>107000</v>
      </c>
      <c r="H35" s="574" t="s">
        <v>199</v>
      </c>
    </row>
    <row r="36" spans="1:8" ht="18">
      <c r="A36" s="580">
        <v>2004</v>
      </c>
      <c r="B36" s="578" t="s">
        <v>534</v>
      </c>
      <c r="C36" s="574">
        <v>1379000</v>
      </c>
      <c r="D36" s="574">
        <v>1540000</v>
      </c>
      <c r="E36" s="574">
        <v>1493000</v>
      </c>
      <c r="F36" s="574">
        <v>1202000</v>
      </c>
      <c r="G36" s="574">
        <v>1508000</v>
      </c>
      <c r="H36" s="574" t="s">
        <v>199</v>
      </c>
    </row>
    <row r="37" spans="1:8" ht="18">
      <c r="A37" s="580">
        <v>2008</v>
      </c>
      <c r="B37" s="581" t="s">
        <v>535</v>
      </c>
      <c r="C37" s="574">
        <v>288075</v>
      </c>
      <c r="D37" s="574">
        <v>164413</v>
      </c>
      <c r="E37" s="574">
        <v>56179</v>
      </c>
      <c r="F37" s="574">
        <v>50196</v>
      </c>
      <c r="G37" s="575">
        <v>19335</v>
      </c>
      <c r="H37" s="574" t="s">
        <v>199</v>
      </c>
    </row>
    <row r="38" spans="1:8" ht="18">
      <c r="A38" s="580">
        <v>2008</v>
      </c>
      <c r="B38" s="581" t="s">
        <v>517</v>
      </c>
      <c r="C38" s="574">
        <v>5513951</v>
      </c>
      <c r="D38" s="574">
        <v>4101727</v>
      </c>
      <c r="E38" s="574">
        <v>3331025</v>
      </c>
      <c r="F38" s="574">
        <v>2170504</v>
      </c>
      <c r="G38" s="574">
        <v>2266486</v>
      </c>
      <c r="H38" s="574" t="s">
        <v>199</v>
      </c>
    </row>
    <row r="39" spans="1:8" ht="18">
      <c r="A39" s="580">
        <v>2006</v>
      </c>
      <c r="B39" s="581" t="s">
        <v>536</v>
      </c>
      <c r="C39" s="574">
        <v>5635000</v>
      </c>
      <c r="D39" s="574">
        <v>7090000</v>
      </c>
      <c r="E39" s="574">
        <v>3566000</v>
      </c>
      <c r="F39" s="574">
        <v>3052000</v>
      </c>
      <c r="G39" s="574">
        <v>1950000</v>
      </c>
      <c r="H39" s="574" t="s">
        <v>199</v>
      </c>
    </row>
    <row r="40" spans="1:8" ht="18">
      <c r="A40" s="580">
        <v>2006</v>
      </c>
      <c r="B40" s="581" t="s">
        <v>537</v>
      </c>
      <c r="C40" s="574">
        <v>496500</v>
      </c>
      <c r="D40" s="574">
        <v>394617</v>
      </c>
      <c r="E40" s="574">
        <v>416886</v>
      </c>
      <c r="F40" s="574">
        <v>274580</v>
      </c>
      <c r="G40" s="574">
        <v>181774</v>
      </c>
      <c r="H40" s="574" t="s">
        <v>199</v>
      </c>
    </row>
    <row r="41" spans="1:8" ht="18">
      <c r="A41" s="580">
        <v>2006</v>
      </c>
      <c r="B41" s="581" t="s">
        <v>538</v>
      </c>
      <c r="C41" s="574">
        <v>0</v>
      </c>
      <c r="D41" s="574">
        <v>0</v>
      </c>
      <c r="E41" s="574">
        <v>0</v>
      </c>
      <c r="F41" s="574">
        <v>355</v>
      </c>
      <c r="G41" s="574">
        <v>0</v>
      </c>
      <c r="H41" s="574" t="s">
        <v>199</v>
      </c>
    </row>
    <row r="42" spans="1:8" ht="18">
      <c r="A42" s="580">
        <v>2005</v>
      </c>
      <c r="B42" s="581" t="s">
        <v>539</v>
      </c>
      <c r="C42" s="574">
        <v>39846</v>
      </c>
      <c r="D42" s="574">
        <v>53142</v>
      </c>
      <c r="E42" s="574">
        <v>42235</v>
      </c>
      <c r="F42" s="574">
        <v>16187</v>
      </c>
      <c r="G42" s="574">
        <v>0</v>
      </c>
      <c r="H42" s="574" t="s">
        <v>199</v>
      </c>
    </row>
    <row r="43" spans="1:8" ht="18">
      <c r="A43" s="580">
        <v>2005</v>
      </c>
      <c r="B43" s="581" t="s">
        <v>540</v>
      </c>
      <c r="C43" s="574">
        <v>156500</v>
      </c>
      <c r="D43" s="574">
        <v>113200</v>
      </c>
      <c r="E43" s="574">
        <v>64700</v>
      </c>
      <c r="F43" s="574">
        <v>29000</v>
      </c>
      <c r="G43" s="574">
        <v>132700</v>
      </c>
      <c r="H43" s="574" t="s">
        <v>199</v>
      </c>
    </row>
    <row r="44" spans="1:8" ht="18">
      <c r="A44" s="580">
        <v>2013</v>
      </c>
      <c r="B44" s="581" t="s">
        <v>540</v>
      </c>
      <c r="C44" s="574">
        <v>1348000</v>
      </c>
      <c r="D44" s="574">
        <v>1461000</v>
      </c>
      <c r="E44" s="574">
        <v>1371000</v>
      </c>
      <c r="F44" s="574">
        <v>1249200</v>
      </c>
      <c r="G44" s="574">
        <v>289400</v>
      </c>
      <c r="H44" s="574" t="s">
        <v>199</v>
      </c>
    </row>
    <row r="45" spans="1:8" ht="18">
      <c r="A45" s="580">
        <v>2013</v>
      </c>
      <c r="B45" s="581" t="s">
        <v>542</v>
      </c>
      <c r="C45" s="574">
        <v>68749</v>
      </c>
      <c r="D45" s="574">
        <v>71740</v>
      </c>
      <c r="E45" s="574">
        <v>28599</v>
      </c>
      <c r="F45" s="574">
        <v>46590</v>
      </c>
      <c r="G45" s="574">
        <v>51202</v>
      </c>
      <c r="H45" s="574" t="s">
        <v>199</v>
      </c>
    </row>
    <row r="46" spans="1:8" ht="18">
      <c r="A46" s="580">
        <v>2013</v>
      </c>
      <c r="B46" s="581" t="s">
        <v>543</v>
      </c>
      <c r="C46" s="574">
        <v>64086</v>
      </c>
      <c r="D46" s="574">
        <v>67598</v>
      </c>
      <c r="E46" s="574">
        <v>58471</v>
      </c>
      <c r="F46" s="574">
        <v>63007</v>
      </c>
      <c r="G46" s="574">
        <v>37394</v>
      </c>
      <c r="H46" s="574" t="s">
        <v>199</v>
      </c>
    </row>
    <row r="47" spans="1:8" ht="18">
      <c r="A47" s="580">
        <v>2014</v>
      </c>
      <c r="B47" s="581" t="s">
        <v>547</v>
      </c>
      <c r="C47" s="574">
        <v>215942</v>
      </c>
      <c r="D47" s="574">
        <v>281693</v>
      </c>
      <c r="E47" s="574">
        <v>167299</v>
      </c>
      <c r="F47" s="574">
        <v>192561</v>
      </c>
      <c r="G47" s="574">
        <v>19882</v>
      </c>
      <c r="H47" s="574" t="s">
        <v>199</v>
      </c>
    </row>
    <row r="48" spans="1:8" ht="18">
      <c r="A48" s="580">
        <v>2014</v>
      </c>
      <c r="B48" s="581" t="s">
        <v>548</v>
      </c>
      <c r="C48" s="574">
        <v>1655000</v>
      </c>
      <c r="D48" s="574">
        <v>1014000</v>
      </c>
      <c r="E48" s="574">
        <v>1480000</v>
      </c>
      <c r="F48" s="574">
        <v>1816500</v>
      </c>
      <c r="G48" s="574">
        <v>1171400</v>
      </c>
      <c r="H48" s="574" t="s">
        <v>199</v>
      </c>
    </row>
    <row r="49" spans="1:8" ht="19">
      <c r="A49" s="649">
        <v>2014</v>
      </c>
      <c r="B49" s="650" t="s">
        <v>550</v>
      </c>
      <c r="C49" s="465">
        <v>7417691</v>
      </c>
      <c r="D49" s="465">
        <v>5253151</v>
      </c>
      <c r="E49" s="465">
        <v>5842797</v>
      </c>
      <c r="F49" s="651">
        <v>3439437</v>
      </c>
      <c r="G49" s="652">
        <v>2461470</v>
      </c>
      <c r="H49" s="645" t="s">
        <v>199</v>
      </c>
    </row>
    <row r="50" spans="1:8">
      <c r="A50" s="580"/>
      <c r="B50" s="581"/>
    </row>
    <row r="51" spans="1:8">
      <c r="A51" s="580"/>
      <c r="B51" s="581"/>
    </row>
    <row r="52" spans="1:8">
      <c r="A52" s="580"/>
      <c r="B52" s="581"/>
    </row>
    <row r="53" spans="1:8" ht="18">
      <c r="A53" s="588">
        <v>2014</v>
      </c>
      <c r="B53" s="589" t="s">
        <v>551</v>
      </c>
      <c r="C53" s="587">
        <v>0</v>
      </c>
      <c r="D53" s="587">
        <v>0</v>
      </c>
      <c r="E53" s="587">
        <v>0</v>
      </c>
      <c r="F53" s="587">
        <v>0</v>
      </c>
      <c r="G53" s="587">
        <v>0</v>
      </c>
    </row>
    <row r="54" spans="1:8" ht="18">
      <c r="A54" s="588">
        <v>2014</v>
      </c>
      <c r="B54" s="589" t="s">
        <v>552</v>
      </c>
      <c r="C54" s="587">
        <v>19209000</v>
      </c>
      <c r="D54" s="587">
        <v>19841000</v>
      </c>
      <c r="E54" s="587">
        <v>16764000</v>
      </c>
      <c r="F54" s="587">
        <v>16373300</v>
      </c>
      <c r="G54" s="587">
        <v>15291000</v>
      </c>
    </row>
    <row r="55" spans="1:8" ht="18">
      <c r="A55" s="588">
        <v>2014</v>
      </c>
      <c r="B55" s="589" t="s">
        <v>553</v>
      </c>
      <c r="C55" s="587">
        <v>1989725</v>
      </c>
      <c r="D55" s="587">
        <v>2205751</v>
      </c>
      <c r="E55" s="587">
        <v>2108912</v>
      </c>
      <c r="F55" s="587">
        <v>2061148</v>
      </c>
      <c r="G55" s="587">
        <v>2374303</v>
      </c>
    </row>
    <row r="56" spans="1:8" ht="18">
      <c r="A56" s="588">
        <v>2014</v>
      </c>
      <c r="B56" s="589" t="s">
        <v>524</v>
      </c>
      <c r="C56" s="587">
        <v>38800</v>
      </c>
      <c r="D56" s="587">
        <v>166000</v>
      </c>
      <c r="E56" s="587">
        <v>229000</v>
      </c>
      <c r="F56" s="587">
        <v>203000</v>
      </c>
      <c r="G56" s="587">
        <v>74900</v>
      </c>
    </row>
    <row r="57" spans="1:8" ht="18">
      <c r="A57" s="588">
        <v>2014</v>
      </c>
      <c r="B57" s="589" t="s">
        <v>522</v>
      </c>
      <c r="C57" s="587">
        <v>52045</v>
      </c>
      <c r="D57" s="587">
        <v>38075</v>
      </c>
      <c r="E57" s="587">
        <v>37186</v>
      </c>
      <c r="F57" s="587">
        <v>68172</v>
      </c>
      <c r="G57" s="587">
        <v>53367</v>
      </c>
    </row>
    <row r="58" spans="1:8" ht="18">
      <c r="A58" s="588">
        <v>2014</v>
      </c>
      <c r="B58" s="589" t="s">
        <v>515</v>
      </c>
      <c r="C58" s="587">
        <v>363017</v>
      </c>
      <c r="D58" s="587">
        <v>414881</v>
      </c>
      <c r="E58" s="587">
        <v>211818</v>
      </c>
      <c r="F58" s="587">
        <v>13996</v>
      </c>
      <c r="G58" s="587">
        <v>9999</v>
      </c>
    </row>
    <row r="59" spans="1:8" ht="18">
      <c r="A59" s="588">
        <v>2014</v>
      </c>
      <c r="B59" s="589" t="s">
        <v>517</v>
      </c>
      <c r="C59" s="587">
        <v>4132691</v>
      </c>
      <c r="D59" s="587">
        <v>67160</v>
      </c>
      <c r="E59" s="587">
        <v>131742</v>
      </c>
      <c r="F59" s="587">
        <v>5140379</v>
      </c>
      <c r="G59" s="587">
        <v>4957843</v>
      </c>
    </row>
    <row r="60" spans="1:8" ht="18">
      <c r="A60" s="588">
        <v>2014</v>
      </c>
      <c r="B60" s="589" t="s">
        <v>555</v>
      </c>
      <c r="C60" s="587">
        <v>42919</v>
      </c>
      <c r="D60" s="587">
        <v>64227</v>
      </c>
      <c r="E60" s="587">
        <v>94601</v>
      </c>
      <c r="F60" s="587">
        <v>59518</v>
      </c>
      <c r="G60" s="587">
        <v>67029</v>
      </c>
    </row>
    <row r="61" spans="1:8" ht="18">
      <c r="A61" s="588">
        <v>2013</v>
      </c>
      <c r="B61" s="589" t="s">
        <v>518</v>
      </c>
      <c r="C61" s="587">
        <v>2306949</v>
      </c>
      <c r="D61" s="587">
        <v>2110521</v>
      </c>
      <c r="E61" s="587">
        <v>2330752</v>
      </c>
      <c r="F61" s="587">
        <v>2540826</v>
      </c>
      <c r="G61" s="587">
        <v>2349667</v>
      </c>
    </row>
    <row r="62" spans="1:8" ht="18">
      <c r="A62" s="588">
        <v>2013</v>
      </c>
      <c r="B62" s="589" t="s">
        <v>556</v>
      </c>
      <c r="C62" s="587">
        <v>0</v>
      </c>
      <c r="D62" s="587">
        <v>72804</v>
      </c>
      <c r="E62" s="587">
        <v>0</v>
      </c>
      <c r="F62" s="587">
        <v>0</v>
      </c>
      <c r="G62" s="587">
        <v>0</v>
      </c>
    </row>
    <row r="63" spans="1:8" ht="18">
      <c r="A63" s="588">
        <v>2012</v>
      </c>
      <c r="B63" s="589" t="s">
        <v>557</v>
      </c>
      <c r="C63" s="587">
        <v>309348</v>
      </c>
      <c r="D63" s="587">
        <v>308910</v>
      </c>
      <c r="E63" s="587">
        <v>233825</v>
      </c>
      <c r="F63" s="587">
        <v>233072</v>
      </c>
      <c r="G63" s="587">
        <v>124315</v>
      </c>
    </row>
    <row r="64" spans="1:8" ht="18">
      <c r="A64" s="588">
        <v>2006</v>
      </c>
      <c r="B64" s="589" t="s">
        <v>522</v>
      </c>
      <c r="C64" s="587">
        <v>98069</v>
      </c>
      <c r="D64" s="587">
        <v>126199</v>
      </c>
      <c r="E64" s="587">
        <v>100305</v>
      </c>
      <c r="F64" s="587">
        <v>68816</v>
      </c>
      <c r="G64" s="587">
        <v>57713</v>
      </c>
    </row>
    <row r="65" spans="1:11" ht="18">
      <c r="A65" s="588">
        <v>2006</v>
      </c>
      <c r="B65" s="589" t="s">
        <v>523</v>
      </c>
      <c r="C65" s="587">
        <v>110000</v>
      </c>
      <c r="D65" s="587">
        <v>156500</v>
      </c>
      <c r="E65" s="587">
        <v>113200</v>
      </c>
      <c r="F65" s="587">
        <v>64700</v>
      </c>
      <c r="G65" s="587">
        <v>29000</v>
      </c>
    </row>
    <row r="66" spans="1:11" ht="18">
      <c r="A66" s="588">
        <v>2006</v>
      </c>
      <c r="B66" s="589" t="s">
        <v>524</v>
      </c>
      <c r="C66" s="587">
        <v>0</v>
      </c>
      <c r="D66" s="587">
        <v>0</v>
      </c>
      <c r="E66" s="587">
        <v>0</v>
      </c>
      <c r="F66" s="587">
        <v>355</v>
      </c>
      <c r="G66" s="587">
        <v>0</v>
      </c>
    </row>
    <row r="69" spans="1:11" ht="18">
      <c r="A69" s="449">
        <v>2014</v>
      </c>
      <c r="B69" s="524" t="s">
        <v>551</v>
      </c>
      <c r="C69" s="228">
        <v>102396</v>
      </c>
      <c r="D69" s="228">
        <v>26102</v>
      </c>
      <c r="E69" s="228">
        <v>35668</v>
      </c>
      <c r="F69" s="228">
        <v>23562</v>
      </c>
      <c r="G69" s="228">
        <v>0</v>
      </c>
      <c r="H69" s="617" t="s">
        <v>302</v>
      </c>
    </row>
    <row r="70" spans="1:11" ht="18">
      <c r="A70" s="618">
        <v>2006</v>
      </c>
      <c r="B70" s="619" t="s">
        <v>569</v>
      </c>
      <c r="C70" s="228">
        <v>2029640</v>
      </c>
      <c r="D70" s="228">
        <v>2061191</v>
      </c>
      <c r="E70" s="228">
        <v>1741283</v>
      </c>
      <c r="F70" s="228">
        <v>1600934</v>
      </c>
      <c r="G70" s="228">
        <v>308857</v>
      </c>
      <c r="H70" s="228" t="s">
        <v>199</v>
      </c>
    </row>
    <row r="71" spans="1:11" ht="18">
      <c r="A71" s="618">
        <v>2012</v>
      </c>
      <c r="B71" s="619" t="s">
        <v>570</v>
      </c>
      <c r="C71" s="228">
        <v>3951</v>
      </c>
      <c r="D71" s="228">
        <v>4084</v>
      </c>
      <c r="E71" s="228">
        <v>4128</v>
      </c>
      <c r="F71" s="228">
        <v>4174</v>
      </c>
      <c r="G71" s="228">
        <v>4232</v>
      </c>
      <c r="H71" s="228" t="s">
        <v>199</v>
      </c>
    </row>
    <row r="72" spans="1:11" ht="18">
      <c r="A72" s="620">
        <v>2013</v>
      </c>
      <c r="B72" s="621" t="s">
        <v>571</v>
      </c>
      <c r="C72" s="228">
        <v>20293</v>
      </c>
      <c r="D72" s="228">
        <v>707</v>
      </c>
      <c r="E72" s="228">
        <v>11455</v>
      </c>
      <c r="F72" s="228">
        <v>10090</v>
      </c>
      <c r="G72" s="228">
        <v>5224</v>
      </c>
      <c r="H72" s="228" t="s">
        <v>561</v>
      </c>
    </row>
    <row r="73" spans="1:11" ht="18">
      <c r="A73" s="620">
        <v>2015</v>
      </c>
      <c r="B73" s="621" t="s">
        <v>572</v>
      </c>
      <c r="C73" s="228">
        <v>55925</v>
      </c>
      <c r="D73" s="228">
        <v>11128</v>
      </c>
      <c r="E73" s="228">
        <v>2013</v>
      </c>
      <c r="F73" s="228">
        <v>6232</v>
      </c>
      <c r="G73" s="228">
        <v>4376</v>
      </c>
      <c r="H73" s="228" t="s">
        <v>574</v>
      </c>
    </row>
    <row r="74" spans="1:11" ht="18">
      <c r="A74" s="620">
        <v>2015</v>
      </c>
      <c r="B74" s="621" t="s">
        <v>573</v>
      </c>
      <c r="C74" s="228">
        <v>644000</v>
      </c>
      <c r="D74" s="228">
        <v>419000</v>
      </c>
      <c r="E74" s="228">
        <v>529000</v>
      </c>
      <c r="F74" s="228">
        <v>448000</v>
      </c>
      <c r="G74" s="228">
        <v>349000</v>
      </c>
      <c r="H74" s="228" t="s">
        <v>574</v>
      </c>
    </row>
    <row r="75" spans="1:11">
      <c r="D75" s="183">
        <v>2012</v>
      </c>
      <c r="E75" s="183">
        <v>2011</v>
      </c>
      <c r="F75" s="183">
        <v>2010</v>
      </c>
      <c r="G75" s="183">
        <v>2009</v>
      </c>
      <c r="H75" s="183">
        <v>2008</v>
      </c>
      <c r="I75" s="183">
        <v>2007</v>
      </c>
      <c r="J75" s="183">
        <v>2006</v>
      </c>
    </row>
    <row r="76" spans="1:11" ht="18">
      <c r="B76" s="204" t="s">
        <v>356</v>
      </c>
      <c r="D76" s="228">
        <v>983332</v>
      </c>
      <c r="E76" s="554">
        <v>833348</v>
      </c>
      <c r="F76" s="554">
        <v>895281</v>
      </c>
      <c r="G76" s="228">
        <v>999760</v>
      </c>
      <c r="H76" s="228">
        <v>1389459</v>
      </c>
      <c r="I76" s="228">
        <v>1268593</v>
      </c>
      <c r="J76" s="228">
        <v>374187</v>
      </c>
      <c r="K76" s="228" t="s">
        <v>561</v>
      </c>
    </row>
    <row r="77" spans="1:11" ht="18">
      <c r="B77" s="204" t="s">
        <v>530</v>
      </c>
      <c r="D77" s="228">
        <v>117836</v>
      </c>
      <c r="E77" s="228">
        <v>142300</v>
      </c>
      <c r="F77" s="228">
        <v>100402</v>
      </c>
      <c r="G77" s="228">
        <v>72790</v>
      </c>
      <c r="H77" s="228">
        <v>55735</v>
      </c>
      <c r="I77" s="228">
        <v>93672</v>
      </c>
      <c r="J77" s="228">
        <v>85221</v>
      </c>
      <c r="K77" s="228" t="s">
        <v>561</v>
      </c>
    </row>
    <row r="81" spans="1:8">
      <c r="A81" s="684"/>
      <c r="B81" s="684"/>
      <c r="C81" s="689" t="s">
        <v>19</v>
      </c>
      <c r="D81" s="689" t="s">
        <v>18</v>
      </c>
      <c r="E81" s="689" t="s">
        <v>17</v>
      </c>
      <c r="F81" s="689" t="s">
        <v>348</v>
      </c>
      <c r="G81" s="689" t="s">
        <v>16</v>
      </c>
      <c r="H81" s="684"/>
    </row>
    <row r="82" spans="1:8" ht="18">
      <c r="A82" s="684">
        <v>2015</v>
      </c>
      <c r="B82" s="691" t="s">
        <v>642</v>
      </c>
      <c r="C82" s="687">
        <v>1120190</v>
      </c>
      <c r="D82" s="687">
        <v>1088213</v>
      </c>
      <c r="E82" s="687">
        <v>1070615</v>
      </c>
      <c r="F82" s="687">
        <v>741054</v>
      </c>
      <c r="G82" s="687">
        <v>584112</v>
      </c>
      <c r="H82" s="687" t="s">
        <v>296</v>
      </c>
    </row>
    <row r="83" spans="1:8" ht="18">
      <c r="A83" s="684">
        <v>2015</v>
      </c>
      <c r="B83" s="691" t="s">
        <v>643</v>
      </c>
      <c r="C83" s="687">
        <v>4795895</v>
      </c>
      <c r="D83" s="687">
        <v>29127593</v>
      </c>
      <c r="E83" s="687">
        <v>17822969</v>
      </c>
      <c r="F83" s="687">
        <v>9427952</v>
      </c>
      <c r="G83" s="687">
        <v>10600738</v>
      </c>
      <c r="H83" s="687" t="s">
        <v>296</v>
      </c>
    </row>
    <row r="84" spans="1:8" ht="18">
      <c r="A84" s="685">
        <v>2016</v>
      </c>
      <c r="B84" s="691" t="s">
        <v>644</v>
      </c>
      <c r="C84" s="694">
        <v>397</v>
      </c>
      <c r="D84" s="694">
        <v>322</v>
      </c>
      <c r="E84" s="694">
        <v>26617</v>
      </c>
      <c r="F84" s="694">
        <v>259285</v>
      </c>
      <c r="G84" s="694">
        <v>273019</v>
      </c>
      <c r="H84" s="693" t="s">
        <v>561</v>
      </c>
    </row>
    <row r="85" spans="1:8" ht="18">
      <c r="A85" s="685">
        <v>2017</v>
      </c>
      <c r="B85" s="691" t="s">
        <v>649</v>
      </c>
      <c r="C85" s="686">
        <v>759924</v>
      </c>
      <c r="D85" s="686">
        <v>1231730</v>
      </c>
      <c r="E85" s="686">
        <v>322122</v>
      </c>
      <c r="F85" s="686">
        <v>1099519</v>
      </c>
      <c r="G85" s="686">
        <v>1227358</v>
      </c>
      <c r="H85" s="693" t="s">
        <v>561</v>
      </c>
    </row>
    <row r="86" spans="1:8" ht="18">
      <c r="A86" s="685">
        <v>2017</v>
      </c>
      <c r="B86" s="691" t="s">
        <v>650</v>
      </c>
      <c r="C86" s="687">
        <v>16514</v>
      </c>
      <c r="D86" s="687">
        <v>66009</v>
      </c>
      <c r="E86" s="687">
        <v>115324</v>
      </c>
      <c r="F86" s="687">
        <v>147387</v>
      </c>
      <c r="G86" s="687">
        <v>264816</v>
      </c>
      <c r="H86" s="687" t="s">
        <v>296</v>
      </c>
    </row>
    <row r="87" spans="1:8" ht="18">
      <c r="A87" s="685">
        <v>2014</v>
      </c>
      <c r="B87" s="691" t="s">
        <v>652</v>
      </c>
      <c r="C87" s="687">
        <v>387486</v>
      </c>
      <c r="D87" s="687">
        <v>207405</v>
      </c>
      <c r="E87" s="687">
        <v>6508</v>
      </c>
      <c r="F87" s="687">
        <v>6471</v>
      </c>
      <c r="G87" s="687">
        <v>8485</v>
      </c>
      <c r="H87" s="687" t="s">
        <v>296</v>
      </c>
    </row>
    <row r="88" spans="1:8" ht="19">
      <c r="A88" s="685">
        <v>2018</v>
      </c>
      <c r="B88" s="691" t="s">
        <v>653</v>
      </c>
      <c r="C88" s="696">
        <v>2410000</v>
      </c>
      <c r="D88" s="687">
        <v>2666000</v>
      </c>
      <c r="E88" s="687">
        <v>3204000</v>
      </c>
      <c r="F88" s="687">
        <v>1122000</v>
      </c>
      <c r="G88" s="687">
        <v>1131000</v>
      </c>
      <c r="H88" s="690" t="s">
        <v>296</v>
      </c>
    </row>
    <row r="89" spans="1:8" ht="18">
      <c r="A89" s="685">
        <v>2018</v>
      </c>
      <c r="B89" s="691" t="s">
        <v>654</v>
      </c>
      <c r="C89" s="694">
        <v>4830272</v>
      </c>
      <c r="D89" s="694">
        <v>5415357</v>
      </c>
      <c r="E89" s="694">
        <v>5194647</v>
      </c>
      <c r="F89" s="694">
        <v>5355121</v>
      </c>
      <c r="G89" s="694">
        <v>5407430</v>
      </c>
      <c r="H89" s="695" t="s">
        <v>561</v>
      </c>
    </row>
    <row r="90" spans="1:8" ht="18">
      <c r="A90" s="685">
        <v>2018</v>
      </c>
      <c r="B90" s="691" t="s">
        <v>655</v>
      </c>
      <c r="C90" s="694">
        <v>2549206</v>
      </c>
      <c r="D90" s="694">
        <v>2890973</v>
      </c>
      <c r="E90" s="694">
        <v>2942597</v>
      </c>
      <c r="F90" s="694">
        <v>3030495</v>
      </c>
      <c r="G90" s="694">
        <v>2339829</v>
      </c>
      <c r="H90" s="695" t="s">
        <v>561</v>
      </c>
    </row>
    <row r="91" spans="1:8" ht="18">
      <c r="A91" s="685">
        <v>2012</v>
      </c>
      <c r="B91" s="691" t="s">
        <v>548</v>
      </c>
      <c r="C91" s="687">
        <v>1480000</v>
      </c>
      <c r="D91" s="687">
        <v>1816500</v>
      </c>
      <c r="E91" s="687">
        <v>1171400</v>
      </c>
      <c r="F91" s="687">
        <v>1700200</v>
      </c>
      <c r="G91" s="688">
        <v>587900</v>
      </c>
      <c r="H91" s="690" t="s">
        <v>296</v>
      </c>
    </row>
    <row r="92" spans="1:8" ht="18">
      <c r="A92" s="685">
        <v>2012</v>
      </c>
      <c r="B92" s="691" t="s">
        <v>657</v>
      </c>
      <c r="C92" s="687">
        <v>51581</v>
      </c>
      <c r="D92" s="687">
        <v>119479</v>
      </c>
      <c r="E92" s="687">
        <v>289794</v>
      </c>
      <c r="F92" s="687">
        <v>114038</v>
      </c>
      <c r="G92" s="687">
        <v>614448</v>
      </c>
      <c r="H92" s="690" t="s">
        <v>296</v>
      </c>
    </row>
    <row r="93" spans="1:8" ht="18">
      <c r="A93" s="685">
        <v>2013</v>
      </c>
      <c r="B93" s="691" t="s">
        <v>658</v>
      </c>
      <c r="C93" s="687">
        <v>264816</v>
      </c>
      <c r="D93" s="687">
        <v>324389</v>
      </c>
      <c r="E93" s="687">
        <v>109923</v>
      </c>
      <c r="F93" s="687">
        <v>103516</v>
      </c>
      <c r="G93" s="687">
        <v>104285</v>
      </c>
      <c r="H93" s="690" t="s">
        <v>296</v>
      </c>
    </row>
    <row r="94" spans="1:8" ht="18">
      <c r="A94" s="685">
        <v>2010</v>
      </c>
      <c r="B94" s="691" t="s">
        <v>702</v>
      </c>
      <c r="C94" s="687">
        <v>53920</v>
      </c>
      <c r="D94" s="687">
        <v>24000</v>
      </c>
      <c r="E94" s="687">
        <v>27034</v>
      </c>
      <c r="F94" s="687">
        <v>18015</v>
      </c>
      <c r="G94" s="687">
        <v>13855</v>
      </c>
      <c r="H94" s="690" t="s">
        <v>296</v>
      </c>
    </row>
    <row r="95" spans="1:8" ht="18">
      <c r="A95" s="685">
        <v>2010</v>
      </c>
      <c r="B95" s="691" t="s">
        <v>703</v>
      </c>
      <c r="C95" s="687">
        <v>2749000</v>
      </c>
      <c r="D95" s="687">
        <v>2886000</v>
      </c>
      <c r="E95" s="687">
        <v>1876000</v>
      </c>
      <c r="F95" s="687">
        <v>1924000</v>
      </c>
      <c r="G95" s="687">
        <v>1921000</v>
      </c>
      <c r="H95" s="690" t="s">
        <v>296</v>
      </c>
    </row>
    <row r="96" spans="1:8" ht="18">
      <c r="A96" s="685">
        <v>2010</v>
      </c>
      <c r="B96" s="691" t="s">
        <v>548</v>
      </c>
      <c r="C96" s="687">
        <v>1171400</v>
      </c>
      <c r="D96" s="687">
        <v>1700200</v>
      </c>
      <c r="E96" s="687">
        <v>587900</v>
      </c>
      <c r="F96" s="687">
        <v>292800</v>
      </c>
      <c r="G96" s="687">
        <v>402200</v>
      </c>
      <c r="H96" s="690" t="s">
        <v>296</v>
      </c>
    </row>
    <row r="97" spans="1:8" ht="18">
      <c r="A97" s="685">
        <v>2010</v>
      </c>
      <c r="B97" s="691" t="s">
        <v>704</v>
      </c>
      <c r="C97" s="687">
        <v>468924</v>
      </c>
      <c r="D97" s="687">
        <v>349922</v>
      </c>
      <c r="E97" s="687">
        <v>321343</v>
      </c>
      <c r="F97" s="687">
        <v>325412</v>
      </c>
      <c r="G97" s="687">
        <v>333947</v>
      </c>
      <c r="H97" s="690" t="s">
        <v>296</v>
      </c>
    </row>
    <row r="98" spans="1:8" ht="18">
      <c r="A98" s="685">
        <v>2016</v>
      </c>
      <c r="B98" s="691" t="s">
        <v>736</v>
      </c>
      <c r="C98" s="687">
        <v>11301</v>
      </c>
      <c r="D98" s="687">
        <v>3768</v>
      </c>
      <c r="E98" s="687">
        <v>120917</v>
      </c>
      <c r="F98" s="687">
        <v>189883</v>
      </c>
      <c r="G98" s="688">
        <v>286141</v>
      </c>
      <c r="H98" s="690" t="s">
        <v>296</v>
      </c>
    </row>
    <row r="99" spans="1:8" ht="18">
      <c r="A99" s="685">
        <v>2016</v>
      </c>
      <c r="B99" s="691" t="s">
        <v>730</v>
      </c>
      <c r="C99" s="687">
        <v>12583000</v>
      </c>
      <c r="D99" s="687">
        <v>9401000</v>
      </c>
      <c r="E99" s="687">
        <v>9554000</v>
      </c>
      <c r="F99" s="687">
        <v>11318000</v>
      </c>
      <c r="G99" s="687">
        <v>12913000</v>
      </c>
      <c r="H99" s="690" t="s">
        <v>296</v>
      </c>
    </row>
    <row r="100" spans="1:8" ht="18">
      <c r="A100" s="685">
        <v>2008</v>
      </c>
      <c r="B100" s="692" t="s">
        <v>762</v>
      </c>
      <c r="C100" s="693">
        <v>0</v>
      </c>
      <c r="D100" s="693">
        <v>6428</v>
      </c>
      <c r="E100" s="687">
        <v>28426</v>
      </c>
      <c r="F100" s="687">
        <v>9971</v>
      </c>
      <c r="G100" s="687">
        <v>36317</v>
      </c>
      <c r="H100" s="695" t="s">
        <v>1035</v>
      </c>
    </row>
    <row r="101" spans="1:8" ht="18">
      <c r="A101" s="685">
        <v>2008</v>
      </c>
      <c r="B101" s="691" t="s">
        <v>785</v>
      </c>
      <c r="C101" s="687">
        <v>51444</v>
      </c>
      <c r="D101" s="687">
        <v>54145</v>
      </c>
      <c r="E101" s="687">
        <v>52084</v>
      </c>
      <c r="F101" s="687">
        <v>131455</v>
      </c>
      <c r="G101" s="687">
        <v>43779</v>
      </c>
      <c r="H101" s="690" t="s">
        <v>296</v>
      </c>
    </row>
    <row r="102" spans="1:8" ht="18">
      <c r="A102" s="685">
        <v>2008</v>
      </c>
      <c r="B102" s="691" t="s">
        <v>540</v>
      </c>
      <c r="C102" s="687">
        <v>260800</v>
      </c>
      <c r="D102" s="687">
        <v>263000</v>
      </c>
      <c r="E102" s="687">
        <v>110000</v>
      </c>
      <c r="F102" s="687">
        <v>156500</v>
      </c>
      <c r="G102" s="687">
        <v>113200</v>
      </c>
      <c r="H102" s="690" t="s">
        <v>296</v>
      </c>
    </row>
    <row r="103" spans="1:8" ht="18">
      <c r="A103" s="685">
        <v>2008</v>
      </c>
      <c r="B103" s="691" t="s">
        <v>524</v>
      </c>
      <c r="C103" s="693">
        <v>11065</v>
      </c>
      <c r="D103" s="693">
        <v>39442</v>
      </c>
      <c r="E103" s="693">
        <v>0</v>
      </c>
      <c r="F103" s="693">
        <v>0</v>
      </c>
      <c r="G103" s="693">
        <v>0</v>
      </c>
      <c r="H103" s="684"/>
    </row>
    <row r="104" spans="1:8" ht="18">
      <c r="A104" s="685">
        <v>2008</v>
      </c>
      <c r="B104" s="691" t="s">
        <v>540</v>
      </c>
      <c r="C104" s="687">
        <v>260800</v>
      </c>
      <c r="D104" s="687">
        <v>263000</v>
      </c>
      <c r="E104" s="687">
        <v>110000</v>
      </c>
      <c r="F104" s="687">
        <v>156500</v>
      </c>
      <c r="G104" s="687">
        <v>113200</v>
      </c>
      <c r="H104" s="690" t="s">
        <v>296</v>
      </c>
    </row>
    <row r="105" spans="1:8" ht="18">
      <c r="A105" s="685">
        <v>2008</v>
      </c>
      <c r="B105" s="691" t="s">
        <v>524</v>
      </c>
      <c r="C105" s="693">
        <v>11065</v>
      </c>
      <c r="D105" s="693">
        <v>39442</v>
      </c>
      <c r="E105" s="693">
        <v>0</v>
      </c>
      <c r="F105" s="693">
        <v>0</v>
      </c>
      <c r="G105" s="693">
        <v>0</v>
      </c>
      <c r="H105" s="684"/>
    </row>
    <row r="106" spans="1:8" ht="18">
      <c r="A106" s="685">
        <v>2006</v>
      </c>
      <c r="B106" s="691" t="s">
        <v>861</v>
      </c>
      <c r="C106" s="687">
        <v>41463000</v>
      </c>
      <c r="D106" s="687">
        <v>50407000</v>
      </c>
      <c r="E106" s="687">
        <v>47873000</v>
      </c>
      <c r="F106" s="687">
        <v>47855000</v>
      </c>
      <c r="G106" s="687">
        <v>33756000</v>
      </c>
      <c r="H106" s="690" t="s">
        <v>296</v>
      </c>
    </row>
    <row r="107" spans="1:8" ht="18">
      <c r="A107" s="685">
        <v>2006</v>
      </c>
      <c r="B107" s="691" t="s">
        <v>862</v>
      </c>
      <c r="C107" s="687">
        <v>565</v>
      </c>
      <c r="D107" s="687">
        <v>2437</v>
      </c>
      <c r="E107" s="687">
        <v>412</v>
      </c>
      <c r="F107" s="687">
        <v>470</v>
      </c>
      <c r="G107" s="687">
        <v>0</v>
      </c>
      <c r="H107" s="685" t="s">
        <v>296</v>
      </c>
    </row>
    <row r="108" spans="1:8" ht="18">
      <c r="A108" s="685">
        <v>2005</v>
      </c>
      <c r="B108" s="691" t="s">
        <v>888</v>
      </c>
      <c r="C108" s="687">
        <v>15851135</v>
      </c>
      <c r="D108" s="687">
        <v>14803632</v>
      </c>
      <c r="E108" s="687">
        <v>11755119</v>
      </c>
      <c r="F108" s="687">
        <v>10979441</v>
      </c>
      <c r="G108" s="687">
        <v>3800282</v>
      </c>
      <c r="H108" s="690" t="s">
        <v>296</v>
      </c>
    </row>
    <row r="109" spans="1:8" ht="18">
      <c r="A109" s="685">
        <v>2005</v>
      </c>
      <c r="B109" s="691" t="s">
        <v>914</v>
      </c>
      <c r="C109" s="687">
        <v>89420</v>
      </c>
      <c r="D109" s="687">
        <v>89661</v>
      </c>
      <c r="E109" s="687">
        <v>89641</v>
      </c>
      <c r="F109" s="687">
        <v>1972622</v>
      </c>
      <c r="G109" s="687">
        <v>70623</v>
      </c>
      <c r="H109" s="687" t="s">
        <v>296</v>
      </c>
    </row>
    <row r="110" spans="1:8" ht="18">
      <c r="A110" s="685">
        <v>2005</v>
      </c>
      <c r="B110" s="691" t="s">
        <v>915</v>
      </c>
      <c r="C110" s="687">
        <v>156256</v>
      </c>
      <c r="D110" s="687">
        <v>155577</v>
      </c>
      <c r="E110" s="687">
        <v>186018</v>
      </c>
      <c r="F110" s="687">
        <v>102215</v>
      </c>
      <c r="G110" s="687">
        <v>102033</v>
      </c>
      <c r="H110" s="687" t="s">
        <v>296</v>
      </c>
    </row>
    <row r="111" spans="1:8" ht="18">
      <c r="A111" s="685">
        <v>2007</v>
      </c>
      <c r="B111" s="691" t="s">
        <v>916</v>
      </c>
      <c r="C111" s="687">
        <v>22282</v>
      </c>
      <c r="D111" s="687">
        <v>260002</v>
      </c>
      <c r="E111" s="687">
        <v>298388</v>
      </c>
      <c r="F111" s="687">
        <v>280559</v>
      </c>
      <c r="G111" s="688">
        <v>232454</v>
      </c>
      <c r="H111" s="687" t="s">
        <v>296</v>
      </c>
    </row>
    <row r="112" spans="1:8" ht="18">
      <c r="A112" s="685">
        <v>2007</v>
      </c>
      <c r="B112" s="691" t="s">
        <v>917</v>
      </c>
      <c r="C112" s="687">
        <v>4003000</v>
      </c>
      <c r="D112" s="687">
        <v>5154000</v>
      </c>
      <c r="E112" s="687">
        <v>3248000</v>
      </c>
      <c r="F112" s="687">
        <v>2937000</v>
      </c>
      <c r="G112" s="688">
        <v>3714000</v>
      </c>
      <c r="H112" s="687" t="s">
        <v>296</v>
      </c>
    </row>
    <row r="113" spans="1:8" ht="18">
      <c r="A113" s="685">
        <v>2007</v>
      </c>
      <c r="B113" s="691" t="s">
        <v>920</v>
      </c>
      <c r="C113" s="687">
        <v>25901000</v>
      </c>
      <c r="D113" s="687">
        <v>33381000</v>
      </c>
      <c r="E113" s="687">
        <v>34831000</v>
      </c>
      <c r="F113" s="687">
        <v>22235000</v>
      </c>
      <c r="G113" s="687">
        <v>16157000</v>
      </c>
      <c r="H113" s="687" t="s">
        <v>296</v>
      </c>
    </row>
    <row r="114" spans="1:8" ht="18">
      <c r="A114" s="685">
        <v>2007</v>
      </c>
      <c r="B114" s="691" t="s">
        <v>918</v>
      </c>
      <c r="C114" s="687">
        <v>6901815</v>
      </c>
      <c r="D114" s="687">
        <v>6323136</v>
      </c>
      <c r="E114" s="687">
        <v>7571458</v>
      </c>
      <c r="F114" s="687">
        <v>2933904</v>
      </c>
      <c r="G114" s="687">
        <v>2022676</v>
      </c>
      <c r="H114" s="687" t="s">
        <v>296</v>
      </c>
    </row>
    <row r="115" spans="1:8" ht="18">
      <c r="A115" s="685">
        <v>2007</v>
      </c>
      <c r="B115" s="691" t="s">
        <v>919</v>
      </c>
      <c r="C115" s="687">
        <v>136881</v>
      </c>
      <c r="D115" s="687">
        <v>156212</v>
      </c>
      <c r="E115" s="687">
        <v>129099</v>
      </c>
      <c r="F115" s="687">
        <v>111605</v>
      </c>
      <c r="G115" s="688">
        <v>46961</v>
      </c>
      <c r="H115" s="687" t="s">
        <v>296</v>
      </c>
    </row>
    <row r="116" spans="1:8" ht="18">
      <c r="A116" s="685">
        <v>2005</v>
      </c>
      <c r="B116" s="691" t="s">
        <v>921</v>
      </c>
      <c r="C116" s="687">
        <v>2359449</v>
      </c>
      <c r="D116" s="687">
        <v>2380240</v>
      </c>
      <c r="E116" s="687">
        <v>2038038</v>
      </c>
      <c r="F116" s="687">
        <v>616973</v>
      </c>
      <c r="G116" s="687">
        <v>412925</v>
      </c>
      <c r="H116" s="687" t="s">
        <v>296</v>
      </c>
    </row>
    <row r="117" spans="1:8" ht="18">
      <c r="A117" s="685">
        <v>2005</v>
      </c>
      <c r="B117" s="691" t="s">
        <v>927</v>
      </c>
      <c r="C117" s="687">
        <v>54582</v>
      </c>
      <c r="D117" s="687">
        <v>88798</v>
      </c>
      <c r="E117" s="687">
        <v>78966</v>
      </c>
      <c r="F117" s="687">
        <v>86677</v>
      </c>
      <c r="G117" s="687">
        <v>108888</v>
      </c>
      <c r="H117" s="687" t="s">
        <v>296</v>
      </c>
    </row>
    <row r="118" spans="1:8" ht="18">
      <c r="A118" s="685">
        <v>2007</v>
      </c>
      <c r="B118" s="691" t="s">
        <v>415</v>
      </c>
      <c r="C118" s="687">
        <v>18059727</v>
      </c>
      <c r="D118" s="687">
        <v>16465935</v>
      </c>
      <c r="E118" s="687">
        <v>15851135</v>
      </c>
      <c r="F118" s="687">
        <v>14803632</v>
      </c>
      <c r="G118" s="688">
        <v>11755119</v>
      </c>
      <c r="H118" s="687" t="s">
        <v>296</v>
      </c>
    </row>
    <row r="119" spans="1:8" ht="18">
      <c r="A119" s="685">
        <v>2003</v>
      </c>
      <c r="B119" s="691" t="s">
        <v>523</v>
      </c>
      <c r="C119" s="687">
        <v>64700</v>
      </c>
      <c r="D119" s="687">
        <v>29000</v>
      </c>
      <c r="E119" s="687">
        <v>132700</v>
      </c>
      <c r="F119" s="687">
        <v>10900</v>
      </c>
      <c r="G119" s="687">
        <v>14900</v>
      </c>
      <c r="H119" s="687" t="s">
        <v>296</v>
      </c>
    </row>
    <row r="120" spans="1:8" ht="18">
      <c r="A120" s="685">
        <v>2003</v>
      </c>
      <c r="B120" s="691" t="s">
        <v>973</v>
      </c>
      <c r="C120" s="687">
        <v>3392</v>
      </c>
      <c r="D120" s="687">
        <v>4201</v>
      </c>
      <c r="E120" s="687">
        <v>7379</v>
      </c>
      <c r="F120" s="687">
        <v>11812</v>
      </c>
      <c r="G120" s="687">
        <v>22589</v>
      </c>
      <c r="H120" s="687" t="s">
        <v>296</v>
      </c>
    </row>
    <row r="121" spans="1:8" ht="18">
      <c r="A121" s="685">
        <v>2003</v>
      </c>
      <c r="B121" s="691" t="s">
        <v>542</v>
      </c>
      <c r="C121" s="687">
        <v>61178</v>
      </c>
      <c r="D121" s="687">
        <v>70686</v>
      </c>
      <c r="E121" s="687">
        <v>77749</v>
      </c>
      <c r="F121" s="687">
        <v>91606</v>
      </c>
      <c r="G121" s="688">
        <v>113726</v>
      </c>
      <c r="H121" s="687" t="s">
        <v>296</v>
      </c>
    </row>
    <row r="122" spans="1:8" ht="18">
      <c r="A122" s="685">
        <v>2018</v>
      </c>
      <c r="B122" s="691" t="s">
        <v>1000</v>
      </c>
      <c r="C122" s="686">
        <v>2468.9341627359399</v>
      </c>
      <c r="D122" s="686">
        <v>3010.0819866061202</v>
      </c>
      <c r="E122" s="686">
        <v>4174.82910927385</v>
      </c>
      <c r="F122" s="686">
        <v>645.91484378278301</v>
      </c>
      <c r="G122" s="686">
        <v>828.136422641575</v>
      </c>
      <c r="H122" s="693" t="s">
        <v>561</v>
      </c>
    </row>
    <row r="123" spans="1:8" ht="18">
      <c r="A123" s="685">
        <v>2018</v>
      </c>
      <c r="B123" s="691" t="s">
        <v>999</v>
      </c>
      <c r="C123" s="690">
        <v>168211</v>
      </c>
      <c r="D123" s="687">
        <v>188688</v>
      </c>
      <c r="E123" s="687">
        <v>201352</v>
      </c>
      <c r="F123" s="687">
        <v>574</v>
      </c>
      <c r="G123" s="687">
        <v>218</v>
      </c>
      <c r="H123" s="687" t="s">
        <v>296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"/>
  <dimension ref="A1:BJ1411"/>
  <sheetViews>
    <sheetView showGridLines="0" topLeftCell="O1" zoomScale="70" zoomScaleNormal="70" workbookViewId="0">
      <pane ySplit="1" topLeftCell="A59" activePane="bottomLeft" state="frozen"/>
      <selection pane="bottomLeft" activeCell="U19" sqref="P18:U19"/>
    </sheetView>
  </sheetViews>
  <sheetFormatPr baseColWidth="10" defaultColWidth="11.5" defaultRowHeight="15"/>
  <cols>
    <col min="1" max="1" width="27.5" style="16" customWidth="1"/>
    <col min="2" max="2" width="21.83203125" style="16" customWidth="1"/>
    <col min="3" max="4" width="17.6640625" style="16" bestFit="1" customWidth="1"/>
    <col min="5" max="5" width="18.6640625" style="16" bestFit="1" customWidth="1"/>
    <col min="6" max="6" width="18.6640625" style="341" bestFit="1" customWidth="1"/>
    <col min="7" max="7" width="16.33203125" style="16" bestFit="1" customWidth="1"/>
    <col min="8" max="8" width="31.1640625" style="16" customWidth="1"/>
    <col min="9" max="9" width="25.5" style="17" bestFit="1" customWidth="1"/>
    <col min="10" max="11" width="21" style="209" customWidth="1"/>
    <col min="12" max="12" width="21" style="17" customWidth="1"/>
    <col min="13" max="13" width="0.1640625" style="17" customWidth="1"/>
    <col min="14" max="14" width="14" style="17" customWidth="1"/>
    <col min="15" max="15" width="19.33203125" style="17" bestFit="1" customWidth="1"/>
    <col min="16" max="16" width="18.6640625" style="17" customWidth="1"/>
    <col min="17" max="17" width="36.83203125" style="17" bestFit="1" customWidth="1"/>
    <col min="18" max="62" width="25.6640625" style="17" customWidth="1"/>
    <col min="63" max="16384" width="11.5" style="17"/>
  </cols>
  <sheetData>
    <row r="1" spans="1:62" customFormat="1" ht="24.75" customHeight="1">
      <c r="A1" s="16"/>
      <c r="B1" s="3"/>
      <c r="C1" s="16"/>
      <c r="D1" s="16"/>
      <c r="E1" s="16"/>
      <c r="F1" s="340" t="s">
        <v>348</v>
      </c>
      <c r="G1" s="16"/>
      <c r="H1" s="16"/>
      <c r="I1" s="17"/>
      <c r="J1" s="209"/>
      <c r="K1" s="209"/>
      <c r="L1" s="17"/>
      <c r="Q1" s="17"/>
      <c r="R1" s="432" t="s">
        <v>5</v>
      </c>
      <c r="S1" s="432"/>
      <c r="T1" s="432"/>
      <c r="U1" s="432"/>
      <c r="V1" s="432"/>
      <c r="W1" s="431" t="s">
        <v>6</v>
      </c>
      <c r="X1" s="431"/>
      <c r="Y1" s="431"/>
      <c r="Z1" s="431"/>
      <c r="AA1" s="431"/>
      <c r="AB1" s="430" t="s">
        <v>84</v>
      </c>
      <c r="AC1" s="430"/>
      <c r="AD1" s="430"/>
      <c r="AE1" s="430"/>
      <c r="AF1" s="430"/>
      <c r="AG1" s="429" t="s">
        <v>90</v>
      </c>
      <c r="AH1" s="429"/>
      <c r="AI1" s="429"/>
      <c r="AJ1" s="429"/>
      <c r="AK1" s="429"/>
      <c r="AL1" s="428" t="s">
        <v>9</v>
      </c>
      <c r="AM1" s="428"/>
      <c r="AN1" s="428"/>
      <c r="AO1" s="427" t="s">
        <v>10</v>
      </c>
      <c r="AP1" s="427"/>
      <c r="AQ1" s="427"/>
      <c r="AR1" s="81" t="s">
        <v>115</v>
      </c>
      <c r="AS1" s="81" t="s">
        <v>116</v>
      </c>
      <c r="AT1" s="426" t="s">
        <v>105</v>
      </c>
      <c r="AU1" s="426"/>
      <c r="AV1" s="426"/>
      <c r="AW1" s="426"/>
      <c r="AX1" s="426"/>
      <c r="AY1" s="910"/>
      <c r="AZ1" s="910"/>
      <c r="BA1" s="910"/>
      <c r="BB1" s="910"/>
      <c r="BC1" s="910"/>
      <c r="BD1" s="910"/>
      <c r="BE1" s="910"/>
      <c r="BF1" s="910"/>
      <c r="BG1" s="910"/>
      <c r="BH1" s="17"/>
      <c r="BI1" s="17"/>
      <c r="BJ1" s="17"/>
    </row>
    <row r="2" spans="1:62" customFormat="1" ht="14.5" customHeight="1">
      <c r="A2" s="16"/>
      <c r="B2" s="16"/>
      <c r="C2" s="16"/>
      <c r="D2" s="16"/>
      <c r="E2" s="16"/>
      <c r="F2" s="341"/>
      <c r="G2" s="16"/>
      <c r="H2" s="331" t="s">
        <v>390</v>
      </c>
      <c r="I2" s="300" t="s">
        <v>351</v>
      </c>
      <c r="J2" s="252">
        <v>1</v>
      </c>
      <c r="K2" s="252">
        <v>2</v>
      </c>
      <c r="L2" s="301" t="s">
        <v>361</v>
      </c>
      <c r="M2" s="10" t="s">
        <v>5</v>
      </c>
      <c r="P2" s="253" t="s">
        <v>348</v>
      </c>
      <c r="Q2" s="49" t="s">
        <v>72</v>
      </c>
      <c r="R2" s="52" t="s">
        <v>78</v>
      </c>
      <c r="S2" s="52" t="s">
        <v>77</v>
      </c>
      <c r="T2" s="52" t="s">
        <v>76</v>
      </c>
      <c r="U2" s="52" t="s">
        <v>74</v>
      </c>
      <c r="V2" s="52" t="s">
        <v>75</v>
      </c>
      <c r="W2" s="53" t="s">
        <v>83</v>
      </c>
      <c r="X2" s="53" t="s">
        <v>82</v>
      </c>
      <c r="Y2" s="53" t="s">
        <v>81</v>
      </c>
      <c r="Z2" s="53" t="s">
        <v>80</v>
      </c>
      <c r="AA2" s="53" t="s">
        <v>79</v>
      </c>
      <c r="AB2" s="54" t="s">
        <v>89</v>
      </c>
      <c r="AC2" s="54" t="s">
        <v>88</v>
      </c>
      <c r="AD2" s="54" t="s">
        <v>87</v>
      </c>
      <c r="AE2" s="54" t="s">
        <v>86</v>
      </c>
      <c r="AF2" s="54" t="s">
        <v>85</v>
      </c>
      <c r="AG2" s="55" t="s">
        <v>95</v>
      </c>
      <c r="AH2" s="55" t="s">
        <v>94</v>
      </c>
      <c r="AI2" s="55" t="s">
        <v>93</v>
      </c>
      <c r="AJ2" s="55" t="s">
        <v>92</v>
      </c>
      <c r="AK2" s="55" t="s">
        <v>91</v>
      </c>
      <c r="AL2" s="56" t="s">
        <v>96</v>
      </c>
      <c r="AM2" s="56" t="s">
        <v>97</v>
      </c>
      <c r="AN2" s="56" t="s">
        <v>98</v>
      </c>
      <c r="AO2" s="57" t="s">
        <v>99</v>
      </c>
      <c r="AP2" s="57" t="s">
        <v>100</v>
      </c>
      <c r="AQ2" s="57" t="s">
        <v>101</v>
      </c>
      <c r="AR2" s="82"/>
      <c r="AS2" s="83"/>
      <c r="AT2" s="58" t="s">
        <v>107</v>
      </c>
      <c r="AU2" s="58" t="s">
        <v>106</v>
      </c>
      <c r="AV2" s="58" t="s">
        <v>104</v>
      </c>
      <c r="AW2" s="58" t="s">
        <v>103</v>
      </c>
      <c r="AX2" s="58" t="s">
        <v>102</v>
      </c>
      <c r="AY2" s="65"/>
      <c r="AZ2" s="65"/>
      <c r="BA2" s="65"/>
      <c r="BB2" s="65"/>
      <c r="BC2" s="65"/>
      <c r="BD2" s="65"/>
      <c r="BE2" s="65"/>
      <c r="BF2" s="65"/>
      <c r="BG2" s="17"/>
      <c r="BH2" s="17"/>
      <c r="BI2" s="65"/>
      <c r="BJ2" s="65"/>
    </row>
    <row r="3" spans="1:62" customFormat="1" ht="14.5" customHeight="1">
      <c r="A3" s="27" t="s">
        <v>0</v>
      </c>
      <c r="B3" s="16"/>
      <c r="C3" s="28" t="s">
        <v>19</v>
      </c>
      <c r="D3" s="28" t="s">
        <v>18</v>
      </c>
      <c r="E3" s="28" t="s">
        <v>17</v>
      </c>
      <c r="F3" s="341"/>
      <c r="G3" s="28" t="s">
        <v>16</v>
      </c>
      <c r="H3" s="332"/>
      <c r="J3" s="200"/>
      <c r="K3" s="200"/>
      <c r="M3" s="10" t="s">
        <v>6</v>
      </c>
      <c r="P3" s="254">
        <v>2015</v>
      </c>
      <c r="Q3" s="50" t="s">
        <v>73</v>
      </c>
      <c r="R3" s="59">
        <v>23504</v>
      </c>
      <c r="S3" s="59">
        <v>16927</v>
      </c>
      <c r="T3" s="59">
        <v>15580</v>
      </c>
      <c r="U3" s="59">
        <v>20669</v>
      </c>
      <c r="V3" s="59">
        <v>79957</v>
      </c>
      <c r="W3" s="60">
        <v>-7172</v>
      </c>
      <c r="X3" s="19">
        <v>-5689</v>
      </c>
      <c r="Y3" s="19">
        <v>-4744</v>
      </c>
      <c r="Z3" s="19">
        <v>5522</v>
      </c>
      <c r="AA3" s="19">
        <v>1443</v>
      </c>
      <c r="AB3" s="51">
        <v>52949</v>
      </c>
      <c r="AC3" s="51">
        <v>51268</v>
      </c>
      <c r="AD3" s="51">
        <v>50341</v>
      </c>
      <c r="AE3" s="51">
        <v>56863</v>
      </c>
      <c r="AF3" s="51">
        <v>75714</v>
      </c>
      <c r="AG3" s="5">
        <v>39123</v>
      </c>
      <c r="AH3" s="5">
        <v>44614</v>
      </c>
      <c r="AI3" s="5">
        <v>49376</v>
      </c>
      <c r="AJ3" s="5">
        <v>60642</v>
      </c>
      <c r="AK3" s="5">
        <v>66469</v>
      </c>
      <c r="AL3" s="61">
        <f>AA3/AK3</f>
        <v>2.1709368276941129E-2</v>
      </c>
      <c r="AM3" s="61">
        <f>Z3/AJ3</f>
        <v>9.1059002011807E-2</v>
      </c>
      <c r="AN3" s="61">
        <f>Y3/AI3</f>
        <v>-9.6079066753078424E-2</v>
      </c>
      <c r="AO3" s="61">
        <f>AA3/AX3</f>
        <v>-0.15608436992969171</v>
      </c>
      <c r="AP3" s="61">
        <f t="shared" ref="AP3:AP13" si="0">Z3/AW3</f>
        <v>1.461233130457793</v>
      </c>
      <c r="AQ3" s="61">
        <f t="shared" ref="AQ3:AQ13" si="1">Y3/AV3</f>
        <v>4.916062176165803</v>
      </c>
      <c r="AR3" s="84"/>
      <c r="AS3" s="84"/>
      <c r="AT3" s="66">
        <v>-13826</v>
      </c>
      <c r="AU3" s="66">
        <v>-6654</v>
      </c>
      <c r="AV3" s="66">
        <v>-965</v>
      </c>
      <c r="AW3" s="66">
        <v>3779</v>
      </c>
      <c r="AX3" s="66">
        <v>-9245</v>
      </c>
      <c r="AY3" s="17"/>
      <c r="AZ3" s="17"/>
      <c r="BA3" s="17"/>
      <c r="BB3" s="17"/>
      <c r="BC3" s="17"/>
      <c r="BD3" s="17"/>
      <c r="BE3" s="17"/>
      <c r="BF3" s="17"/>
      <c r="BG3" s="17"/>
      <c r="BH3" s="65"/>
      <c r="BI3" s="65"/>
      <c r="BJ3" s="65"/>
    </row>
    <row r="4" spans="1:62" customFormat="1" ht="14.5" customHeight="1">
      <c r="A4" s="16"/>
      <c r="B4" s="6"/>
      <c r="C4" s="29">
        <v>2018</v>
      </c>
      <c r="D4" s="29">
        <v>2017</v>
      </c>
      <c r="E4" s="29">
        <v>2016</v>
      </c>
      <c r="F4" s="342">
        <v>2015</v>
      </c>
      <c r="G4" s="29">
        <v>2014</v>
      </c>
      <c r="H4" s="332"/>
      <c r="J4" s="200"/>
      <c r="K4" s="200"/>
      <c r="M4" s="10"/>
      <c r="P4" s="254">
        <v>2014</v>
      </c>
      <c r="Q4" s="73" t="s">
        <v>137</v>
      </c>
      <c r="R4" s="74">
        <v>258983.070565976</v>
      </c>
      <c r="S4" s="74">
        <v>260412.52752775</v>
      </c>
      <c r="T4" s="74">
        <v>277798.744423047</v>
      </c>
      <c r="U4" s="74">
        <v>261098.935228363</v>
      </c>
      <c r="V4" s="74">
        <v>313850.16148057597</v>
      </c>
      <c r="W4" s="74">
        <v>30923.629855789201</v>
      </c>
      <c r="X4" s="74">
        <v>948.95591109991096</v>
      </c>
      <c r="Y4" s="74">
        <v>25845.402300328002</v>
      </c>
      <c r="Z4" s="74">
        <v>21129.610657051198</v>
      </c>
      <c r="AA4" s="74">
        <v>10074.342009186699</v>
      </c>
      <c r="AB4" s="75">
        <v>178630.57325782612</v>
      </c>
      <c r="AC4" s="75">
        <v>199844.89446003718</v>
      </c>
      <c r="AD4" s="75">
        <v>214593.86519747999</v>
      </c>
      <c r="AE4" s="75">
        <v>100559.35857063538</v>
      </c>
      <c r="AF4" s="75">
        <v>98820.887215465351</v>
      </c>
      <c r="AG4" s="13">
        <v>311065</v>
      </c>
      <c r="AH4" s="13">
        <v>296910</v>
      </c>
      <c r="AI4" s="13">
        <v>277876</v>
      </c>
      <c r="AJ4" s="13">
        <v>299663</v>
      </c>
      <c r="AK4" s="13">
        <v>336351</v>
      </c>
      <c r="AL4" s="76">
        <f>AA4/AK4</f>
        <v>2.995187173276339E-2</v>
      </c>
      <c r="AM4" s="76">
        <f>Z4/AJ4</f>
        <v>7.0511243153312878E-2</v>
      </c>
      <c r="AN4" s="76">
        <f>Y4/AI4</f>
        <v>9.3010559747254182E-2</v>
      </c>
      <c r="AO4" s="76">
        <f t="shared" ref="AO4:AO13" si="2">AA4/AX4</f>
        <v>4.2412966241765854E-2</v>
      </c>
      <c r="AP4" s="76">
        <f t="shared" si="0"/>
        <v>0.10612374851200412</v>
      </c>
      <c r="AQ4" s="76">
        <f t="shared" si="1"/>
        <v>0.40841225426890526</v>
      </c>
      <c r="AR4" s="85"/>
      <c r="AS4" s="85"/>
      <c r="AT4" s="74">
        <v>132434.836148545</v>
      </c>
      <c r="AU4" s="74">
        <v>97065.3126754314</v>
      </c>
      <c r="AV4" s="74">
        <v>63282.631777524897</v>
      </c>
      <c r="AW4" s="74">
        <v>199103.50843535399</v>
      </c>
      <c r="AX4" s="74">
        <v>237529.76747158199</v>
      </c>
      <c r="AY4" s="17"/>
      <c r="AZ4" s="17"/>
      <c r="BA4" s="17"/>
      <c r="BB4" s="17"/>
      <c r="BC4" s="17"/>
      <c r="BD4" s="17"/>
      <c r="BE4" s="17"/>
      <c r="BF4" s="17"/>
      <c r="BG4" s="17"/>
      <c r="BH4" s="65"/>
      <c r="BI4" s="65"/>
      <c r="BJ4" s="65"/>
    </row>
    <row r="5" spans="1:62" customFormat="1" ht="14.5" customHeight="1">
      <c r="A5" s="16"/>
      <c r="B5" s="4" t="s">
        <v>1</v>
      </c>
      <c r="C5" s="5">
        <v>39123</v>
      </c>
      <c r="D5" s="5">
        <v>44614</v>
      </c>
      <c r="E5" s="5">
        <v>49376</v>
      </c>
      <c r="F5" s="343">
        <v>60642</v>
      </c>
      <c r="G5" s="5">
        <v>66469</v>
      </c>
      <c r="H5" s="332"/>
      <c r="J5" s="200"/>
      <c r="K5" s="200"/>
      <c r="M5" s="10"/>
      <c r="P5" s="254">
        <v>2014</v>
      </c>
      <c r="Q5" s="50" t="s">
        <v>139</v>
      </c>
      <c r="R5" s="74">
        <f>131357491.442226/1000</f>
        <v>131357.49144222599</v>
      </c>
      <c r="S5" s="74">
        <f>87087122.4767119/1000</f>
        <v>87087.122476711898</v>
      </c>
      <c r="T5" s="74">
        <f>88488306.5116704/1000</f>
        <v>88488.306511670395</v>
      </c>
      <c r="U5" s="74">
        <f>65058549.4095832/1000</f>
        <v>65058.549409583204</v>
      </c>
      <c r="V5" s="74">
        <f>22389473.4706879/1000</f>
        <v>22389.473470687899</v>
      </c>
      <c r="W5" s="74">
        <f>-18751522.6159245/1000</f>
        <v>-18751.522615924499</v>
      </c>
      <c r="X5" s="74">
        <f>-25795127.4641454/1000</f>
        <v>-25795.1274641454</v>
      </c>
      <c r="Y5" s="74">
        <f>-57097955.4293007/1000</f>
        <v>-57097.955429300702</v>
      </c>
      <c r="Z5" s="74">
        <f>-93981834.7165734/1000</f>
        <v>-93981.834716573401</v>
      </c>
      <c r="AA5" s="74">
        <f>-101304439.823359/1000</f>
        <v>-101304.439823359</v>
      </c>
      <c r="AB5" s="75">
        <v>24445.432506971065</v>
      </c>
      <c r="AC5" s="75">
        <v>19589.443044528318</v>
      </c>
      <c r="AD5" s="75">
        <v>348683.19212718261</v>
      </c>
      <c r="AE5" s="75">
        <v>391912.26557332324</v>
      </c>
      <c r="AF5" s="75">
        <v>488517.26507797849</v>
      </c>
      <c r="AG5" s="79">
        <v>459800.48923192901</v>
      </c>
      <c r="AH5" s="79">
        <v>452920.87910589599</v>
      </c>
      <c r="AI5" s="79">
        <v>473128.36492972099</v>
      </c>
      <c r="AJ5" s="79">
        <v>607718.19738379098</v>
      </c>
      <c r="AK5" s="79">
        <v>672849.00674110698</v>
      </c>
      <c r="AL5" s="76">
        <f>AA5/AK5</f>
        <v>-0.15056043600929034</v>
      </c>
      <c r="AM5" s="76">
        <f>Z5/AJ5</f>
        <v>-0.15464706359158314</v>
      </c>
      <c r="AN5" s="76">
        <f>Y5/AI5</f>
        <v>-0.12068174233811177</v>
      </c>
      <c r="AO5" s="76">
        <f t="shared" si="2"/>
        <v>-0.54957675172676457</v>
      </c>
      <c r="AP5" s="76">
        <f t="shared" si="0"/>
        <v>-0.43549236078975412</v>
      </c>
      <c r="AQ5" s="76">
        <f t="shared" si="1"/>
        <v>-0.45882017071003833</v>
      </c>
      <c r="AR5" s="85"/>
      <c r="AS5" s="85"/>
      <c r="AT5" s="80">
        <v>435355.05672495801</v>
      </c>
      <c r="AU5" s="80">
        <v>433331.43606136699</v>
      </c>
      <c r="AV5" s="80">
        <v>124445.172802538</v>
      </c>
      <c r="AW5" s="80">
        <v>215805.931810468</v>
      </c>
      <c r="AX5" s="80">
        <v>184331.74166312799</v>
      </c>
      <c r="AY5" s="17"/>
      <c r="AZ5" s="17"/>
      <c r="BA5" s="17"/>
      <c r="BB5" s="17"/>
      <c r="BC5" s="17"/>
      <c r="BD5" s="17"/>
      <c r="BE5" s="17"/>
      <c r="BF5" s="17"/>
      <c r="BG5" s="17"/>
      <c r="BH5" s="65"/>
      <c r="BI5" s="65"/>
      <c r="BJ5" s="65"/>
    </row>
    <row r="6" spans="1:62" customFormat="1" ht="14.5" customHeight="1">
      <c r="A6" s="16"/>
      <c r="B6" s="11"/>
      <c r="C6" s="68"/>
      <c r="D6" s="68"/>
      <c r="E6" s="68"/>
      <c r="F6" s="344"/>
      <c r="G6" s="68"/>
      <c r="H6" s="332"/>
      <c r="J6" s="200"/>
      <c r="K6" s="200"/>
      <c r="M6" s="10"/>
      <c r="P6" s="254">
        <v>2014</v>
      </c>
      <c r="Q6" s="51" t="s">
        <v>140</v>
      </c>
      <c r="R6" s="30">
        <v>100182.704459876</v>
      </c>
      <c r="S6" s="30">
        <v>104512.760429084</v>
      </c>
      <c r="T6" s="30">
        <v>97423.380066454396</v>
      </c>
      <c r="U6" s="30">
        <v>99407.810738682703</v>
      </c>
      <c r="V6" s="30">
        <v>126611.840897799</v>
      </c>
      <c r="W6" s="30">
        <v>171376.37103349</v>
      </c>
      <c r="X6" s="30">
        <v>113387.47035562999</v>
      </c>
      <c r="Y6" s="30">
        <v>75936.433956027002</v>
      </c>
      <c r="Z6" s="30">
        <v>17456.259210407701</v>
      </c>
      <c r="AA6" s="30">
        <v>-47302.631127834298</v>
      </c>
      <c r="AB6" s="71">
        <v>964847.75089174509</v>
      </c>
      <c r="AC6" s="71">
        <v>909779.577215016</v>
      </c>
      <c r="AD6" s="71">
        <v>1222236.0645666721</v>
      </c>
      <c r="AE6" s="71">
        <v>1449623.2157096257</v>
      </c>
      <c r="AF6" s="71">
        <v>1642944.0632790311</v>
      </c>
      <c r="AG6" s="59">
        <v>1897222.90724367</v>
      </c>
      <c r="AH6" s="59">
        <v>1662552.1947622299</v>
      </c>
      <c r="AI6" s="59">
        <v>1878036.27506644</v>
      </c>
      <c r="AJ6" s="59">
        <v>2161628.6318615102</v>
      </c>
      <c r="AK6" s="59">
        <v>2474753.2658726</v>
      </c>
      <c r="AL6" s="76">
        <f>AA6/AK6</f>
        <v>-1.9114079686305758E-2</v>
      </c>
      <c r="AM6" s="76">
        <f>Z6/AJ6</f>
        <v>8.0755125802414313E-3</v>
      </c>
      <c r="AN6" s="76">
        <f t="shared" ref="AN6:AN7" si="3">Y6/AI6</f>
        <v>4.0433954851772272E-2</v>
      </c>
      <c r="AO6" s="76">
        <f t="shared" si="2"/>
        <v>-5.6867164946415125E-2</v>
      </c>
      <c r="AP6" s="76">
        <f t="shared" si="0"/>
        <v>2.4517031492193073E-2</v>
      </c>
      <c r="AQ6" s="76">
        <f t="shared" si="1"/>
        <v>0.11579202436998065</v>
      </c>
      <c r="AR6" s="84"/>
      <c r="AS6" s="84"/>
      <c r="AT6" s="66">
        <v>932375.15635192394</v>
      </c>
      <c r="AU6" s="66">
        <v>752772.61754721403</v>
      </c>
      <c r="AV6" s="66">
        <v>655800.21049976302</v>
      </c>
      <c r="AW6" s="66">
        <v>712005.41615188099</v>
      </c>
      <c r="AX6" s="66">
        <v>831809.20259356499</v>
      </c>
      <c r="AY6" s="17"/>
      <c r="AZ6" s="17"/>
      <c r="BA6" s="17"/>
      <c r="BB6" s="17"/>
      <c r="BC6" s="17"/>
      <c r="BD6" s="17"/>
      <c r="BE6" s="17"/>
      <c r="BF6" s="17"/>
      <c r="BG6" s="17"/>
      <c r="BH6" s="65"/>
      <c r="BI6" s="65"/>
      <c r="BJ6" s="65"/>
    </row>
    <row r="7" spans="1:62" customFormat="1" ht="14.5" customHeight="1">
      <c r="A7" s="16"/>
      <c r="B7" s="11"/>
      <c r="C7" s="68"/>
      <c r="D7" s="68"/>
      <c r="E7" s="68"/>
      <c r="F7" s="344"/>
      <c r="G7" s="68"/>
      <c r="H7" s="332"/>
      <c r="J7" s="200"/>
      <c r="K7" s="200"/>
      <c r="M7" s="10"/>
      <c r="P7" s="254">
        <v>2014</v>
      </c>
      <c r="Q7" s="78" t="s">
        <v>141</v>
      </c>
      <c r="R7" s="66">
        <v>30981.486128881599</v>
      </c>
      <c r="S7" s="66">
        <v>24669.9534565955</v>
      </c>
      <c r="T7" s="66">
        <v>29732.121839225299</v>
      </c>
      <c r="U7" s="66">
        <v>33803.500873446501</v>
      </c>
      <c r="V7" s="66">
        <v>36369.900968939102</v>
      </c>
      <c r="W7" s="66">
        <v>4548.8428945392398</v>
      </c>
      <c r="X7" s="66">
        <v>870.18560992181301</v>
      </c>
      <c r="Y7" s="66">
        <v>857.88874116540001</v>
      </c>
      <c r="Z7" s="66">
        <v>590.71335138380505</v>
      </c>
      <c r="AA7" s="66">
        <v>2957.8947086334201</v>
      </c>
      <c r="AB7" s="71">
        <v>8261.8757975846493</v>
      </c>
      <c r="AC7" s="71">
        <v>18294.8954880536</v>
      </c>
      <c r="AD7" s="71">
        <v>15338.478614866701</v>
      </c>
      <c r="AE7" s="71">
        <v>15509.018206119501</v>
      </c>
      <c r="AF7" s="71">
        <v>16248.190634518902</v>
      </c>
      <c r="AG7" s="59">
        <v>15161.0232091546</v>
      </c>
      <c r="AH7" s="59">
        <v>19642.4592855275</v>
      </c>
      <c r="AI7" s="59">
        <v>17094.437707990401</v>
      </c>
      <c r="AJ7" s="59">
        <v>17467.16096057</v>
      </c>
      <c r="AK7" s="59">
        <v>18385.1971930861</v>
      </c>
      <c r="AL7" s="76">
        <f>AA7/AK7</f>
        <v>0.16088457891252644</v>
      </c>
      <c r="AM7" s="76">
        <f>Z7/AJ7</f>
        <v>3.381850964316805E-2</v>
      </c>
      <c r="AN7" s="76">
        <f t="shared" si="3"/>
        <v>5.0185256503897741E-2</v>
      </c>
      <c r="AO7" s="76">
        <f t="shared" si="2"/>
        <v>1.3841299161086698</v>
      </c>
      <c r="AP7" s="76">
        <f t="shared" si="0"/>
        <v>0.30167021788439063</v>
      </c>
      <c r="AQ7" s="76">
        <f t="shared" si="1"/>
        <v>0.4885900833925928</v>
      </c>
      <c r="AR7" s="84"/>
      <c r="AS7" s="84"/>
      <c r="AT7" s="66">
        <v>6899.1474115699502</v>
      </c>
      <c r="AU7" s="66">
        <v>1347.56379747391</v>
      </c>
      <c r="AV7" s="66">
        <v>1755.8455857485501</v>
      </c>
      <c r="AW7" s="66">
        <v>1958.14275445044</v>
      </c>
      <c r="AX7" s="66">
        <v>2137.0065585672901</v>
      </c>
      <c r="AY7" s="17"/>
      <c r="AZ7" s="17"/>
      <c r="BA7" s="17"/>
      <c r="BB7" s="17"/>
      <c r="BC7" s="17"/>
      <c r="BD7" s="17"/>
      <c r="BE7" s="17"/>
      <c r="BF7" s="17"/>
      <c r="BG7" s="17"/>
      <c r="BH7" s="65"/>
      <c r="BI7" s="65"/>
      <c r="BJ7" s="65"/>
    </row>
    <row r="8" spans="1:62" customFormat="1" ht="14.5" customHeight="1">
      <c r="A8" s="16"/>
      <c r="B8" s="11"/>
      <c r="C8" s="68"/>
      <c r="D8" s="68"/>
      <c r="E8" s="68"/>
      <c r="F8" s="344"/>
      <c r="G8" s="68"/>
      <c r="H8" s="332"/>
      <c r="J8" s="200"/>
      <c r="K8" s="200"/>
      <c r="M8" s="10"/>
      <c r="P8" s="254">
        <v>2014</v>
      </c>
      <c r="Q8" s="78" t="s">
        <v>142</v>
      </c>
      <c r="R8" s="30">
        <v>463904</v>
      </c>
      <c r="S8" s="30">
        <v>257808</v>
      </c>
      <c r="T8" s="30">
        <v>190238</v>
      </c>
      <c r="U8" s="30">
        <v>96715</v>
      </c>
      <c r="V8" s="30">
        <v>37546</v>
      </c>
      <c r="W8" s="66">
        <v>-2348</v>
      </c>
      <c r="X8" s="66">
        <v>-127711</v>
      </c>
      <c r="Y8" s="66">
        <v>-220839</v>
      </c>
      <c r="Z8" s="66">
        <v>15995</v>
      </c>
      <c r="AA8" s="66">
        <v>-3903</v>
      </c>
      <c r="AB8" s="71">
        <v>1376009</v>
      </c>
      <c r="AC8" s="71">
        <v>1122904</v>
      </c>
      <c r="AD8" s="71">
        <v>1020018</v>
      </c>
      <c r="AE8" s="71">
        <v>378467</v>
      </c>
      <c r="AF8" s="71">
        <v>102417</v>
      </c>
      <c r="AG8" s="59">
        <v>2870058</v>
      </c>
      <c r="AH8" s="59">
        <v>2361623</v>
      </c>
      <c r="AI8" s="59">
        <v>2178667</v>
      </c>
      <c r="AJ8" s="59">
        <v>1262740</v>
      </c>
      <c r="AK8" s="59">
        <v>409858</v>
      </c>
      <c r="AL8" s="76">
        <f t="shared" ref="AL8" si="4">AA8/AK8</f>
        <v>-9.5228103391906457E-3</v>
      </c>
      <c r="AM8" s="76">
        <f t="shared" ref="AM8" si="5">Z8/AJ8</f>
        <v>1.2666898965741165E-2</v>
      </c>
      <c r="AN8" s="76">
        <f t="shared" ref="AN8" si="6">Y8/AI8</f>
        <v>-0.10136427457706937</v>
      </c>
      <c r="AO8" s="76">
        <f t="shared" si="2"/>
        <v>-1.2695118738229448E-2</v>
      </c>
      <c r="AP8" s="76">
        <f t="shared" si="0"/>
        <v>1.8088305308428507E-2</v>
      </c>
      <c r="AQ8" s="76">
        <f t="shared" si="1"/>
        <v>-0.19060043205491914</v>
      </c>
      <c r="AR8" s="84"/>
      <c r="AS8" s="84"/>
      <c r="AT8" s="66">
        <v>1494049</v>
      </c>
      <c r="AU8" s="66">
        <v>1238719</v>
      </c>
      <c r="AV8" s="66">
        <v>1158649</v>
      </c>
      <c r="AW8" s="66">
        <v>884273</v>
      </c>
      <c r="AX8" s="66">
        <v>307441</v>
      </c>
      <c r="AY8" s="17"/>
      <c r="AZ8" s="17"/>
      <c r="BA8" s="17"/>
      <c r="BB8" s="17"/>
      <c r="BC8" s="17"/>
      <c r="BD8" s="17"/>
      <c r="BE8" s="17"/>
      <c r="BF8" s="17"/>
      <c r="BG8" s="17"/>
      <c r="BH8" s="65"/>
      <c r="BI8" s="65"/>
      <c r="BJ8" s="65"/>
    </row>
    <row r="9" spans="1:62" customFormat="1" ht="14.5" customHeight="1">
      <c r="A9" s="16"/>
      <c r="B9" s="11"/>
      <c r="C9" s="68"/>
      <c r="D9" s="68"/>
      <c r="E9" s="68"/>
      <c r="F9" s="344"/>
      <c r="G9" s="68"/>
      <c r="H9" s="332"/>
      <c r="J9" s="200"/>
      <c r="K9" s="200"/>
      <c r="M9" s="10"/>
      <c r="P9" s="254">
        <v>2014</v>
      </c>
      <c r="Q9" s="78" t="s">
        <v>143</v>
      </c>
      <c r="R9" s="66">
        <v>8159.6833489015698</v>
      </c>
      <c r="S9" s="66">
        <v>5861.4848856031904</v>
      </c>
      <c r="T9" s="66">
        <v>6901.0213926136503</v>
      </c>
      <c r="U9" s="66">
        <v>4597.9813678115597</v>
      </c>
      <c r="V9" s="66">
        <v>3603.6183866858501</v>
      </c>
      <c r="W9" s="66">
        <v>-2115.5907522961502</v>
      </c>
      <c r="X9" s="66">
        <v>-3649.8839700520002</v>
      </c>
      <c r="Y9" s="66">
        <v>-2151.53229542077</v>
      </c>
      <c r="Z9" s="66">
        <v>-27914.8061222285</v>
      </c>
      <c r="AA9" s="66">
        <v>-10546.5459520519</v>
      </c>
      <c r="AB9" s="71">
        <v>37774.665208682403</v>
      </c>
      <c r="AC9" s="71">
        <v>69127.029770985202</v>
      </c>
      <c r="AD9" s="71">
        <v>58624.289102554299</v>
      </c>
      <c r="AE9" s="71">
        <v>53483.447937935605</v>
      </c>
      <c r="AF9" s="71">
        <v>47106.742971807769</v>
      </c>
      <c r="AG9" s="59">
        <v>51543.361980535097</v>
      </c>
      <c r="AH9" s="59">
        <v>68077.029776930794</v>
      </c>
      <c r="AI9" s="59">
        <v>61168.102886393703</v>
      </c>
      <c r="AJ9" s="59">
        <v>59050.877533137798</v>
      </c>
      <c r="AK9" s="59">
        <v>87932.071529835506</v>
      </c>
      <c r="AL9" s="76">
        <f t="shared" ref="AL9" si="7">AA9/AK9</f>
        <v>-0.11993969627422502</v>
      </c>
      <c r="AM9" s="76">
        <f t="shared" ref="AM9" si="8">Z9/AJ9</f>
        <v>-0.47272466199276114</v>
      </c>
      <c r="AN9" s="76">
        <f t="shared" ref="AN9" si="9">Y9/AI9</f>
        <v>-3.5174089008723514E-2</v>
      </c>
      <c r="AO9" s="76">
        <f t="shared" si="2"/>
        <v>-0.25833340047861236</v>
      </c>
      <c r="AP9" s="76">
        <f t="shared" si="0"/>
        <v>-5.013948653483534</v>
      </c>
      <c r="AQ9" s="76">
        <f t="shared" si="1"/>
        <v>-0.84579001383249619</v>
      </c>
      <c r="AR9" s="84"/>
      <c r="AS9" s="84"/>
      <c r="AT9" s="66">
        <v>26161.388665549501</v>
      </c>
      <c r="AU9" s="66">
        <v>-1049.9999940544399</v>
      </c>
      <c r="AV9" s="66">
        <v>2543.81378383934</v>
      </c>
      <c r="AW9" s="66">
        <v>5567.4295952022103</v>
      </c>
      <c r="AX9" s="66">
        <v>40825.328558027701</v>
      </c>
      <c r="AY9" s="17"/>
      <c r="AZ9" s="17"/>
      <c r="BA9" s="17"/>
      <c r="BB9" s="17"/>
      <c r="BC9" s="17"/>
      <c r="BD9" s="17"/>
      <c r="BE9" s="17"/>
      <c r="BF9" s="17"/>
      <c r="BG9" s="17"/>
      <c r="BH9" s="65"/>
      <c r="BI9" s="65"/>
      <c r="BJ9" s="65"/>
    </row>
    <row r="10" spans="1:62" customFormat="1" ht="14.5" customHeight="1">
      <c r="A10" s="16"/>
      <c r="B10" s="11"/>
      <c r="C10" s="68"/>
      <c r="D10" s="68"/>
      <c r="E10" s="68"/>
      <c r="F10" s="344"/>
      <c r="G10" s="68"/>
      <c r="H10" s="332"/>
      <c r="J10" s="200"/>
      <c r="K10" s="200"/>
      <c r="M10" s="10"/>
      <c r="P10" s="254">
        <v>2013</v>
      </c>
      <c r="Q10" s="78" t="s">
        <v>144</v>
      </c>
      <c r="R10" s="66">
        <v>6616.5892896801197</v>
      </c>
      <c r="S10" s="66">
        <v>4491.6003409177101</v>
      </c>
      <c r="T10" s="66">
        <v>4346.5681665390703</v>
      </c>
      <c r="U10" s="66">
        <v>2192.9276106655598</v>
      </c>
      <c r="V10" s="66">
        <v>2396.40933215618</v>
      </c>
      <c r="W10" s="66">
        <v>30736.194721549702</v>
      </c>
      <c r="X10" s="66">
        <v>36037.6835419536</v>
      </c>
      <c r="Y10" s="66">
        <v>886.40650084614799</v>
      </c>
      <c r="Z10" s="66">
        <v>-4540.6249566972301</v>
      </c>
      <c r="AA10" s="66">
        <v>5773.9676754176598</v>
      </c>
      <c r="AB10" s="71">
        <v>65907.308211490512</v>
      </c>
      <c r="AC10" s="71">
        <v>111633.02783574184</v>
      </c>
      <c r="AD10" s="71">
        <v>83742.937882095619</v>
      </c>
      <c r="AE10" s="71">
        <v>81281.907119572163</v>
      </c>
      <c r="AF10" s="71">
        <v>132256.37323200659</v>
      </c>
      <c r="AG10" s="59">
        <v>123602.89953212399</v>
      </c>
      <c r="AH10" s="59">
        <v>163935.41017355002</v>
      </c>
      <c r="AI10" s="59">
        <v>135881.02909630502</v>
      </c>
      <c r="AJ10" s="59">
        <v>164640.787903547</v>
      </c>
      <c r="AK10" s="59">
        <v>228186.71420216598</v>
      </c>
      <c r="AL10" s="76">
        <f t="shared" ref="AL10" si="10">AA10/AK10</f>
        <v>2.5303697875688383E-2</v>
      </c>
      <c r="AM10" s="76">
        <f t="shared" ref="AM10" si="11">Z10/AJ10</f>
        <v>-2.7578979756567402E-2</v>
      </c>
      <c r="AN10" s="76">
        <f t="shared" ref="AN10" si="12">Y10/AI10</f>
        <v>6.5234014397838542E-3</v>
      </c>
      <c r="AO10" s="76">
        <f t="shared" si="2"/>
        <v>6.0189170777718681E-2</v>
      </c>
      <c r="AP10" s="76">
        <f t="shared" si="0"/>
        <v>-5.4470800399351323E-2</v>
      </c>
      <c r="AQ10" s="76">
        <f t="shared" si="1"/>
        <v>1.7001086768528628E-2</v>
      </c>
      <c r="AR10" s="84"/>
      <c r="AS10" s="84"/>
      <c r="AT10" s="66">
        <v>57695.591320633903</v>
      </c>
      <c r="AU10" s="66">
        <v>52302.268830433502</v>
      </c>
      <c r="AV10" s="66">
        <v>52138.225803718</v>
      </c>
      <c r="AW10" s="66">
        <v>83358.880783975095</v>
      </c>
      <c r="AX10" s="66">
        <v>95930.340970158606</v>
      </c>
      <c r="AY10" s="17"/>
      <c r="AZ10" s="17"/>
      <c r="BA10" s="17"/>
      <c r="BB10" s="17"/>
      <c r="BC10" s="17"/>
      <c r="BD10" s="17"/>
      <c r="BE10" s="17"/>
      <c r="BF10" s="17"/>
      <c r="BG10" s="17"/>
      <c r="BH10" s="65"/>
      <c r="BI10" s="65"/>
      <c r="BJ10" s="65"/>
    </row>
    <row r="11" spans="1:62" customFormat="1" ht="14.5" customHeight="1">
      <c r="A11" s="16"/>
      <c r="B11" s="11"/>
      <c r="C11" s="68"/>
      <c r="D11" s="68"/>
      <c r="E11" s="68"/>
      <c r="F11" s="344"/>
      <c r="G11" s="68"/>
      <c r="H11" s="332"/>
      <c r="J11" s="200"/>
      <c r="K11" s="200"/>
      <c r="M11" s="10"/>
      <c r="P11" s="254">
        <v>2012</v>
      </c>
      <c r="Q11" s="78" t="s">
        <v>145</v>
      </c>
      <c r="R11" s="66">
        <v>4229.0000070086298</v>
      </c>
      <c r="S11" s="66">
        <v>1973.99995571421</v>
      </c>
      <c r="T11" s="66">
        <v>1651.9999842453001</v>
      </c>
      <c r="U11" s="66">
        <v>848.99999873489094</v>
      </c>
      <c r="V11" s="66">
        <v>116.999998552948</v>
      </c>
      <c r="W11" s="66">
        <v>5585.9999728353496</v>
      </c>
      <c r="X11" s="66">
        <v>-893.000040851682</v>
      </c>
      <c r="Y11" s="66">
        <v>-1516.9999855327599</v>
      </c>
      <c r="Z11" s="66">
        <v>2904.9999956712099</v>
      </c>
      <c r="AA11" s="66">
        <v>-2674.9999669157</v>
      </c>
      <c r="AB11" s="71">
        <v>24178.999958638051</v>
      </c>
      <c r="AC11" s="71">
        <v>25047.000069098161</v>
      </c>
      <c r="AD11" s="71">
        <v>27346.999903672317</v>
      </c>
      <c r="AE11" s="71">
        <v>28709.999957218773</v>
      </c>
      <c r="AF11" s="71">
        <v>30723.999953896531</v>
      </c>
      <c r="AG11" s="59">
        <v>81697.999985735107</v>
      </c>
      <c r="AH11" s="59">
        <v>191983.00003424502</v>
      </c>
      <c r="AI11" s="59">
        <v>195189.999947734</v>
      </c>
      <c r="AJ11" s="59">
        <v>60915.000088762798</v>
      </c>
      <c r="AK11" s="59">
        <v>59996.999925738899</v>
      </c>
      <c r="AL11" s="76">
        <f t="shared" ref="AL11" si="13">AA11/AK11</f>
        <v>-4.4585562115216977E-2</v>
      </c>
      <c r="AM11" s="76">
        <f t="shared" ref="AM11" si="14">Z11/AJ11</f>
        <v>4.7689403126293446E-2</v>
      </c>
      <c r="AN11" s="76">
        <f t="shared" ref="AN11" si="15">Y11/AI11</f>
        <v>-7.7719144727648277E-3</v>
      </c>
      <c r="AO11" s="76">
        <f t="shared" si="2"/>
        <v>-9.1381135158295129E-2</v>
      </c>
      <c r="AP11" s="76">
        <f t="shared" si="0"/>
        <v>9.0203384567613676E-2</v>
      </c>
      <c r="AQ11" s="76">
        <f t="shared" si="1"/>
        <v>-9.038315936716005E-3</v>
      </c>
      <c r="AR11" s="84"/>
      <c r="AS11" s="84"/>
      <c r="AT11" s="66">
        <v>57520.000027071903</v>
      </c>
      <c r="AU11" s="66">
        <v>166935.999965147</v>
      </c>
      <c r="AV11" s="66">
        <v>167841.00004407999</v>
      </c>
      <c r="AW11" s="66">
        <v>32204.999952010799</v>
      </c>
      <c r="AX11" s="66">
        <v>29272.999971842401</v>
      </c>
      <c r="AY11" s="17"/>
      <c r="AZ11" s="17"/>
      <c r="BA11" s="17"/>
      <c r="BB11" s="17"/>
      <c r="BC11" s="17"/>
      <c r="BD11" s="17"/>
      <c r="BE11" s="17"/>
      <c r="BF11" s="17"/>
      <c r="BG11" s="17"/>
      <c r="BH11" s="65"/>
      <c r="BI11" s="65"/>
      <c r="BJ11" s="65"/>
    </row>
    <row r="12" spans="1:62" customFormat="1" ht="14.5" customHeight="1">
      <c r="A12" s="16"/>
      <c r="B12" s="11"/>
      <c r="C12" s="68"/>
      <c r="D12" s="68"/>
      <c r="E12" s="68"/>
      <c r="F12" s="344"/>
      <c r="G12" s="68"/>
      <c r="H12" s="332"/>
      <c r="J12" s="200"/>
      <c r="K12" s="200"/>
      <c r="M12" s="10"/>
      <c r="P12" s="254">
        <v>2015</v>
      </c>
      <c r="Q12" s="78" t="s">
        <v>146</v>
      </c>
      <c r="R12" s="66">
        <v>322226</v>
      </c>
      <c r="S12" s="66">
        <v>415309</v>
      </c>
      <c r="T12" s="66">
        <v>487435</v>
      </c>
      <c r="U12" s="66">
        <v>422449</v>
      </c>
      <c r="V12" s="66">
        <v>491312</v>
      </c>
      <c r="W12" s="66">
        <v>-94051</v>
      </c>
      <c r="X12" s="66">
        <v>-204044</v>
      </c>
      <c r="Y12" s="66">
        <v>-155905</v>
      </c>
      <c r="Z12" s="66">
        <v>-144106</v>
      </c>
      <c r="AA12" s="66">
        <v>117702</v>
      </c>
      <c r="AB12" s="71">
        <v>1280183</v>
      </c>
      <c r="AC12" s="71">
        <v>1571464</v>
      </c>
      <c r="AD12" s="71">
        <v>1765405</v>
      </c>
      <c r="AE12" s="71">
        <v>1369614</v>
      </c>
      <c r="AF12" s="71">
        <v>1436935</v>
      </c>
      <c r="AG12" s="59">
        <v>1746273</v>
      </c>
      <c r="AH12" s="59">
        <v>2045075</v>
      </c>
      <c r="AI12" s="59">
        <v>2413390</v>
      </c>
      <c r="AJ12" s="59">
        <v>2035122</v>
      </c>
      <c r="AK12" s="59">
        <v>2260584</v>
      </c>
      <c r="AL12" s="76">
        <f t="shared" ref="AL12" si="16">AA12/AK12</f>
        <v>5.2067076472274418E-2</v>
      </c>
      <c r="AM12" s="76">
        <f t="shared" ref="AM12" si="17">Z12/AJ12</f>
        <v>-7.0809514122494865E-2</v>
      </c>
      <c r="AN12" s="76">
        <f t="shared" ref="AN12" si="18">Y12/AI12</f>
        <v>-6.4600002486129474E-2</v>
      </c>
      <c r="AO12" s="76">
        <f t="shared" si="2"/>
        <v>0.14290310557045538</v>
      </c>
      <c r="AP12" s="76">
        <f t="shared" si="0"/>
        <v>-0.21653533841817077</v>
      </c>
      <c r="AQ12" s="76">
        <f t="shared" si="1"/>
        <v>-0.24059970524009044</v>
      </c>
      <c r="AR12" s="84"/>
      <c r="AS12" s="84"/>
      <c r="AT12" s="66">
        <v>466090</v>
      </c>
      <c r="AU12" s="66">
        <v>473611</v>
      </c>
      <c r="AV12" s="66">
        <v>647985</v>
      </c>
      <c r="AW12" s="66">
        <v>665508</v>
      </c>
      <c r="AX12" s="66">
        <v>823649</v>
      </c>
      <c r="AY12" s="17"/>
      <c r="AZ12" s="17"/>
      <c r="BA12" s="17"/>
      <c r="BB12" s="17"/>
      <c r="BC12" s="17"/>
      <c r="BD12" s="17"/>
      <c r="BE12" s="17"/>
      <c r="BF12" s="17"/>
      <c r="BG12" s="17"/>
      <c r="BH12" s="65"/>
      <c r="BI12" s="65"/>
      <c r="BJ12" s="65"/>
    </row>
    <row r="13" spans="1:62" customFormat="1" ht="14.5" customHeight="1">
      <c r="A13" s="16"/>
      <c r="B13" s="11"/>
      <c r="C13" s="68"/>
      <c r="D13" s="68"/>
      <c r="E13" s="68"/>
      <c r="F13" s="344"/>
      <c r="G13" s="68"/>
      <c r="H13" s="332"/>
      <c r="J13" s="200"/>
      <c r="K13" s="200"/>
      <c r="M13" s="10"/>
      <c r="P13" s="254">
        <v>2016</v>
      </c>
      <c r="Q13" s="78" t="s">
        <v>147</v>
      </c>
      <c r="R13" s="66">
        <v>9133.5989840403199</v>
      </c>
      <c r="S13" s="66">
        <v>22.999999969154601</v>
      </c>
      <c r="T13" s="66">
        <v>40.000000175833705</v>
      </c>
      <c r="U13" s="66">
        <v>86.99999950736759</v>
      </c>
      <c r="V13" s="66">
        <v>49.9999987408519</v>
      </c>
      <c r="W13" s="66">
        <v>7699.5443307906398</v>
      </c>
      <c r="X13" s="66">
        <v>-1086.9999985422201</v>
      </c>
      <c r="Y13" s="66">
        <v>7568.00003326774</v>
      </c>
      <c r="Z13" s="66">
        <v>-53962.000042471198</v>
      </c>
      <c r="AA13" s="66">
        <v>-1646.9999585236599</v>
      </c>
      <c r="AB13" s="71">
        <v>2324.82913050056</v>
      </c>
      <c r="AC13" s="71">
        <v>27053.999963717801</v>
      </c>
      <c r="AD13" s="71">
        <v>25903.999992067198</v>
      </c>
      <c r="AE13" s="71">
        <v>26230.999967477808</v>
      </c>
      <c r="AF13" s="71">
        <v>40371.000004905</v>
      </c>
      <c r="AG13" s="59">
        <v>24009.7947131246</v>
      </c>
      <c r="AH13" s="59">
        <v>149846.00002919001</v>
      </c>
      <c r="AI13" s="59">
        <v>149781.0000494</v>
      </c>
      <c r="AJ13" s="59">
        <v>142540.00000494099</v>
      </c>
      <c r="AK13" s="59">
        <v>214708.00004137002</v>
      </c>
      <c r="AL13" s="76">
        <f t="shared" ref="AL13" si="19">AA13/AK13</f>
        <v>-7.6708830514294543E-3</v>
      </c>
      <c r="AM13" s="76">
        <f t="shared" ref="AM13" si="20">Z13/AJ13</f>
        <v>-0.37857443553108366</v>
      </c>
      <c r="AN13" s="76">
        <f t="shared" ref="AN13" si="21">Y13/AI13</f>
        <v>5.0527103109017174E-2</v>
      </c>
      <c r="AO13" s="76">
        <f t="shared" si="2"/>
        <v>-9.4472197994640676E-3</v>
      </c>
      <c r="AP13" s="76">
        <f t="shared" si="0"/>
        <v>-0.46395377851318559</v>
      </c>
      <c r="AQ13" s="76">
        <f t="shared" si="1"/>
        <v>6.1092365309133881E-2</v>
      </c>
      <c r="AR13" s="84"/>
      <c r="AS13" s="84"/>
      <c r="AT13" s="66">
        <v>21684.9655826241</v>
      </c>
      <c r="AU13" s="66">
        <v>122790.999950399</v>
      </c>
      <c r="AV13" s="66">
        <v>123878.00005733701</v>
      </c>
      <c r="AW13" s="66">
        <v>116309.00003746299</v>
      </c>
      <c r="AX13" s="66">
        <v>174337.00003646497</v>
      </c>
      <c r="AY13" s="17"/>
      <c r="AZ13" s="17"/>
      <c r="BA13" s="17"/>
      <c r="BB13" s="17"/>
      <c r="BC13" s="17"/>
      <c r="BD13" s="17"/>
      <c r="BE13" s="17"/>
      <c r="BF13" s="17"/>
      <c r="BG13" s="17"/>
      <c r="BH13" s="65"/>
      <c r="BI13" s="65"/>
      <c r="BJ13" s="65"/>
    </row>
    <row r="14" spans="1:62" customFormat="1" ht="14.5" customHeight="1">
      <c r="A14" s="16"/>
      <c r="B14" s="11"/>
      <c r="C14" s="68"/>
      <c r="D14" s="68"/>
      <c r="E14" s="68"/>
      <c r="F14" s="344"/>
      <c r="G14" s="68"/>
      <c r="H14" s="332"/>
      <c r="J14" s="200"/>
      <c r="K14" s="200"/>
      <c r="M14" s="10"/>
      <c r="P14" s="254">
        <v>2017</v>
      </c>
      <c r="Q14" s="73" t="s">
        <v>148</v>
      </c>
      <c r="R14" s="80">
        <v>0</v>
      </c>
      <c r="S14" s="80">
        <v>0</v>
      </c>
      <c r="T14" s="80">
        <v>0</v>
      </c>
      <c r="U14" s="80">
        <v>25.578562840819401</v>
      </c>
      <c r="V14" s="80">
        <v>0</v>
      </c>
      <c r="W14" s="80">
        <v>9252.6375133544207</v>
      </c>
      <c r="X14" s="80">
        <v>4563.8951640352598</v>
      </c>
      <c r="Y14" s="80">
        <v>8414.4994133412802</v>
      </c>
      <c r="Z14" s="80">
        <v>261.51035437732901</v>
      </c>
      <c r="AA14" s="80">
        <v>2079.2343269735602</v>
      </c>
      <c r="AB14" s="75">
        <v>17571.39462846523</v>
      </c>
      <c r="AC14" s="75">
        <v>32913.55315310508</v>
      </c>
      <c r="AD14" s="75">
        <v>41862.370484709754</v>
      </c>
      <c r="AE14" s="75">
        <v>43088.794342882888</v>
      </c>
      <c r="AF14" s="75">
        <v>40703.944085061594</v>
      </c>
      <c r="AG14" s="79">
        <v>163226.49056532999</v>
      </c>
      <c r="AH14" s="79">
        <v>165432.11655287401</v>
      </c>
      <c r="AI14" s="79">
        <v>171142.232221574</v>
      </c>
      <c r="AJ14" s="79">
        <v>171020.58540464201</v>
      </c>
      <c r="AK14" s="79">
        <v>168405.451482609</v>
      </c>
      <c r="AL14" s="76">
        <f t="shared" ref="AL14" si="22">AA14/AK14</f>
        <v>1.2346597504227943E-2</v>
      </c>
      <c r="AM14" s="76">
        <f t="shared" ref="AM14" si="23">Z14/AJ14</f>
        <v>1.5291162391859691E-3</v>
      </c>
      <c r="AN14" s="76">
        <f t="shared" ref="AN14" si="24">Y14/AI14</f>
        <v>4.9166703648268514E-2</v>
      </c>
      <c r="AO14" s="76">
        <f t="shared" ref="AO14" si="25">AA14/AX14</f>
        <v>1.6281987341783721E-2</v>
      </c>
      <c r="AP14" s="76">
        <f t="shared" ref="AP14" si="26">Z14/AW14</f>
        <v>2.0441389290882751E-3</v>
      </c>
      <c r="AQ14" s="76">
        <f t="shared" ref="AQ14" si="27">Y14/AV14</f>
        <v>6.5087472250458758E-2</v>
      </c>
      <c r="AR14" s="85"/>
      <c r="AS14" s="85"/>
      <c r="AT14" s="80">
        <v>145655.213170156</v>
      </c>
      <c r="AU14" s="80">
        <v>132518.56339976899</v>
      </c>
      <c r="AV14" s="80">
        <v>129279.861736864</v>
      </c>
      <c r="AW14" s="80">
        <v>127931.791061759</v>
      </c>
      <c r="AX14" s="80">
        <v>127701.507397547</v>
      </c>
      <c r="AY14" s="17"/>
      <c r="AZ14" s="17"/>
      <c r="BA14" s="17"/>
      <c r="BB14" s="17"/>
      <c r="BC14" s="17"/>
      <c r="BD14" s="17"/>
      <c r="BE14" s="17"/>
      <c r="BF14" s="17"/>
      <c r="BG14" s="17"/>
      <c r="BH14" s="65"/>
      <c r="BI14" s="65"/>
      <c r="BJ14" s="65"/>
    </row>
    <row r="15" spans="1:62" customFormat="1" ht="14.5" customHeight="1">
      <c r="A15" s="16"/>
      <c r="B15" s="11"/>
      <c r="C15" s="68"/>
      <c r="D15" s="68"/>
      <c r="E15" s="68"/>
      <c r="F15" s="344"/>
      <c r="G15" s="68"/>
      <c r="H15" s="332"/>
      <c r="J15" s="200"/>
      <c r="K15" s="200"/>
      <c r="M15" s="10"/>
      <c r="P15" s="254">
        <v>2017</v>
      </c>
      <c r="Q15" s="50" t="s">
        <v>150</v>
      </c>
      <c r="R15" s="80">
        <v>1059000</v>
      </c>
      <c r="S15" s="80">
        <v>1417000</v>
      </c>
      <c r="T15" s="80">
        <v>562000</v>
      </c>
      <c r="U15" s="80">
        <v>2115000</v>
      </c>
      <c r="V15" s="80">
        <v>3237000</v>
      </c>
      <c r="W15" s="80">
        <v>-4663000</v>
      </c>
      <c r="X15" s="80">
        <v>-1222000</v>
      </c>
      <c r="Y15" s="80">
        <v>-605000</v>
      </c>
      <c r="Z15" s="80">
        <v>-3102000</v>
      </c>
      <c r="AA15" s="80">
        <v>-155000</v>
      </c>
      <c r="AB15" s="71">
        <v>7101000</v>
      </c>
      <c r="AC15" s="71">
        <v>7486000</v>
      </c>
      <c r="AD15" s="71">
        <v>7813000</v>
      </c>
      <c r="AE15" s="71">
        <v>11023000</v>
      </c>
      <c r="AF15" s="71">
        <v>11603000</v>
      </c>
      <c r="AG15" s="59">
        <v>3961000</v>
      </c>
      <c r="AH15" s="59">
        <v>9279000</v>
      </c>
      <c r="AI15" s="59">
        <v>10848000</v>
      </c>
      <c r="AJ15" s="59">
        <v>17982000</v>
      </c>
      <c r="AK15" s="59">
        <v>21666000</v>
      </c>
      <c r="AL15" s="76">
        <f t="shared" ref="AL15" si="28">AA15/AK15</f>
        <v>-7.1540662789624293E-3</v>
      </c>
      <c r="AM15" s="76">
        <f>Z15/AJ15</f>
        <v>-0.17250583917250584</v>
      </c>
      <c r="AN15" s="76">
        <f t="shared" ref="AN15" si="29">Y15/AI15</f>
        <v>-5.5770648967551621E-2</v>
      </c>
      <c r="AO15" s="76">
        <f t="shared" ref="AO15" si="30">AA15/AX15</f>
        <v>-1.5402961343535726E-2</v>
      </c>
      <c r="AP15" s="76">
        <f t="shared" ref="AP15" si="31">Z15/AW15</f>
        <v>-0.44575370024428795</v>
      </c>
      <c r="AQ15" s="76">
        <f t="shared" ref="AQ15" si="32">Y15/AV15</f>
        <v>-0.19934102141680396</v>
      </c>
      <c r="AR15" s="84"/>
      <c r="AS15" s="84"/>
      <c r="AT15" s="66">
        <v>-3140000</v>
      </c>
      <c r="AU15" s="66">
        <v>1793000</v>
      </c>
      <c r="AV15" s="66">
        <v>3035000</v>
      </c>
      <c r="AW15" s="66">
        <v>6959000</v>
      </c>
      <c r="AX15" s="66">
        <v>10063000</v>
      </c>
      <c r="AY15" s="17"/>
      <c r="AZ15" s="17"/>
      <c r="BA15" s="17"/>
      <c r="BB15" s="17"/>
      <c r="BC15" s="17"/>
      <c r="BD15" s="17"/>
      <c r="BE15" s="17"/>
      <c r="BF15" s="17"/>
      <c r="BG15" s="17"/>
      <c r="BH15" s="65"/>
      <c r="BI15" s="65"/>
      <c r="BJ15" s="65"/>
    </row>
    <row r="16" spans="1:62" customFormat="1" ht="14.5" customHeight="1">
      <c r="A16" s="16"/>
      <c r="B16" s="11"/>
      <c r="C16" s="68"/>
      <c r="D16" s="68"/>
      <c r="E16" s="68"/>
      <c r="F16" s="344"/>
      <c r="G16" s="68"/>
      <c r="H16" s="332"/>
      <c r="J16" s="200"/>
      <c r="K16" s="200"/>
      <c r="M16" s="10"/>
      <c r="P16" s="254">
        <v>2014</v>
      </c>
      <c r="Q16" s="173" t="s">
        <v>157</v>
      </c>
      <c r="R16" s="175">
        <v>1534275</v>
      </c>
      <c r="S16" s="175">
        <v>1420951</v>
      </c>
      <c r="T16" s="175">
        <v>1460953</v>
      </c>
      <c r="U16" s="175">
        <v>1730969</v>
      </c>
      <c r="V16" s="176">
        <v>2085937</v>
      </c>
      <c r="W16" s="175">
        <v>-31937</v>
      </c>
      <c r="X16" s="175">
        <v>34814</v>
      </c>
      <c r="Y16" s="175">
        <v>-160125</v>
      </c>
      <c r="Z16" s="175">
        <v>-117241</v>
      </c>
      <c r="AA16" s="175">
        <v>-12763</v>
      </c>
      <c r="AB16" s="177">
        <v>991949</v>
      </c>
      <c r="AC16" s="71">
        <v>1191056</v>
      </c>
      <c r="AD16" s="71">
        <v>1013837</v>
      </c>
      <c r="AE16" s="71">
        <v>864778</v>
      </c>
      <c r="AF16" s="71">
        <v>1093701</v>
      </c>
      <c r="AG16" s="59">
        <v>1386492</v>
      </c>
      <c r="AH16" s="59">
        <v>1213538</v>
      </c>
      <c r="AI16" s="59">
        <v>1257378</v>
      </c>
      <c r="AJ16" s="59">
        <v>1440471</v>
      </c>
      <c r="AK16" s="59">
        <v>1973026</v>
      </c>
      <c r="AL16" s="76">
        <f t="shared" ref="AL16:AL17" si="33">AA16/AK16</f>
        <v>-6.4687439496489149E-3</v>
      </c>
      <c r="AM16" s="76">
        <f t="shared" ref="AM16:AM17" si="34">Z16/AJ16</f>
        <v>-8.1390739556714442E-2</v>
      </c>
      <c r="AN16" s="76">
        <f t="shared" ref="AN16:AN17" si="35">Y16/AI16</f>
        <v>-0.12734833916292476</v>
      </c>
      <c r="AO16" s="76">
        <f t="shared" ref="AO16:AO17" si="36">AA16/AX16</f>
        <v>-1.4514525898244791E-2</v>
      </c>
      <c r="AP16" s="76">
        <f t="shared" ref="AP16:AP17" si="37">Z16/AW16</f>
        <v>-0.20365194643672929</v>
      </c>
      <c r="AQ16" s="76">
        <f t="shared" ref="AQ16:AQ17" si="38">Y16/AV16</f>
        <v>-0.65748682973298134</v>
      </c>
      <c r="AR16" s="84"/>
      <c r="AS16" s="84"/>
      <c r="AT16" s="66">
        <v>394543</v>
      </c>
      <c r="AU16" s="66">
        <v>22483</v>
      </c>
      <c r="AV16" s="66">
        <v>243541</v>
      </c>
      <c r="AW16" s="66">
        <v>575693</v>
      </c>
      <c r="AX16" s="66">
        <v>879326</v>
      </c>
      <c r="AY16" s="17"/>
      <c r="AZ16" s="17"/>
      <c r="BA16" s="17"/>
      <c r="BB16" s="17"/>
      <c r="BC16" s="17"/>
      <c r="BD16" s="17"/>
      <c r="BE16" s="17"/>
      <c r="BF16" s="17"/>
      <c r="BG16" s="17"/>
      <c r="BH16" s="65"/>
      <c r="BI16" s="65"/>
      <c r="BJ16" s="65"/>
    </row>
    <row r="17" spans="1:62" customFormat="1" ht="14.5" customHeight="1">
      <c r="A17" s="16"/>
      <c r="B17" s="11"/>
      <c r="C17" s="68"/>
      <c r="D17" s="68"/>
      <c r="E17" s="68"/>
      <c r="F17" s="344"/>
      <c r="G17" s="68"/>
      <c r="H17" s="332"/>
      <c r="J17" s="200"/>
      <c r="K17" s="200"/>
      <c r="M17" s="10"/>
      <c r="P17" s="254">
        <v>2019</v>
      </c>
      <c r="Q17" s="50" t="s">
        <v>158</v>
      </c>
      <c r="R17" s="174">
        <v>0</v>
      </c>
      <c r="S17" s="174">
        <v>0</v>
      </c>
      <c r="T17" s="174">
        <v>232907.02806295501</v>
      </c>
      <c r="U17" s="174">
        <v>212584.052230537</v>
      </c>
      <c r="V17" s="174">
        <v>171235.09758393501</v>
      </c>
      <c r="W17" s="174">
        <v>0</v>
      </c>
      <c r="X17" s="174">
        <v>0</v>
      </c>
      <c r="Y17" s="174">
        <v>22942.203401342002</v>
      </c>
      <c r="Z17" s="174">
        <v>17708.769728474301</v>
      </c>
      <c r="AA17" s="174">
        <v>6141.7721436619804</v>
      </c>
      <c r="AB17" s="71">
        <v>0</v>
      </c>
      <c r="AC17" s="71">
        <v>0</v>
      </c>
      <c r="AD17" s="71">
        <v>121000.3486166745</v>
      </c>
      <c r="AE17" s="71">
        <v>116848.8597071245</v>
      </c>
      <c r="AF17" s="71">
        <v>125898.043559581</v>
      </c>
      <c r="AG17" s="59" t="s">
        <v>156</v>
      </c>
      <c r="AH17" s="59" t="s">
        <v>156</v>
      </c>
      <c r="AI17" s="59">
        <v>8091048</v>
      </c>
      <c r="AJ17" s="59">
        <v>8538524</v>
      </c>
      <c r="AK17" s="59">
        <v>7156300</v>
      </c>
      <c r="AL17" s="76">
        <f t="shared" si="33"/>
        <v>8.5823290578399176E-4</v>
      </c>
      <c r="AM17" s="76">
        <f t="shared" si="34"/>
        <v>2.0739848864363797E-3</v>
      </c>
      <c r="AN17" s="76">
        <f t="shared" si="35"/>
        <v>2.8355045479080093E-3</v>
      </c>
      <c r="AO17" s="76">
        <f t="shared" si="36"/>
        <v>9.8270525654882188E-2</v>
      </c>
      <c r="AP17" s="76">
        <f t="shared" si="37"/>
        <v>0.14711634627121042</v>
      </c>
      <c r="AQ17" s="76">
        <f t="shared" si="38"/>
        <v>0.15279660328802738</v>
      </c>
      <c r="AR17" s="84"/>
      <c r="AS17" s="84"/>
      <c r="AT17" s="66">
        <v>0</v>
      </c>
      <c r="AU17" s="66">
        <v>0</v>
      </c>
      <c r="AV17" s="66">
        <v>150148.64799118001</v>
      </c>
      <c r="AW17" s="66">
        <v>120372.54987170501</v>
      </c>
      <c r="AX17" s="66">
        <v>62498.619018599398</v>
      </c>
      <c r="AY17" s="17"/>
      <c r="AZ17" s="17"/>
      <c r="BA17" s="17"/>
      <c r="BB17" s="17"/>
      <c r="BC17" s="17"/>
      <c r="BD17" s="17"/>
      <c r="BE17" s="17"/>
      <c r="BF17" s="17"/>
      <c r="BG17" s="17"/>
      <c r="BH17" s="65"/>
      <c r="BI17" s="65"/>
      <c r="BJ17" s="65"/>
    </row>
    <row r="18" spans="1:62" customFormat="1" ht="14.5" customHeight="1">
      <c r="A18" s="16"/>
      <c r="B18" s="11"/>
      <c r="C18" s="68"/>
      <c r="D18" s="68"/>
      <c r="E18" s="68"/>
      <c r="F18" s="344"/>
      <c r="G18" s="68"/>
      <c r="H18" s="332"/>
      <c r="J18" s="200"/>
      <c r="K18" s="200"/>
      <c r="M18" s="10"/>
      <c r="P18" s="254">
        <v>2018</v>
      </c>
      <c r="Q18" s="50" t="s">
        <v>202</v>
      </c>
      <c r="R18" s="66"/>
      <c r="S18" s="66">
        <v>53915.707887604804</v>
      </c>
      <c r="T18" s="66">
        <v>26925.740009963502</v>
      </c>
      <c r="U18" s="66">
        <v>26342.117340967099</v>
      </c>
      <c r="V18" s="66">
        <v>30912.545811891599</v>
      </c>
      <c r="W18" s="66"/>
      <c r="X18" s="66">
        <v>20229.307808101199</v>
      </c>
      <c r="Y18" s="66">
        <v>22956.377868719399</v>
      </c>
      <c r="Z18" s="66">
        <v>26047.065557703398</v>
      </c>
      <c r="AA18" s="66">
        <v>29489.159691140099</v>
      </c>
      <c r="AB18" s="71"/>
      <c r="AC18" s="71">
        <v>106732.001969695</v>
      </c>
      <c r="AD18" s="71">
        <v>97599.315508857399</v>
      </c>
      <c r="AE18" s="71">
        <v>116334.982582763</v>
      </c>
      <c r="AF18" s="71">
        <v>128118.392767817</v>
      </c>
      <c r="AG18" s="59"/>
      <c r="AH18" s="59">
        <v>168694.25127008598</v>
      </c>
      <c r="AI18" s="59">
        <v>152735.19186940001</v>
      </c>
      <c r="AJ18" s="59">
        <v>171355.926122323</v>
      </c>
      <c r="AK18" s="59">
        <v>188440.68292336198</v>
      </c>
      <c r="AL18" s="76">
        <f t="shared" ref="AL18" si="39">AA18/AK18</f>
        <v>0.15649040978658105</v>
      </c>
      <c r="AM18" s="76">
        <f t="shared" ref="AM18" si="40">Z18/AJ18</f>
        <v>0.15200563031073472</v>
      </c>
      <c r="AN18" s="76">
        <f t="shared" ref="AN18" si="41">Y18/AI18</f>
        <v>0.15030182361867733</v>
      </c>
      <c r="AO18" s="76">
        <f t="shared" ref="AO18" si="42">AA18/AX18</f>
        <v>0.4888600816563895</v>
      </c>
      <c r="AP18" s="76">
        <f t="shared" ref="AP18" si="43">Z18/AW18</f>
        <v>0.47340274233893648</v>
      </c>
      <c r="AQ18" s="76">
        <f t="shared" ref="AQ18" si="44">Y18/AV18</f>
        <v>0.41636007957148707</v>
      </c>
      <c r="AR18" s="84"/>
      <c r="AS18" s="84"/>
      <c r="AT18" s="66"/>
      <c r="AU18" s="66">
        <v>61962.249300390497</v>
      </c>
      <c r="AV18" s="66">
        <v>55135.876360543101</v>
      </c>
      <c r="AW18" s="66">
        <v>55020.943539559798</v>
      </c>
      <c r="AX18" s="66">
        <v>60322.290155544899</v>
      </c>
      <c r="AY18" s="17"/>
      <c r="AZ18" s="17"/>
      <c r="BA18" s="17"/>
      <c r="BB18" s="17"/>
      <c r="BC18" s="17"/>
      <c r="BD18" s="17"/>
      <c r="BE18" s="17"/>
      <c r="BF18" s="17"/>
      <c r="BG18" s="17"/>
      <c r="BH18" s="65"/>
      <c r="BI18" s="65"/>
      <c r="BJ18" s="65"/>
    </row>
    <row r="19" spans="1:62" customFormat="1" ht="14.5" customHeight="1">
      <c r="A19" s="16"/>
      <c r="B19" s="11"/>
      <c r="C19" s="68"/>
      <c r="D19" s="68"/>
      <c r="E19" s="68"/>
      <c r="F19" s="344"/>
      <c r="G19" s="68"/>
      <c r="H19" s="332"/>
      <c r="J19" s="200"/>
      <c r="K19" s="200"/>
      <c r="M19" s="10"/>
      <c r="P19" s="254">
        <v>2018</v>
      </c>
      <c r="Q19" s="50" t="s">
        <v>203</v>
      </c>
      <c r="R19" s="66">
        <v>78454.759438030407</v>
      </c>
      <c r="S19" s="66">
        <v>84950.759851783499</v>
      </c>
      <c r="T19" s="66">
        <v>118767.99408146</v>
      </c>
      <c r="U19" s="66">
        <v>117525.31629808201</v>
      </c>
      <c r="V19" s="66">
        <v>120860.049252354</v>
      </c>
      <c r="W19" s="66">
        <v>30935.033040963099</v>
      </c>
      <c r="X19" s="66">
        <v>25912.895002082001</v>
      </c>
      <c r="Y19" s="66">
        <v>27130.068025842302</v>
      </c>
      <c r="Z19" s="66">
        <v>38535.903285488501</v>
      </c>
      <c r="AA19" s="66">
        <v>55920.463096000298</v>
      </c>
      <c r="AB19" s="71">
        <v>6131411.8253601091</v>
      </c>
      <c r="AC19" s="71">
        <v>6075505.355154966</v>
      </c>
      <c r="AD19" s="71">
        <v>5181126.3642425053</v>
      </c>
      <c r="AE19" s="71">
        <v>6158154.7673454136</v>
      </c>
      <c r="AF19" s="71">
        <v>5802091.6211201893</v>
      </c>
      <c r="AG19" s="59">
        <v>6635912.03625526</v>
      </c>
      <c r="AH19" s="59">
        <v>6565456.1046869503</v>
      </c>
      <c r="AI19" s="59">
        <v>5587974.53725091</v>
      </c>
      <c r="AJ19" s="59">
        <v>6662690.4398563504</v>
      </c>
      <c r="AK19" s="59">
        <v>6277076.0324651496</v>
      </c>
      <c r="AL19" s="76">
        <f t="shared" ref="AL19" si="45">AA19/AK19</f>
        <v>8.9086802209784721E-3</v>
      </c>
      <c r="AM19" s="76">
        <f t="shared" ref="AM19" si="46">Z19/AJ19</f>
        <v>5.7838351688930256E-3</v>
      </c>
      <c r="AN19" s="76">
        <f t="shared" ref="AN19" si="47">Y19/AI19</f>
        <v>4.8550808249010662E-3</v>
      </c>
      <c r="AO19" s="76">
        <f t="shared" ref="AO19" si="48">AA19/AX19</f>
        <v>0.11773115445548329</v>
      </c>
      <c r="AP19" s="76">
        <f t="shared" ref="AP19" si="49">Z19/AW19</f>
        <v>7.6378946792217448E-2</v>
      </c>
      <c r="AQ19" s="76">
        <f t="shared" ref="AQ19" si="50">Y19/AV19</f>
        <v>6.6683519370951738E-2</v>
      </c>
      <c r="AR19" s="84"/>
      <c r="AS19" s="84"/>
      <c r="AT19" s="66">
        <v>504500.21089515102</v>
      </c>
      <c r="AU19" s="66">
        <v>489950.74953198398</v>
      </c>
      <c r="AV19" s="66">
        <v>406848.17300840502</v>
      </c>
      <c r="AW19" s="66">
        <v>504535.67251093697</v>
      </c>
      <c r="AX19" s="66">
        <v>474984.41134495998</v>
      </c>
      <c r="AY19" s="17"/>
      <c r="AZ19" s="17"/>
      <c r="BA19" s="17"/>
      <c r="BB19" s="17"/>
      <c r="BC19" s="17"/>
      <c r="BD19" s="17"/>
      <c r="BE19" s="17"/>
      <c r="BF19" s="17"/>
      <c r="BG19" s="17"/>
      <c r="BH19" s="65"/>
      <c r="BI19" s="65"/>
      <c r="BJ19" s="65"/>
    </row>
    <row r="20" spans="1:62" s="153" customFormat="1" ht="14.5" customHeight="1">
      <c r="A20" s="16"/>
      <c r="B20" s="11"/>
      <c r="C20" s="68"/>
      <c r="D20" s="68"/>
      <c r="E20" s="68"/>
      <c r="F20" s="344"/>
      <c r="G20" s="68"/>
      <c r="H20" s="332"/>
      <c r="J20" s="200"/>
      <c r="K20" s="200"/>
      <c r="M20" s="154"/>
      <c r="P20" s="254">
        <v>2012</v>
      </c>
      <c r="Q20" s="50" t="s">
        <v>204</v>
      </c>
      <c r="R20" s="66">
        <v>7681.8667759008395</v>
      </c>
      <c r="S20" s="66">
        <v>4172.8637171391201</v>
      </c>
      <c r="T20" s="66">
        <v>4413.1198592290002</v>
      </c>
      <c r="U20" s="66">
        <v>4485.9597778755397</v>
      </c>
      <c r="V20" s="66">
        <v>4011.0901006414001</v>
      </c>
      <c r="W20" s="66">
        <v>-2131.67452066545</v>
      </c>
      <c r="X20" s="66">
        <v>-22791.0964665713</v>
      </c>
      <c r="Y20" s="66">
        <v>-6619.6798710803396</v>
      </c>
      <c r="Z20" s="66">
        <v>-7256.6998096534599</v>
      </c>
      <c r="AA20" s="66">
        <v>3493.5300068756201</v>
      </c>
      <c r="AB20" s="71">
        <v>287810.89263856201</v>
      </c>
      <c r="AC20" s="71">
        <v>335324.872675088</v>
      </c>
      <c r="AD20" s="71">
        <v>295265.30261176196</v>
      </c>
      <c r="AE20" s="71">
        <v>219152.33216894901</v>
      </c>
      <c r="AF20" s="71">
        <v>144269.851304157</v>
      </c>
      <c r="AG20" s="59">
        <v>391444.23974499799</v>
      </c>
      <c r="AH20" s="59">
        <v>453454.432857037</v>
      </c>
      <c r="AI20" s="59">
        <v>455240.89845453697</v>
      </c>
      <c r="AJ20" s="59">
        <v>379195.54647265701</v>
      </c>
      <c r="AK20" s="59">
        <v>308724.54309322499</v>
      </c>
      <c r="AL20" s="76">
        <f t="shared" ref="AL20" si="51">AA20/AK20</f>
        <v>1.1316009967567384E-2</v>
      </c>
      <c r="AM20" s="76">
        <f t="shared" ref="AM20" si="52">Z20/AJ20</f>
        <v>-1.9137091342861342E-2</v>
      </c>
      <c r="AN20" s="76">
        <f t="shared" ref="AN20" si="53">Y20/AI20</f>
        <v>-1.4541048252810747E-2</v>
      </c>
      <c r="AO20" s="76">
        <f t="shared" ref="AO20" si="54">AA20/AX20</f>
        <v>2.1243115489236901E-2</v>
      </c>
      <c r="AP20" s="76">
        <f t="shared" ref="AP20" si="55">Z20/AW20</f>
        <v>-4.5379538390094239E-2</v>
      </c>
      <c r="AQ20" s="76">
        <f t="shared" ref="AQ20" si="56">Y20/AV20</f>
        <v>-4.1379310571722332E-2</v>
      </c>
      <c r="AR20" s="84"/>
      <c r="AS20" s="84"/>
      <c r="AT20" s="66">
        <v>103633.346992929</v>
      </c>
      <c r="AU20" s="66">
        <v>118129.560047359</v>
      </c>
      <c r="AV20" s="66">
        <v>159975.596007249</v>
      </c>
      <c r="AW20" s="66">
        <v>159911.27426799701</v>
      </c>
      <c r="AX20" s="66">
        <v>164454.691622124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65"/>
      <c r="BI20" s="65"/>
      <c r="BJ20" s="65"/>
    </row>
    <row r="21" spans="1:62" s="153" customFormat="1" ht="14.5" customHeight="1">
      <c r="A21" s="16"/>
      <c r="B21" s="11"/>
      <c r="C21" s="68"/>
      <c r="D21" s="68"/>
      <c r="E21" s="68"/>
      <c r="F21" s="344"/>
      <c r="G21" s="68"/>
      <c r="H21" s="332"/>
      <c r="J21" s="200"/>
      <c r="K21" s="200"/>
      <c r="M21" s="154"/>
      <c r="P21" s="254">
        <v>2013</v>
      </c>
      <c r="Q21" s="50" t="s">
        <v>205</v>
      </c>
      <c r="R21" s="66">
        <v>237300</v>
      </c>
      <c r="S21" s="66">
        <v>366800</v>
      </c>
      <c r="T21" s="66">
        <v>321000</v>
      </c>
      <c r="U21" s="66">
        <v>249700</v>
      </c>
      <c r="V21" s="66">
        <v>173400</v>
      </c>
      <c r="W21" s="66">
        <v>-85600</v>
      </c>
      <c r="X21" s="66">
        <v>-150900</v>
      </c>
      <c r="Y21" s="66">
        <v>-118500</v>
      </c>
      <c r="Z21" s="66">
        <v>-103700</v>
      </c>
      <c r="AA21" s="66">
        <v>-31000</v>
      </c>
      <c r="AB21" s="71">
        <v>1242200</v>
      </c>
      <c r="AC21" s="71">
        <v>1347800</v>
      </c>
      <c r="AD21" s="71">
        <v>1433900</v>
      </c>
      <c r="AE21" s="71">
        <v>1480500</v>
      </c>
      <c r="AF21" s="71">
        <v>1057300</v>
      </c>
      <c r="AG21" s="59">
        <v>1555100</v>
      </c>
      <c r="AH21" s="59">
        <v>1753700</v>
      </c>
      <c r="AI21" s="59">
        <v>1991600</v>
      </c>
      <c r="AJ21" s="59">
        <v>2164200</v>
      </c>
      <c r="AK21" s="59">
        <v>1719700</v>
      </c>
      <c r="AL21" s="76">
        <f t="shared" ref="AL21" si="57">AA21/AK21</f>
        <v>-1.8026399953480259E-2</v>
      </c>
      <c r="AM21" s="76">
        <f t="shared" ref="AM21" si="58">Z21/AJ21</f>
        <v>-4.7916089086036409E-2</v>
      </c>
      <c r="AN21" s="76">
        <f t="shared" ref="AN21" si="59">Y21/AI21</f>
        <v>-5.9499899578228557E-2</v>
      </c>
      <c r="AO21" s="76">
        <f t="shared" ref="AO21" si="60">AA21/AX21</f>
        <v>-4.679951690821256E-2</v>
      </c>
      <c r="AP21" s="76">
        <f t="shared" ref="AP21" si="61">Z21/AW21</f>
        <v>-0.15167471113061284</v>
      </c>
      <c r="AQ21" s="76">
        <f t="shared" ref="AQ21" si="62">Y21/AV21</f>
        <v>-0.21247982786444325</v>
      </c>
      <c r="AR21" s="84"/>
      <c r="AS21" s="84"/>
      <c r="AT21" s="66">
        <v>312900</v>
      </c>
      <c r="AU21" s="66">
        <v>405900</v>
      </c>
      <c r="AV21" s="66">
        <v>557700</v>
      </c>
      <c r="AW21" s="66">
        <v>683700</v>
      </c>
      <c r="AX21" s="66">
        <v>662400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65"/>
      <c r="BI21" s="65"/>
      <c r="BJ21" s="65"/>
    </row>
    <row r="22" spans="1:62" s="153" customFormat="1" ht="14.5" customHeight="1">
      <c r="A22" s="16"/>
      <c r="B22" s="11"/>
      <c r="C22" s="68"/>
      <c r="D22" s="68"/>
      <c r="E22" s="68"/>
      <c r="F22" s="344"/>
      <c r="G22" s="68"/>
      <c r="H22" s="333" t="s">
        <v>391</v>
      </c>
      <c r="J22" s="200" t="s">
        <v>352</v>
      </c>
      <c r="K22" s="200" t="s">
        <v>353</v>
      </c>
      <c r="L22" s="153" t="s">
        <v>354</v>
      </c>
      <c r="M22" s="154"/>
      <c r="P22" s="254">
        <v>2012</v>
      </c>
      <c r="Q22" s="51" t="s">
        <v>206</v>
      </c>
      <c r="R22" s="66">
        <v>103405.218735337</v>
      </c>
      <c r="S22" s="66">
        <v>34756.798359856002</v>
      </c>
      <c r="T22" s="66">
        <v>54802.137635260799</v>
      </c>
      <c r="U22" s="66">
        <v>47602.513394057802</v>
      </c>
      <c r="V22" s="66">
        <v>48185.141307219899</v>
      </c>
      <c r="W22" s="66">
        <v>1021.56637609005</v>
      </c>
      <c r="X22" s="66">
        <v>869.17904379963898</v>
      </c>
      <c r="Y22" s="66">
        <v>-8556.2499184012395</v>
      </c>
      <c r="Z22" s="66">
        <v>-3546.14003062248</v>
      </c>
      <c r="AA22" s="66">
        <v>-39318.697343423999</v>
      </c>
      <c r="AB22" s="71">
        <v>72077.183201909094</v>
      </c>
      <c r="AC22" s="71">
        <v>9860.8349060118235</v>
      </c>
      <c r="AD22" s="71">
        <v>22886.183992266702</v>
      </c>
      <c r="AE22" s="71">
        <v>69157.091458886804</v>
      </c>
      <c r="AF22" s="71">
        <v>130415.19037367401</v>
      </c>
      <c r="AG22" s="150">
        <v>154597.04491496101</v>
      </c>
      <c r="AH22" s="150">
        <v>19908.7492283881</v>
      </c>
      <c r="AI22" s="150">
        <v>32138.8154829741</v>
      </c>
      <c r="AJ22" s="150">
        <v>76494.613889604807</v>
      </c>
      <c r="AK22" s="150">
        <v>97959.765065565705</v>
      </c>
      <c r="AL22" s="76">
        <f t="shared" ref="AL22" si="63">AA22/AK22</f>
        <v>-0.40137598652985235</v>
      </c>
      <c r="AM22" s="76">
        <f t="shared" ref="AM22" si="64">Z22/AJ22</f>
        <v>-4.6358035557120196E-2</v>
      </c>
      <c r="AN22" s="76">
        <f t="shared" ref="AN22" si="65">Y22/AI22</f>
        <v>-0.26622791754518799</v>
      </c>
      <c r="AO22" s="76">
        <f t="shared" ref="AO22" si="66">AA22/AX22</f>
        <v>1.2114676350767479</v>
      </c>
      <c r="AP22" s="76">
        <f t="shared" ref="AP22" si="67">Z22/AW22</f>
        <v>-0.48328847565451372</v>
      </c>
      <c r="AQ22" s="76">
        <f t="shared" ref="AQ22" si="68">Y22/AV22</f>
        <v>-0.9247369169510804</v>
      </c>
      <c r="AR22" s="84"/>
      <c r="AS22" s="84"/>
      <c r="AT22" s="66">
        <v>82519.861713051796</v>
      </c>
      <c r="AU22" s="66">
        <v>10047.9143223763</v>
      </c>
      <c r="AV22" s="66">
        <v>9252.6314907073993</v>
      </c>
      <c r="AW22" s="66">
        <v>7337.5224307179496</v>
      </c>
      <c r="AX22" s="66">
        <v>-32455.425308108301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65"/>
      <c r="BI22" s="65"/>
      <c r="BJ22" s="65"/>
    </row>
    <row r="23" spans="1:62" s="153" customFormat="1" ht="14.5" customHeight="1">
      <c r="A23" s="16"/>
      <c r="B23" s="11"/>
      <c r="C23" s="68"/>
      <c r="D23" s="68"/>
      <c r="E23" s="68"/>
      <c r="F23" s="344"/>
      <c r="G23" s="68"/>
      <c r="H23" s="334" t="s">
        <v>393</v>
      </c>
      <c r="J23" s="204" t="s">
        <v>392</v>
      </c>
      <c r="K23" s="200"/>
      <c r="M23" s="154"/>
      <c r="O23" s="277" t="s">
        <v>209</v>
      </c>
      <c r="P23" s="254">
        <v>2016</v>
      </c>
      <c r="Q23" s="50" t="s">
        <v>207</v>
      </c>
      <c r="R23" s="66">
        <v>21509.1113705188</v>
      </c>
      <c r="S23" s="66">
        <v>21176.294563084801</v>
      </c>
      <c r="T23" s="66">
        <v>31415.469078414098</v>
      </c>
      <c r="U23" s="66">
        <v>32291.183111816601</v>
      </c>
      <c r="V23" s="66">
        <v>28189.3295965791</v>
      </c>
      <c r="W23" s="66">
        <v>-1762.7562440112199</v>
      </c>
      <c r="X23" s="66">
        <v>806.78941203653801</v>
      </c>
      <c r="Y23" s="66">
        <v>-2086.7235170900799</v>
      </c>
      <c r="Z23" s="66">
        <v>-1214.1531253755099</v>
      </c>
      <c r="AA23" s="66">
        <v>-1169.01245637238</v>
      </c>
      <c r="AB23" s="71">
        <v>12280.751567520199</v>
      </c>
      <c r="AC23" s="71">
        <v>13280.667416021241</v>
      </c>
      <c r="AD23" s="71">
        <v>18340.316767588301</v>
      </c>
      <c r="AE23" s="71">
        <v>21106.728418767489</v>
      </c>
      <c r="AF23" s="71">
        <v>17851.64540742341</v>
      </c>
      <c r="AG23" s="59">
        <v>21304.78335464</v>
      </c>
      <c r="AH23" s="59">
        <v>24710.126549139601</v>
      </c>
      <c r="AI23" s="59">
        <v>30118.635942384601</v>
      </c>
      <c r="AJ23" s="59">
        <v>33372.389602214098</v>
      </c>
      <c r="AK23" s="59">
        <v>31277.184229373899</v>
      </c>
      <c r="AL23" s="76">
        <f t="shared" ref="AL23" si="69">AA23/AK23</f>
        <v>-3.7375885495296746E-2</v>
      </c>
      <c r="AM23" s="76">
        <f t="shared" ref="AM23" si="70">Z23/AJ23</f>
        <v>-3.6381965446518602E-2</v>
      </c>
      <c r="AN23" s="76">
        <f t="shared" ref="AN23" si="71">Y23/AI23</f>
        <v>-6.9283466923331941E-2</v>
      </c>
      <c r="AO23" s="76">
        <f t="shared" ref="AO23" si="72">AA23/AX23</f>
        <v>-8.7073783173682251E-2</v>
      </c>
      <c r="AP23" s="76">
        <f t="shared" ref="AP23" si="73">Z23/AW23</f>
        <v>-9.8987988272014035E-2</v>
      </c>
      <c r="AQ23" s="76">
        <f t="shared" ref="AQ23" si="74">Y23/AV23</f>
        <v>-0.17716649431230658</v>
      </c>
      <c r="AR23" s="84"/>
      <c r="AS23" s="84"/>
      <c r="AT23" s="66">
        <v>9024.0317871198095</v>
      </c>
      <c r="AU23" s="66">
        <v>11429.4591331184</v>
      </c>
      <c r="AV23" s="66">
        <v>11778.319174796299</v>
      </c>
      <c r="AW23" s="66">
        <v>12265.6611834466</v>
      </c>
      <c r="AX23" s="66">
        <v>13425.5388219506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65"/>
      <c r="BI23" s="65"/>
      <c r="BJ23" s="65"/>
    </row>
    <row r="24" spans="1:62" s="153" customFormat="1" ht="14.5" customHeight="1">
      <c r="A24" s="16"/>
      <c r="B24" s="11"/>
      <c r="C24" s="68"/>
      <c r="D24" s="68"/>
      <c r="E24" s="68"/>
      <c r="F24" s="344"/>
      <c r="G24" s="68"/>
      <c r="H24" s="334" t="s">
        <v>394</v>
      </c>
      <c r="J24" s="200" t="s">
        <v>358</v>
      </c>
      <c r="K24" s="200" t="s">
        <v>359</v>
      </c>
      <c r="L24" s="153" t="s">
        <v>360</v>
      </c>
      <c r="M24" s="154"/>
      <c r="O24" s="276" t="s">
        <v>197</v>
      </c>
      <c r="P24" s="266">
        <v>2012</v>
      </c>
      <c r="Q24" s="265" t="s">
        <v>210</v>
      </c>
      <c r="R24" s="262">
        <f>_xlfn.XLOOKUP((P24+3),$R$111:$AL$111,$R$112:$AL$112,0,0)*1001758</f>
        <v>124444.389308</v>
      </c>
      <c r="S24" s="262">
        <f>_xlfn.XLOOKUP((P24+2),$R$111:$AL$111,$R$112:$AL$112,0,0)*1382856</f>
        <v>220143.76092</v>
      </c>
      <c r="T24" s="262">
        <f>_xlfn.XLOOKUP((P24+1),$R$111:$AL$111,$R$112:$AL$112,0,0)*1752342</f>
        <v>298366.01531400002</v>
      </c>
      <c r="U24" s="262">
        <f>_xlfn.XLOOKUP(P24,$R$111:$AL$111,$R$112:$AL$112,0,0)*1768463</f>
        <v>304041.23281199997</v>
      </c>
      <c r="V24" s="262">
        <f>_xlfn.XLOOKUP((P24-1),$R$111:$AL$111,$R$112:$AL$112,0,0)*1644934</f>
        <v>293778.63266400003</v>
      </c>
      <c r="W24" s="262">
        <f>_xlfn.XLOOKUP((P24+3),$R$111:$AL$111,$R$112:$AL$112,0,0)*-121022</f>
        <v>-15034.078972000001</v>
      </c>
      <c r="X24" s="262">
        <f>_xlfn.XLOOKUP((P24+2),$R$111:$AL$111,$R$112:$AL$112,0,0)*-202755</f>
        <v>-32277.582225000002</v>
      </c>
      <c r="Y24" s="262">
        <f>_xlfn.XLOOKUP((P24+1),$R$111:$AL$111,$R$112:$AL$112,0,0)*538426</f>
        <v>91676.179742000008</v>
      </c>
      <c r="Z24" s="262">
        <f>_xlfn.XLOOKUP(P24,$R$111:$AL$111,$R$112:$AL$112,0,0)*309002</f>
        <v>53124.859848</v>
      </c>
      <c r="AA24" s="262">
        <f>_xlfn.XLOOKUP((P24-1),$R$111:$AL$111,$R$112:$AL$112,0,0)*175862</f>
        <v>31408.249752</v>
      </c>
      <c r="AB24" s="264">
        <f>_xlfn.XLOOKUP((P24+3),$R$111:$AL$111,$R$112:$AL$112,0,0)*818632</f>
        <v>101695.378832</v>
      </c>
      <c r="AC24" s="264">
        <f>_xlfn.XLOOKUP((P24+2),$R$111:$AL$111,$R$112:$AL$112,0,0)*1096781</f>
        <v>174602.05129500001</v>
      </c>
      <c r="AD24" s="264">
        <f>_xlfn.XLOOKUP((P24+1),$R$111:$AL$111,$R$112:$AL$112,0,0)*731049</f>
        <v>124473.520083</v>
      </c>
      <c r="AE24" s="264">
        <f>_xlfn.XLOOKUP(P24,$R$111:$AL$111,$R$112:$AL$112,0,0)*1718101</f>
        <v>295382.796324</v>
      </c>
      <c r="AF24" s="264">
        <f>_xlfn.XLOOKUP((P24-1),$R$111:$AL$111,$R$112:$AL$112,0,0)*2362021</f>
        <v>421847.50251600001</v>
      </c>
      <c r="AG24" s="261">
        <f>_xlfn.XLOOKUP((P24+3),$R$111:$AL$111,$R$112:$AL$112,0,0)*945323</f>
        <v>117433.69499800001</v>
      </c>
      <c r="AH24" s="261">
        <f>_xlfn.XLOOKUP((P24+2),$R$111:$AL$111,$R$112:$AL$112,0,0)*1345002</f>
        <v>214117.59338999999</v>
      </c>
      <c r="AI24" s="261">
        <f>_xlfn.XLOOKUP((P24+1),$R$111:$AL$111,$R$112:$AL$112,0,0)*1298576</f>
        <v>221104.639792</v>
      </c>
      <c r="AJ24" s="261">
        <f>_xlfn.XLOOKUP(P24,$R$111:$AL$111,$R$112:$AL$112,0,0)*2853540</f>
        <v>490592.01095999999</v>
      </c>
      <c r="AK24" s="261">
        <f>_xlfn.XLOOKUP((P24-1),$R$111:$AL$111,$R$112:$AL$112,0,0)*3385580</f>
        <v>604651.04567999998</v>
      </c>
      <c r="AL24" s="260">
        <f t="shared" ref="AL24" si="75">AA24/AK24</f>
        <v>5.1944423112140314E-2</v>
      </c>
      <c r="AM24" s="260">
        <f t="shared" ref="AM24" si="76">Z24/AJ24</f>
        <v>0.10828725022253062</v>
      </c>
      <c r="AN24" s="260">
        <f t="shared" ref="AN24" si="77">Y24/AI24</f>
        <v>0.41462802331168913</v>
      </c>
      <c r="AO24" s="260">
        <f t="shared" ref="AO24" si="78">AA24/AX24</f>
        <v>0.17181422858867931</v>
      </c>
      <c r="AP24" s="260">
        <f t="shared" ref="AP24" si="79">Z24/AW24</f>
        <v>0.27214319747692306</v>
      </c>
      <c r="AQ24" s="260">
        <f t="shared" ref="AQ24" si="80">Y24/AV24</f>
        <v>0.94872314444951522</v>
      </c>
      <c r="AR24" s="259"/>
      <c r="AS24" s="259"/>
      <c r="AT24" s="262">
        <f>_xlfn.XLOOKUP((P24+3),$R$111:$AL$111,$R$112:$AL$112,0,0)*126692</f>
        <v>15738.440392</v>
      </c>
      <c r="AU24" s="262">
        <f>_xlfn.XLOOKUP((P24+2),$R$111:$AL$111,$R$112:$AL$112,0,0)*248222</f>
        <v>39515.701289999997</v>
      </c>
      <c r="AV24" s="262">
        <f>_xlfn.XLOOKUP((P24+1),$R$111:$AL$111,$R$112:$AL$112,0,0)*567527</f>
        <v>96631.119709000006</v>
      </c>
      <c r="AW24" s="262">
        <f>_xlfn.XLOOKUP(P24,$R$111:$AL$111,$R$112:$AL$112,0,0)*1135439</f>
        <v>195209.21463599999</v>
      </c>
      <c r="AX24" s="262">
        <f>_xlfn.XLOOKUP((P24-1),$R$111:$AL$111,$R$112:$AL$112,0,0)*1023559</f>
        <v>182803.543164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65"/>
      <c r="BI24" s="65"/>
      <c r="BJ24" s="65"/>
    </row>
    <row r="25" spans="1:62" s="153" customFormat="1" ht="14.5" customHeight="1">
      <c r="A25" s="16"/>
      <c r="B25" s="11"/>
      <c r="C25" s="68"/>
      <c r="D25" s="68"/>
      <c r="E25" s="68"/>
      <c r="F25" s="344"/>
      <c r="G25" s="68"/>
      <c r="H25" s="334" t="s">
        <v>395</v>
      </c>
      <c r="J25" s="200" t="s">
        <v>355</v>
      </c>
      <c r="K25" s="200" t="s">
        <v>356</v>
      </c>
      <c r="L25" s="153" t="s">
        <v>357</v>
      </c>
      <c r="M25" s="154"/>
      <c r="O25" s="276" t="s">
        <v>199</v>
      </c>
      <c r="P25" s="254">
        <v>2007</v>
      </c>
      <c r="Q25" s="50" t="s">
        <v>211</v>
      </c>
      <c r="R25" s="262">
        <v>26136.667292000002</v>
      </c>
      <c r="S25" s="262">
        <v>27943.772999999997</v>
      </c>
      <c r="T25" s="262">
        <v>213154.28159999999</v>
      </c>
      <c r="U25" s="262">
        <v>206874.408</v>
      </c>
      <c r="V25" s="262">
        <v>254752.6452</v>
      </c>
      <c r="W25" s="262">
        <v>3698.5474859999999</v>
      </c>
      <c r="X25" s="262">
        <v>11135.968999999999</v>
      </c>
      <c r="Y25" s="262">
        <v>11182.689200000001</v>
      </c>
      <c r="Z25" s="262">
        <v>6160.0319999999992</v>
      </c>
      <c r="AA25" s="262">
        <v>18280.246800000001</v>
      </c>
      <c r="AB25" s="262">
        <v>16546.717662999999</v>
      </c>
      <c r="AC25" s="262">
        <v>11743.094999999999</v>
      </c>
      <c r="AD25" s="262">
        <v>122308.4158</v>
      </c>
      <c r="AE25" s="262">
        <v>82133.759999999995</v>
      </c>
      <c r="AF25" s="262">
        <v>140356.7028</v>
      </c>
      <c r="AG25" s="262">
        <v>62733.335785000003</v>
      </c>
      <c r="AH25" s="262">
        <v>52708.123</v>
      </c>
      <c r="AI25" s="262">
        <v>160728.68400000001</v>
      </c>
      <c r="AJ25" s="262">
        <v>111222.79999999999</v>
      </c>
      <c r="AK25" s="262">
        <v>163929.01079999999</v>
      </c>
      <c r="AL25" s="76">
        <v>0.11151318922007429</v>
      </c>
      <c r="AM25" s="76">
        <v>5.5384615384615386E-2</v>
      </c>
      <c r="AN25" s="76">
        <v>6.9574944071588374E-2</v>
      </c>
      <c r="AO25" s="76">
        <v>0.77549668874172184</v>
      </c>
      <c r="AP25" s="76">
        <v>0.21176470588235294</v>
      </c>
      <c r="AQ25" s="76">
        <v>0.2910622367805335</v>
      </c>
      <c r="AR25" s="84"/>
      <c r="AS25" s="84"/>
      <c r="AT25" s="262">
        <v>46186.618122</v>
      </c>
      <c r="AU25" s="262">
        <v>40965.027999999998</v>
      </c>
      <c r="AV25" s="262">
        <v>38420.268199999999</v>
      </c>
      <c r="AW25" s="262">
        <v>29089.039999999997</v>
      </c>
      <c r="AX25" s="262">
        <v>23572.308000000001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65"/>
      <c r="BI25" s="65"/>
      <c r="BJ25" s="65"/>
    </row>
    <row r="26" spans="1:62" s="153" customFormat="1" ht="14.5" customHeight="1">
      <c r="A26" s="16"/>
      <c r="B26" s="11"/>
      <c r="C26" s="68"/>
      <c r="D26" s="68"/>
      <c r="E26" s="68"/>
      <c r="F26" s="344"/>
      <c r="G26" s="68" t="s">
        <v>397</v>
      </c>
      <c r="H26" s="334" t="s">
        <v>441</v>
      </c>
      <c r="I26" s="304" t="s">
        <v>378</v>
      </c>
      <c r="J26" s="200" t="s">
        <v>362</v>
      </c>
      <c r="K26" s="200" t="s">
        <v>363</v>
      </c>
      <c r="M26" s="154"/>
      <c r="O26" s="276" t="s">
        <v>199</v>
      </c>
      <c r="P26" s="254">
        <v>2004</v>
      </c>
      <c r="Q26" s="50" t="s">
        <v>212</v>
      </c>
      <c r="R26" s="262">
        <v>35591.295999999995</v>
      </c>
      <c r="S26" s="262">
        <v>59008.824000000001</v>
      </c>
      <c r="T26" s="262">
        <v>56753.484999999993</v>
      </c>
      <c r="U26" s="262">
        <v>46531.205999999998</v>
      </c>
      <c r="V26" s="262">
        <v>39247.205999999998</v>
      </c>
      <c r="W26" s="262">
        <v>8726.7119999999995</v>
      </c>
      <c r="X26" s="262">
        <v>37153.703999999998</v>
      </c>
      <c r="Y26" s="262">
        <v>37161.870999999999</v>
      </c>
      <c r="Z26" s="262">
        <v>31070.357999999997</v>
      </c>
      <c r="AA26" s="262">
        <v>27388.338</v>
      </c>
      <c r="AB26" s="262">
        <v>6380253.1439999994</v>
      </c>
      <c r="AC26" s="262">
        <v>5143758.5999999996</v>
      </c>
      <c r="AD26" s="262">
        <v>4952791.1169999996</v>
      </c>
      <c r="AE26" s="262">
        <v>4200742.1339999996</v>
      </c>
      <c r="AF26" s="262">
        <v>3787920.0869999998</v>
      </c>
      <c r="AG26" s="262">
        <v>6652150.1119999997</v>
      </c>
      <c r="AH26" s="262">
        <v>5519666.6639999999</v>
      </c>
      <c r="AI26" s="262">
        <v>5298909.6310000001</v>
      </c>
      <c r="AJ26" s="262">
        <v>4504904.5859999992</v>
      </c>
      <c r="AK26" s="262">
        <v>4067874.0779999997</v>
      </c>
      <c r="AL26" s="76">
        <v>6.7328382036510037E-3</v>
      </c>
      <c r="AM26" s="76">
        <v>6.8970068970068974E-3</v>
      </c>
      <c r="AN26" s="76">
        <v>7.0131165820593328E-3</v>
      </c>
      <c r="AO26" s="76">
        <v>9.7831568330811913E-2</v>
      </c>
      <c r="AP26" s="76">
        <v>0.10215053763440859</v>
      </c>
      <c r="AQ26" s="76">
        <v>0.10736747529200361</v>
      </c>
      <c r="AR26" s="84"/>
      <c r="AS26" s="84"/>
      <c r="AT26" s="262">
        <v>271896.96799999999</v>
      </c>
      <c r="AU26" s="262">
        <v>375908.06400000001</v>
      </c>
      <c r="AV26" s="262">
        <v>346118.51399999997</v>
      </c>
      <c r="AW26" s="262">
        <v>304162.45199999999</v>
      </c>
      <c r="AX26" s="262">
        <v>279953.99099999998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65"/>
      <c r="BI26" s="65"/>
      <c r="BJ26" s="65"/>
    </row>
    <row r="27" spans="1:62" s="153" customFormat="1" ht="14.5" customHeight="1">
      <c r="A27" s="16"/>
      <c r="B27" s="11"/>
      <c r="C27" s="68"/>
      <c r="D27" s="68"/>
      <c r="E27" s="68"/>
      <c r="F27" s="344"/>
      <c r="G27" s="68"/>
      <c r="H27" s="333" t="s">
        <v>398</v>
      </c>
      <c r="J27" s="200" t="s">
        <v>398</v>
      </c>
      <c r="K27" s="200" t="s">
        <v>364</v>
      </c>
      <c r="L27" s="153" t="s">
        <v>365</v>
      </c>
      <c r="M27" s="154"/>
      <c r="O27" s="276" t="s">
        <v>199</v>
      </c>
      <c r="P27" s="254">
        <v>2009</v>
      </c>
      <c r="Q27" s="50" t="s">
        <v>244</v>
      </c>
      <c r="R27" s="262">
        <v>0</v>
      </c>
      <c r="S27" s="262">
        <v>0</v>
      </c>
      <c r="T27" s="262">
        <v>2078.5485669999998</v>
      </c>
      <c r="U27" s="262">
        <v>0</v>
      </c>
      <c r="V27" s="262">
        <v>19140.377132000001</v>
      </c>
      <c r="W27" s="262">
        <v>15941.309051999999</v>
      </c>
      <c r="X27" s="262">
        <v>4764.5840880000005</v>
      </c>
      <c r="Y27" s="262">
        <v>-4690.3598929999998</v>
      </c>
      <c r="Z27" s="262">
        <v>9980.8318999999992</v>
      </c>
      <c r="AA27" s="262">
        <v>-33789.699983999999</v>
      </c>
      <c r="AB27" s="262">
        <v>261071.06402399999</v>
      </c>
      <c r="AC27" s="262">
        <v>274171.29220800003</v>
      </c>
      <c r="AD27" s="262">
        <v>264990.50729500002</v>
      </c>
      <c r="AE27" s="262">
        <v>340629.00091999996</v>
      </c>
      <c r="AF27" s="262">
        <v>316714.61332</v>
      </c>
      <c r="AG27" s="262">
        <v>469413.89686799998</v>
      </c>
      <c r="AH27" s="262">
        <v>483648.14797200001</v>
      </c>
      <c r="AI27" s="262">
        <v>454876.11532500002</v>
      </c>
      <c r="AJ27" s="262">
        <v>528285.89579999994</v>
      </c>
      <c r="AK27" s="262">
        <v>493141.85126800003</v>
      </c>
      <c r="AL27" s="76">
        <v>-6.85192301101957E-2</v>
      </c>
      <c r="AM27" s="76">
        <v>1.8892860815232844E-2</v>
      </c>
      <c r="AN27" s="76">
        <v>-1.0311290777817231E-2</v>
      </c>
      <c r="AO27" s="76">
        <v>-0.19152201427060342</v>
      </c>
      <c r="AP27" s="76">
        <v>5.3186643656298653E-2</v>
      </c>
      <c r="AQ27" s="76">
        <v>-2.470095469412361E-2</v>
      </c>
      <c r="AR27" s="84"/>
      <c r="AS27" s="84"/>
      <c r="AT27" s="262">
        <v>208342.83284399999</v>
      </c>
      <c r="AU27" s="262">
        <v>209476.85576400001</v>
      </c>
      <c r="AV27" s="262">
        <v>189885.77369100001</v>
      </c>
      <c r="AW27" s="262">
        <v>187656.73511000001</v>
      </c>
      <c r="AX27" s="262">
        <v>176427.23794799999</v>
      </c>
      <c r="AY27" s="17"/>
      <c r="AZ27" s="17"/>
      <c r="BA27" s="17"/>
      <c r="BB27" s="17"/>
      <c r="BC27" s="17"/>
      <c r="BD27" s="17"/>
      <c r="BE27" s="17"/>
      <c r="BF27" s="17"/>
      <c r="BG27" s="17"/>
      <c r="BH27" s="65"/>
      <c r="BI27" s="65"/>
      <c r="BJ27" s="65"/>
    </row>
    <row r="28" spans="1:62" s="153" customFormat="1" ht="14.5" customHeight="1">
      <c r="A28" s="16"/>
      <c r="B28" s="11"/>
      <c r="C28" s="68"/>
      <c r="D28" s="68"/>
      <c r="E28" s="68"/>
      <c r="F28" s="344"/>
      <c r="G28" s="68"/>
      <c r="H28" s="333" t="s">
        <v>399</v>
      </c>
      <c r="J28" s="200" t="s">
        <v>366</v>
      </c>
      <c r="K28" s="200"/>
      <c r="L28" s="153" t="s">
        <v>367</v>
      </c>
      <c r="M28" s="154"/>
      <c r="O28" s="276" t="s">
        <v>233</v>
      </c>
      <c r="P28" s="254">
        <v>2008</v>
      </c>
      <c r="Q28" s="50" t="s">
        <v>245</v>
      </c>
      <c r="R28" s="262">
        <v>262576.83988799999</v>
      </c>
      <c r="S28" s="262">
        <v>220537.200216</v>
      </c>
      <c r="T28" s="262">
        <v>190248.20450999998</v>
      </c>
      <c r="U28" s="262">
        <v>182456.72103000002</v>
      </c>
      <c r="V28" s="262">
        <v>152242.62419999999</v>
      </c>
      <c r="W28" s="262">
        <v>-14396.444964</v>
      </c>
      <c r="X28" s="262">
        <v>-113841.079573</v>
      </c>
      <c r="Y28" s="262">
        <v>-1969.48479</v>
      </c>
      <c r="Z28" s="262">
        <v>-8088.2125679999999</v>
      </c>
      <c r="AA28" s="262">
        <v>7937.2012319999994</v>
      </c>
      <c r="AB28" s="262">
        <v>191491.881372</v>
      </c>
      <c r="AC28" s="262">
        <v>167697.305012</v>
      </c>
      <c r="AD28" s="262">
        <v>123017.78736</v>
      </c>
      <c r="AE28" s="262">
        <v>411593.79824400001</v>
      </c>
      <c r="AF28" s="262">
        <v>203814.58321599997</v>
      </c>
      <c r="AG28" s="262">
        <v>314184.29723999999</v>
      </c>
      <c r="AH28" s="262">
        <v>311619.44028700003</v>
      </c>
      <c r="AI28" s="262">
        <v>376800.92891999998</v>
      </c>
      <c r="AJ28" s="262">
        <v>699387.13667399995</v>
      </c>
      <c r="AK28" s="262">
        <v>380272.29320799996</v>
      </c>
      <c r="AL28" s="76">
        <v>2.0872415302838111E-2</v>
      </c>
      <c r="AM28" s="76">
        <v>-1.156471451057027E-2</v>
      </c>
      <c r="AN28" s="76">
        <v>-5.2268575760813707E-3</v>
      </c>
      <c r="AO28" s="76">
        <v>4.4980799813816377E-2</v>
      </c>
      <c r="AP28" s="76">
        <v>-2.8104238312546267E-2</v>
      </c>
      <c r="AQ28" s="76">
        <v>-7.7605028367669169E-3</v>
      </c>
      <c r="AR28" s="84"/>
      <c r="AS28" s="84"/>
      <c r="AT28" s="262">
        <v>122692.415868</v>
      </c>
      <c r="AU28" s="262">
        <v>143922.13527500001</v>
      </c>
      <c r="AV28" s="262">
        <v>253783.14155999999</v>
      </c>
      <c r="AW28" s="262">
        <v>287793.33843</v>
      </c>
      <c r="AX28" s="262">
        <v>176457.53887999998</v>
      </c>
      <c r="AY28" s="17"/>
      <c r="AZ28" s="17"/>
      <c r="BA28" s="17"/>
      <c r="BB28" s="17"/>
      <c r="BC28" s="17"/>
      <c r="BD28" s="17"/>
      <c r="BE28" s="17"/>
      <c r="BF28" s="17"/>
      <c r="BG28" s="17"/>
      <c r="BH28" s="65"/>
      <c r="BI28" s="65"/>
      <c r="BJ28" s="65"/>
    </row>
    <row r="29" spans="1:62" s="153" customFormat="1" ht="14.5" customHeight="1">
      <c r="A29" s="16"/>
      <c r="B29" s="11"/>
      <c r="C29" s="68"/>
      <c r="D29" s="68"/>
      <c r="E29" s="68"/>
      <c r="F29" s="344"/>
      <c r="G29" s="68"/>
      <c r="H29" s="333" t="s">
        <v>400</v>
      </c>
      <c r="J29" s="200" t="s">
        <v>368</v>
      </c>
      <c r="K29" s="200"/>
      <c r="M29" s="154"/>
      <c r="O29" s="292" t="s">
        <v>235</v>
      </c>
      <c r="P29" s="254">
        <v>2008</v>
      </c>
      <c r="Q29" s="50" t="s">
        <v>256</v>
      </c>
      <c r="R29" s="66">
        <v>52777</v>
      </c>
      <c r="S29" s="66">
        <v>171837</v>
      </c>
      <c r="T29" s="66">
        <v>298303</v>
      </c>
      <c r="U29" s="66">
        <v>314608</v>
      </c>
      <c r="V29" s="66">
        <v>192981</v>
      </c>
      <c r="W29" s="66">
        <v>5567</v>
      </c>
      <c r="X29" s="66">
        <v>-15905</v>
      </c>
      <c r="Y29" s="66">
        <v>-90877</v>
      </c>
      <c r="Z29" s="66">
        <v>11035</v>
      </c>
      <c r="AA29" s="66">
        <v>56584</v>
      </c>
      <c r="AB29" s="71">
        <v>75143</v>
      </c>
      <c r="AC29" s="71">
        <v>31180</v>
      </c>
      <c r="AD29" s="71">
        <v>207788</v>
      </c>
      <c r="AE29" s="71">
        <v>267864</v>
      </c>
      <c r="AF29" s="71">
        <v>259436</v>
      </c>
      <c r="AG29" s="59">
        <v>200784</v>
      </c>
      <c r="AH29" s="59">
        <v>197249</v>
      </c>
      <c r="AI29" s="59">
        <v>373802</v>
      </c>
      <c r="AJ29" s="59">
        <v>572416</v>
      </c>
      <c r="AK29" s="59">
        <v>552680</v>
      </c>
      <c r="AL29" s="76">
        <f t="shared" ref="AL29" si="81">AA29/AK29</f>
        <v>0.10238112470145473</v>
      </c>
      <c r="AM29" s="76">
        <f t="shared" ref="AM29" si="82">Z29/AJ29</f>
        <v>1.9277937723613595E-2</v>
      </c>
      <c r="AN29" s="76">
        <f t="shared" ref="AN29" si="83">Y29/AI29</f>
        <v>-0.24311533913676225</v>
      </c>
      <c r="AO29" s="76">
        <f t="shared" ref="AO29" si="84">AA29/AX29</f>
        <v>0.19295810670258656</v>
      </c>
      <c r="AP29" s="76">
        <f t="shared" ref="AP29" si="85">Z29/AW29</f>
        <v>3.6233549607292019E-2</v>
      </c>
      <c r="AQ29" s="76">
        <f t="shared" ref="AQ29" si="86">Y29/AV29</f>
        <v>-0.54740564048815166</v>
      </c>
      <c r="AR29" s="84"/>
      <c r="AS29" s="84"/>
      <c r="AT29" s="66">
        <v>125641</v>
      </c>
      <c r="AU29" s="66">
        <v>166070</v>
      </c>
      <c r="AV29" s="66">
        <v>166014</v>
      </c>
      <c r="AW29" s="66">
        <v>304552</v>
      </c>
      <c r="AX29" s="66">
        <v>293245</v>
      </c>
      <c r="AY29" s="17"/>
      <c r="AZ29" s="17"/>
      <c r="BA29" s="17"/>
      <c r="BB29" s="17"/>
      <c r="BC29" s="17"/>
      <c r="BD29" s="17"/>
      <c r="BE29" s="17"/>
      <c r="BF29" s="17"/>
      <c r="BG29" s="17"/>
      <c r="BH29" s="65"/>
      <c r="BI29" s="65"/>
      <c r="BJ29" s="65"/>
    </row>
    <row r="30" spans="1:62" customFormat="1" ht="14.5" customHeight="1">
      <c r="A30" s="16"/>
      <c r="B30" s="11"/>
      <c r="C30" s="68"/>
      <c r="D30" s="68"/>
      <c r="E30" s="68"/>
      <c r="F30" s="344"/>
      <c r="G30" s="68"/>
      <c r="H30" s="334" t="s">
        <v>401</v>
      </c>
      <c r="J30" s="200" t="s">
        <v>369</v>
      </c>
      <c r="K30" s="200"/>
      <c r="M30" s="10"/>
      <c r="O30" s="276" t="s">
        <v>237</v>
      </c>
      <c r="P30" s="254">
        <v>2006</v>
      </c>
      <c r="Q30" s="50" t="s">
        <v>257</v>
      </c>
      <c r="R30" s="262">
        <v>45343.205309999998</v>
      </c>
      <c r="S30" s="262">
        <v>62112.467279999997</v>
      </c>
      <c r="T30" s="262">
        <v>51026.625071999995</v>
      </c>
      <c r="U30" s="262">
        <v>40224.972792</v>
      </c>
      <c r="V30" s="262">
        <v>42118.393852999994</v>
      </c>
      <c r="W30" s="262">
        <v>6001.9198200000001</v>
      </c>
      <c r="X30" s="262">
        <v>12208.188544000001</v>
      </c>
      <c r="Y30" s="262">
        <v>8090.0042479999993</v>
      </c>
      <c r="Z30" s="262">
        <v>4982.342928</v>
      </c>
      <c r="AA30" s="262">
        <v>8117.7697119999993</v>
      </c>
      <c r="AB30" s="262">
        <v>27077.180519999998</v>
      </c>
      <c r="AC30" s="262">
        <v>32326.961088</v>
      </c>
      <c r="AD30" s="262">
        <v>18561.545311999998</v>
      </c>
      <c r="AE30" s="262">
        <v>13281.044207999999</v>
      </c>
      <c r="AF30" s="262">
        <v>18460.587013999997</v>
      </c>
      <c r="AG30" s="262">
        <v>40763.717799999999</v>
      </c>
      <c r="AH30" s="262">
        <v>48174.198058000002</v>
      </c>
      <c r="AI30" s="262">
        <v>36209.694767999994</v>
      </c>
      <c r="AJ30" s="262">
        <v>27731.337336000001</v>
      </c>
      <c r="AK30" s="262">
        <v>35323.213574999994</v>
      </c>
      <c r="AL30" s="76">
        <v>0.22981402002861231</v>
      </c>
      <c r="AM30" s="76">
        <v>0.17966471892908209</v>
      </c>
      <c r="AN30" s="76">
        <v>0.22342094568412299</v>
      </c>
      <c r="AO30" s="76">
        <v>0.48139712865718159</v>
      </c>
      <c r="AP30" s="76">
        <v>0.34479182421191368</v>
      </c>
      <c r="AQ30" s="76">
        <v>0.45840524346021833</v>
      </c>
      <c r="AR30" s="84"/>
      <c r="AS30" s="84"/>
      <c r="AT30" s="262">
        <v>13686.53728</v>
      </c>
      <c r="AU30" s="262">
        <v>15847.23697</v>
      </c>
      <c r="AV30" s="262">
        <v>17648.149455999999</v>
      </c>
      <c r="AW30" s="262">
        <v>14450.293127999999</v>
      </c>
      <c r="AX30" s="262">
        <v>16862.937538999999</v>
      </c>
      <c r="AY30" s="17"/>
      <c r="AZ30" s="17"/>
      <c r="BA30" s="17"/>
      <c r="BB30" s="17"/>
      <c r="BC30" s="17"/>
      <c r="BD30" s="17"/>
      <c r="BE30" s="17"/>
      <c r="BF30" s="17"/>
      <c r="BG30" s="17"/>
      <c r="BH30" s="65"/>
      <c r="BI30" s="65"/>
      <c r="BJ30" s="65"/>
    </row>
    <row r="31" spans="1:62" s="166" customFormat="1" ht="14.5" customHeight="1">
      <c r="A31" s="16"/>
      <c r="B31" s="168"/>
      <c r="C31" s="68"/>
      <c r="D31" s="68"/>
      <c r="E31" s="68"/>
      <c r="F31" s="344"/>
      <c r="G31" s="68"/>
      <c r="H31" s="334" t="s">
        <v>402</v>
      </c>
      <c r="J31" s="200" t="s">
        <v>370</v>
      </c>
      <c r="K31" s="200"/>
      <c r="M31" s="167"/>
      <c r="O31" s="276" t="s">
        <v>239</v>
      </c>
      <c r="P31" s="254">
        <v>2005</v>
      </c>
      <c r="Q31" s="50" t="s">
        <v>258</v>
      </c>
      <c r="R31" s="262">
        <v>9115.1502</v>
      </c>
      <c r="S31" s="262">
        <v>9066.7115439999998</v>
      </c>
      <c r="T31" s="262">
        <v>8152.8964079999996</v>
      </c>
      <c r="U31" s="262">
        <v>8511.1568819999993</v>
      </c>
      <c r="V31" s="262">
        <v>8113.5259739999992</v>
      </c>
      <c r="W31" s="262">
        <v>-20.67539</v>
      </c>
      <c r="X31" s="262">
        <v>661.34787999999992</v>
      </c>
      <c r="Y31" s="262">
        <v>729.96100799999999</v>
      </c>
      <c r="Z31" s="262">
        <v>384.21331899999996</v>
      </c>
      <c r="AA31" s="262">
        <v>1706.9370839999999</v>
      </c>
      <c r="AB31" s="262">
        <v>5572.6468560000003</v>
      </c>
      <c r="AC31" s="262">
        <v>7262.5066159999997</v>
      </c>
      <c r="AD31" s="262">
        <v>5033.7024599999995</v>
      </c>
      <c r="AE31" s="262">
        <v>3921.7435579999997</v>
      </c>
      <c r="AF31" s="262">
        <v>3155.4996119999996</v>
      </c>
      <c r="AG31" s="262">
        <v>9447.5745139999999</v>
      </c>
      <c r="AH31" s="262">
        <v>11416.934863999999</v>
      </c>
      <c r="AI31" s="262">
        <v>8766.0886319999991</v>
      </c>
      <c r="AJ31" s="262">
        <v>8151.8218029999998</v>
      </c>
      <c r="AK31" s="262">
        <v>7633.9423619999998</v>
      </c>
      <c r="AL31" s="76">
        <v>0.22359837198886098</v>
      </c>
      <c r="AM31" s="76">
        <v>4.7132202872565657E-2</v>
      </c>
      <c r="AN31" s="76">
        <v>8.3271004736973325E-2</v>
      </c>
      <c r="AO31" s="76">
        <v>0.38114522821576768</v>
      </c>
      <c r="AP31" s="76">
        <v>9.0828891747840465E-2</v>
      </c>
      <c r="AQ31" s="76">
        <v>0.19557488811744531</v>
      </c>
      <c r="AR31" s="84"/>
      <c r="AS31" s="84"/>
      <c r="AT31" s="262">
        <v>3874.9276580000001</v>
      </c>
      <c r="AU31" s="262">
        <v>4154.4282479999993</v>
      </c>
      <c r="AV31" s="262">
        <v>3732.386172</v>
      </c>
      <c r="AW31" s="262">
        <v>4230.0782449999997</v>
      </c>
      <c r="AX31" s="262">
        <v>4478.4427499999993</v>
      </c>
      <c r="AY31" s="169"/>
      <c r="AZ31" s="169"/>
      <c r="BA31" s="169"/>
      <c r="BB31" s="169"/>
      <c r="BC31" s="169"/>
      <c r="BD31" s="169"/>
      <c r="BE31" s="169"/>
      <c r="BF31" s="169"/>
      <c r="BG31" s="169"/>
      <c r="BH31" s="65"/>
      <c r="BI31" s="65"/>
      <c r="BJ31" s="65"/>
    </row>
    <row r="32" spans="1:62" s="166" customFormat="1" ht="14.5" customHeight="1">
      <c r="A32" s="16"/>
      <c r="B32" s="168"/>
      <c r="C32" s="68"/>
      <c r="D32" s="68"/>
      <c r="E32" s="68"/>
      <c r="F32" s="344"/>
      <c r="G32" s="68"/>
      <c r="H32" s="334" t="s">
        <v>403</v>
      </c>
      <c r="J32" s="200" t="s">
        <v>371</v>
      </c>
      <c r="K32" s="200"/>
      <c r="M32" s="167"/>
      <c r="O32" s="276" t="s">
        <v>241</v>
      </c>
      <c r="P32" s="254">
        <v>2013</v>
      </c>
      <c r="Q32" s="50" t="s">
        <v>259</v>
      </c>
      <c r="R32" s="66">
        <v>3845</v>
      </c>
      <c r="S32" s="66">
        <v>4413</v>
      </c>
      <c r="T32" s="66">
        <v>4479</v>
      </c>
      <c r="U32" s="66">
        <v>1898.0262976884801</v>
      </c>
      <c r="V32" s="66">
        <v>874.86534878611599</v>
      </c>
      <c r="W32" s="66">
        <v>-44213</v>
      </c>
      <c r="X32" s="66">
        <v>-31788</v>
      </c>
      <c r="Y32" s="66">
        <v>-25796</v>
      </c>
      <c r="Z32" s="66">
        <v>-13695.065658867399</v>
      </c>
      <c r="AA32" s="66">
        <v>-8388.68939504027</v>
      </c>
      <c r="AB32" s="71">
        <v>20639</v>
      </c>
      <c r="AC32" s="71">
        <v>5170</v>
      </c>
      <c r="AD32" s="71">
        <v>4748</v>
      </c>
      <c r="AE32" s="71">
        <v>5867.7631019353903</v>
      </c>
      <c r="AF32" s="71">
        <v>1764.9910207092801</v>
      </c>
      <c r="AG32" s="59">
        <v>104134</v>
      </c>
      <c r="AH32" s="59">
        <v>29815</v>
      </c>
      <c r="AI32" s="59">
        <v>41059</v>
      </c>
      <c r="AJ32" s="59">
        <v>48253.124539822304</v>
      </c>
      <c r="AK32" s="59">
        <v>7177.9174040257903</v>
      </c>
      <c r="AL32" s="76">
        <f t="shared" ref="AL32" si="87">AA32/AK32</f>
        <v>-1.1686801230584527</v>
      </c>
      <c r="AM32" s="76">
        <f t="shared" ref="AM32" si="88">Z32/AJ32</f>
        <v>-0.2838171784619905</v>
      </c>
      <c r="AN32" s="76">
        <f t="shared" ref="AN32" si="89">Y32/AI32</f>
        <v>-0.6282666406877907</v>
      </c>
      <c r="AO32" s="76">
        <f t="shared" ref="AO32" si="90">AA32/AX32</f>
        <v>-1.549751243781093</v>
      </c>
      <c r="AP32" s="76">
        <f t="shared" ref="AP32" si="91">Z32/AW32</f>
        <v>-0.32310838445807832</v>
      </c>
      <c r="AQ32" s="76">
        <f t="shared" ref="AQ32" si="92">Y32/AV32</f>
        <v>-0.71041833053344716</v>
      </c>
      <c r="AR32" s="84"/>
      <c r="AS32" s="84"/>
      <c r="AT32" s="66">
        <v>83495</v>
      </c>
      <c r="AU32" s="66">
        <v>24645</v>
      </c>
      <c r="AV32" s="66">
        <v>36311</v>
      </c>
      <c r="AW32" s="66">
        <v>42385.361437886997</v>
      </c>
      <c r="AX32" s="66">
        <v>5412.9263833165196</v>
      </c>
      <c r="AY32" s="169"/>
      <c r="AZ32" s="169"/>
      <c r="BA32" s="169"/>
      <c r="BB32" s="169"/>
      <c r="BC32" s="169"/>
      <c r="BD32" s="169"/>
      <c r="BE32" s="169"/>
      <c r="BF32" s="169"/>
      <c r="BG32" s="169"/>
      <c r="BH32" s="65"/>
      <c r="BI32" s="65"/>
      <c r="BJ32" s="65"/>
    </row>
    <row r="33" spans="1:62" s="166" customFormat="1" ht="14.5" customHeight="1">
      <c r="A33" s="16"/>
      <c r="B33" s="168"/>
      <c r="C33" s="68"/>
      <c r="D33" s="68"/>
      <c r="E33" s="68"/>
      <c r="F33" s="344"/>
      <c r="G33" s="68"/>
      <c r="H33" s="334" t="s">
        <v>404</v>
      </c>
      <c r="J33" s="200" t="s">
        <v>372</v>
      </c>
      <c r="K33" s="200"/>
      <c r="M33" s="167"/>
      <c r="O33" s="276" t="s">
        <v>243</v>
      </c>
      <c r="P33" s="254">
        <v>2010</v>
      </c>
      <c r="Q33" s="50" t="s">
        <v>260</v>
      </c>
      <c r="R33" s="262">
        <v>61.977187999999998</v>
      </c>
      <c r="S33" s="262">
        <v>45.731783999999998</v>
      </c>
      <c r="T33" s="262">
        <v>67.687883999999997</v>
      </c>
      <c r="U33" s="262">
        <v>0</v>
      </c>
      <c r="V33" s="262">
        <v>0</v>
      </c>
      <c r="W33" s="262">
        <v>1212.1307730000001</v>
      </c>
      <c r="X33" s="262">
        <v>-11256.895823999999</v>
      </c>
      <c r="Y33" s="262">
        <v>-3766.5896400000001</v>
      </c>
      <c r="Z33" s="262">
        <v>670.43006700000001</v>
      </c>
      <c r="AA33" s="262">
        <v>-11580.768679999999</v>
      </c>
      <c r="AB33" s="262">
        <v>813.53572599999995</v>
      </c>
      <c r="AC33" s="262">
        <v>488.43608399999999</v>
      </c>
      <c r="AD33" s="262">
        <v>456.134184</v>
      </c>
      <c r="AE33" s="262">
        <v>894.56939999999997</v>
      </c>
      <c r="AF33" s="262">
        <v>959.09930999999995</v>
      </c>
      <c r="AG33" s="262">
        <v>80733.800719999999</v>
      </c>
      <c r="AH33" s="262">
        <v>79798.52459999999</v>
      </c>
      <c r="AI33" s="262">
        <v>93803.262696000005</v>
      </c>
      <c r="AJ33" s="262">
        <v>96478.978468000001</v>
      </c>
      <c r="AK33" s="262">
        <v>92349.296780000004</v>
      </c>
      <c r="AL33" s="76">
        <v>-0.12540180687665003</v>
      </c>
      <c r="AM33" s="76">
        <v>6.9489755970246637E-3</v>
      </c>
      <c r="AN33" s="76">
        <v>-4.0154143168845413E-2</v>
      </c>
      <c r="AO33" s="76">
        <v>-0.12671784283868667</v>
      </c>
      <c r="AP33" s="76">
        <v>7.0140106899970181E-3</v>
      </c>
      <c r="AQ33" s="76">
        <v>-4.035035356782074E-2</v>
      </c>
      <c r="AR33" s="84"/>
      <c r="AS33" s="84"/>
      <c r="AT33" s="262">
        <v>79920.264993999997</v>
      </c>
      <c r="AU33" s="262">
        <v>79310.088516000003</v>
      </c>
      <c r="AV33" s="262">
        <v>93347.128511999996</v>
      </c>
      <c r="AW33" s="262">
        <v>95584.409068000008</v>
      </c>
      <c r="AX33" s="262">
        <v>91390.197469999999</v>
      </c>
      <c r="AY33" s="169"/>
      <c r="AZ33" s="169"/>
      <c r="BA33" s="169"/>
      <c r="BB33" s="169"/>
      <c r="BC33" s="169"/>
      <c r="BD33" s="169"/>
      <c r="BE33" s="169"/>
      <c r="BF33" s="169"/>
      <c r="BG33" s="169"/>
      <c r="BH33" s="65"/>
      <c r="BI33" s="65"/>
      <c r="BJ33" s="65"/>
    </row>
    <row r="34" spans="1:62" s="166" customFormat="1" ht="14.5" customHeight="1">
      <c r="A34" s="16"/>
      <c r="B34" s="168"/>
      <c r="C34" s="68"/>
      <c r="D34" s="68"/>
      <c r="E34" s="68"/>
      <c r="F34" s="344"/>
      <c r="G34" s="68"/>
      <c r="H34" s="334" t="s">
        <v>405</v>
      </c>
      <c r="J34" s="200" t="s">
        <v>373</v>
      </c>
      <c r="K34" s="200"/>
      <c r="M34" s="167"/>
      <c r="O34" s="276" t="s">
        <v>199</v>
      </c>
      <c r="P34" s="254">
        <v>2010</v>
      </c>
      <c r="Q34" s="50" t="s">
        <v>309</v>
      </c>
      <c r="R34" s="262">
        <v>64535.449675000003</v>
      </c>
      <c r="S34" s="262">
        <v>72632.560356000002</v>
      </c>
      <c r="T34" s="262">
        <v>86006.654316</v>
      </c>
      <c r="U34" s="262">
        <v>96894.621916999997</v>
      </c>
      <c r="V34" s="262">
        <v>103975.59990999999</v>
      </c>
      <c r="W34" s="262">
        <v>-2330.6146960000001</v>
      </c>
      <c r="X34" s="262">
        <v>6413.2809719999996</v>
      </c>
      <c r="Y34" s="262">
        <v>5955.8194080000003</v>
      </c>
      <c r="Z34" s="262">
        <v>5228.758143</v>
      </c>
      <c r="AA34" s="262">
        <v>5910.2118399999999</v>
      </c>
      <c r="AB34" s="262">
        <v>41573.582588999998</v>
      </c>
      <c r="AC34" s="262">
        <v>33413.257475999999</v>
      </c>
      <c r="AD34" s="262">
        <v>17855.1351</v>
      </c>
      <c r="AE34" s="262">
        <v>18140.210822000001</v>
      </c>
      <c r="AF34" s="262">
        <v>34813.723229999996</v>
      </c>
      <c r="AG34" s="262">
        <v>73183.821406000003</v>
      </c>
      <c r="AH34" s="262">
        <v>67684.587635999997</v>
      </c>
      <c r="AI34" s="262">
        <v>49830.248555999999</v>
      </c>
      <c r="AJ34" s="262">
        <v>42275.030590000002</v>
      </c>
      <c r="AK34" s="262">
        <v>53047.474479999997</v>
      </c>
      <c r="AL34" s="76">
        <v>0.1114136327494398</v>
      </c>
      <c r="AM34" s="76">
        <v>0.12368431364865394</v>
      </c>
      <c r="AN34" s="76">
        <v>0.11952216937683462</v>
      </c>
      <c r="AO34" s="76">
        <v>0.32413581599123764</v>
      </c>
      <c r="AP34" s="76">
        <v>0.21664641805489776</v>
      </c>
      <c r="AQ34" s="76">
        <v>0.1862631746510498</v>
      </c>
      <c r="AR34" s="84"/>
      <c r="AS34" s="84"/>
      <c r="AT34" s="262">
        <v>31610.238817000001</v>
      </c>
      <c r="AU34" s="262">
        <v>34271.330159999998</v>
      </c>
      <c r="AV34" s="262">
        <v>31975.292052000001</v>
      </c>
      <c r="AW34" s="262">
        <v>24134.985429</v>
      </c>
      <c r="AX34" s="262">
        <v>18233.751250000001</v>
      </c>
      <c r="AY34" s="169"/>
      <c r="AZ34" s="169"/>
      <c r="BA34" s="169"/>
      <c r="BB34" s="169"/>
      <c r="BC34" s="169"/>
      <c r="BD34" s="169"/>
      <c r="BE34" s="169"/>
      <c r="BF34" s="169"/>
      <c r="BG34" s="169"/>
      <c r="BH34" s="65"/>
      <c r="BI34" s="65"/>
      <c r="BJ34" s="65"/>
    </row>
    <row r="35" spans="1:62" s="166" customFormat="1" ht="14.5" customHeight="1">
      <c r="A35" s="16"/>
      <c r="B35" s="168"/>
      <c r="C35" s="68"/>
      <c r="D35" s="68"/>
      <c r="E35" s="68"/>
      <c r="F35" s="344"/>
      <c r="G35" s="68"/>
      <c r="H35" s="334" t="s">
        <v>406</v>
      </c>
      <c r="J35" s="200" t="s">
        <v>374</v>
      </c>
      <c r="K35" s="200"/>
      <c r="M35" s="167"/>
      <c r="O35" s="276" t="s">
        <v>290</v>
      </c>
      <c r="P35" s="254">
        <v>2016</v>
      </c>
      <c r="Q35" s="50" t="s">
        <v>310</v>
      </c>
      <c r="R35" s="262">
        <v>8255.9433109999991</v>
      </c>
      <c r="S35" s="262">
        <v>4696.4142540000003</v>
      </c>
      <c r="T35" s="262">
        <v>4629.4427740000001</v>
      </c>
      <c r="U35" s="262">
        <v>4090.7801330000002</v>
      </c>
      <c r="V35" s="262">
        <v>5412.2783680000002</v>
      </c>
      <c r="W35" s="262">
        <v>18608.533061999999</v>
      </c>
      <c r="X35" s="262">
        <v>15144.980063999999</v>
      </c>
      <c r="Y35" s="262">
        <v>15012.305066000001</v>
      </c>
      <c r="Z35" s="262">
        <v>5905.3859590000002</v>
      </c>
      <c r="AA35" s="262">
        <v>-203.10951</v>
      </c>
      <c r="AB35" s="262">
        <v>162948.88263499999</v>
      </c>
      <c r="AC35" s="262">
        <v>71955.621851999997</v>
      </c>
      <c r="AD35" s="262">
        <v>65500.580112000003</v>
      </c>
      <c r="AE35" s="262">
        <v>58864.446266999999</v>
      </c>
      <c r="AF35" s="262">
        <v>61211.988821999999</v>
      </c>
      <c r="AG35" s="262">
        <v>349944.50346099999</v>
      </c>
      <c r="AH35" s="262">
        <v>192785.47529999999</v>
      </c>
      <c r="AI35" s="262">
        <v>171711.53978000002</v>
      </c>
      <c r="AJ35" s="262">
        <v>153253.35531000001</v>
      </c>
      <c r="AK35" s="262">
        <v>72442.516126000002</v>
      </c>
      <c r="AL35" s="76">
        <v>-2.8037335098456489E-3</v>
      </c>
      <c r="AM35" s="76">
        <v>3.8533485593542922E-2</v>
      </c>
      <c r="AN35" s="76">
        <v>8.742746751461225E-2</v>
      </c>
      <c r="AO35" s="76">
        <v>-1.8085682997245663E-2</v>
      </c>
      <c r="AP35" s="76">
        <v>6.2564405276786597E-2</v>
      </c>
      <c r="AQ35" s="76">
        <v>0.1413443793834927</v>
      </c>
      <c r="AR35" s="84"/>
      <c r="AS35" s="84"/>
      <c r="AT35" s="262">
        <v>186995.620826</v>
      </c>
      <c r="AU35" s="262">
        <v>120829.607556</v>
      </c>
      <c r="AV35" s="262">
        <v>106210.838602</v>
      </c>
      <c r="AW35" s="262">
        <v>94388.909043000007</v>
      </c>
      <c r="AX35" s="262">
        <v>11230.403078000001</v>
      </c>
      <c r="AY35" s="169"/>
      <c r="AZ35" s="169"/>
      <c r="BA35" s="169"/>
      <c r="BB35" s="169"/>
      <c r="BC35" s="169"/>
      <c r="BD35" s="169"/>
      <c r="BE35" s="169"/>
      <c r="BF35" s="169"/>
      <c r="BG35" s="169"/>
      <c r="BH35" s="65"/>
      <c r="BI35" s="65"/>
      <c r="BJ35" s="65"/>
    </row>
    <row r="36" spans="1:62" s="166" customFormat="1" ht="14.5" customHeight="1">
      <c r="A36" s="16"/>
      <c r="B36" s="168"/>
      <c r="C36" s="68"/>
      <c r="D36" s="68"/>
      <c r="E36" s="68"/>
      <c r="F36" s="344"/>
      <c r="G36" s="68"/>
      <c r="H36" s="334" t="s">
        <v>407</v>
      </c>
      <c r="J36" s="200" t="s">
        <v>375</v>
      </c>
      <c r="K36" s="200"/>
      <c r="M36" s="167"/>
      <c r="O36" s="276" t="s">
        <v>292</v>
      </c>
      <c r="P36" s="254">
        <v>2008</v>
      </c>
      <c r="Q36" s="50" t="s">
        <v>311</v>
      </c>
      <c r="R36" s="262">
        <v>292775.99472000002</v>
      </c>
      <c r="S36" s="262">
        <v>321159.028972</v>
      </c>
      <c r="T36" s="262">
        <v>240863.02096999998</v>
      </c>
      <c r="U36" s="262">
        <v>347438.06307400001</v>
      </c>
      <c r="V36" s="262">
        <v>202967.40770399998</v>
      </c>
      <c r="W36" s="262">
        <v>95543.144928000009</v>
      </c>
      <c r="X36" s="262">
        <v>113412.183244</v>
      </c>
      <c r="Y36" s="262">
        <v>76435.885240000003</v>
      </c>
      <c r="Z36" s="262">
        <v>114435.946432</v>
      </c>
      <c r="AA36" s="262">
        <v>59960.724815999994</v>
      </c>
      <c r="AB36" s="262">
        <v>502591.46850000002</v>
      </c>
      <c r="AC36" s="262">
        <v>619188.96610700001</v>
      </c>
      <c r="AD36" s="262">
        <v>481249.28826</v>
      </c>
      <c r="AE36" s="262">
        <v>577360.62532200001</v>
      </c>
      <c r="AF36" s="262">
        <v>593905.79631999996</v>
      </c>
      <c r="AG36" s="262">
        <v>1009534.249944</v>
      </c>
      <c r="AH36" s="262">
        <v>1049373.972026</v>
      </c>
      <c r="AI36" s="262">
        <v>896254.89888999995</v>
      </c>
      <c r="AJ36" s="262">
        <v>1019833.028638</v>
      </c>
      <c r="AK36" s="262">
        <v>940061.60785599996</v>
      </c>
      <c r="AL36" s="76">
        <v>6.3783824714161566E-2</v>
      </c>
      <c r="AM36" s="76">
        <v>0.11221047290930621</v>
      </c>
      <c r="AN36" s="76">
        <v>8.5283645684575735E-2</v>
      </c>
      <c r="AO36" s="76">
        <v>0.17321897381927723</v>
      </c>
      <c r="AP36" s="76">
        <v>0.25862833269744062</v>
      </c>
      <c r="AQ36" s="76">
        <v>0.18418036595689966</v>
      </c>
      <c r="AR36" s="84"/>
      <c r="AS36" s="84"/>
      <c r="AT36" s="262">
        <v>506942.60284800001</v>
      </c>
      <c r="AU36" s="262">
        <v>430184.84025800001</v>
      </c>
      <c r="AV36" s="262">
        <v>415005.61063000001</v>
      </c>
      <c r="AW36" s="262">
        <v>442472.583102</v>
      </c>
      <c r="AX36" s="262">
        <v>346155.64042399998</v>
      </c>
      <c r="AY36" s="169"/>
      <c r="AZ36" s="169"/>
      <c r="BA36" s="169"/>
      <c r="BB36" s="169"/>
      <c r="BC36" s="169"/>
      <c r="BD36" s="169"/>
      <c r="BE36" s="169"/>
      <c r="BF36" s="169"/>
      <c r="BG36" s="169"/>
      <c r="BH36" s="65"/>
      <c r="BI36" s="65"/>
      <c r="BJ36" s="65"/>
    </row>
    <row r="37" spans="1:62" s="166" customFormat="1" ht="14.5" customHeight="1">
      <c r="A37" s="16"/>
      <c r="B37" s="168"/>
      <c r="C37" s="68"/>
      <c r="D37" s="68"/>
      <c r="E37" s="68"/>
      <c r="F37" s="344"/>
      <c r="G37" s="68"/>
      <c r="H37" s="334" t="s">
        <v>408</v>
      </c>
      <c r="J37" s="200" t="s">
        <v>376</v>
      </c>
      <c r="K37" s="200"/>
      <c r="M37" s="167"/>
      <c r="O37" s="276" t="s">
        <v>294</v>
      </c>
      <c r="P37" s="254">
        <v>2008</v>
      </c>
      <c r="Q37" s="50" t="s">
        <v>313</v>
      </c>
      <c r="R37" s="262">
        <v>107871.984</v>
      </c>
      <c r="S37" s="262">
        <v>119441.58100000001</v>
      </c>
      <c r="T37" s="262">
        <v>122703.36</v>
      </c>
      <c r="U37" s="262">
        <v>121391.50720000001</v>
      </c>
      <c r="V37" s="262">
        <v>113276.14399999999</v>
      </c>
      <c r="W37" s="262">
        <v>15359.256000000001</v>
      </c>
      <c r="X37" s="262">
        <v>-93764.126000000004</v>
      </c>
      <c r="Y37" s="262">
        <v>-54481.57</v>
      </c>
      <c r="Z37" s="262">
        <v>-194402.6018</v>
      </c>
      <c r="AA37" s="262">
        <v>-698308.07199999993</v>
      </c>
      <c r="AB37" s="262">
        <v>77510.664000000004</v>
      </c>
      <c r="AC37" s="262">
        <v>107513.989</v>
      </c>
      <c r="AD37" s="262">
        <v>463972.07999999996</v>
      </c>
      <c r="AE37" s="262">
        <v>878326.52439999999</v>
      </c>
      <c r="AF37" s="262">
        <v>1264175.456</v>
      </c>
      <c r="AG37" s="262">
        <v>526143.81599999999</v>
      </c>
      <c r="AH37" s="262">
        <v>1057911.1459999999</v>
      </c>
      <c r="AI37" s="262">
        <v>1471002.39</v>
      </c>
      <c r="AJ37" s="262">
        <v>2115362.0759999999</v>
      </c>
      <c r="AK37" s="262">
        <v>2625029.1919999998</v>
      </c>
      <c r="AL37" s="76">
        <v>-0.26601916433087802</v>
      </c>
      <c r="AM37" s="76">
        <v>-9.1900390956994732E-2</v>
      </c>
      <c r="AN37" s="76">
        <v>-3.7037037037037042E-2</v>
      </c>
      <c r="AO37" s="76">
        <v>-0.51307518229821469</v>
      </c>
      <c r="AP37" s="76">
        <v>-0.15715199255878848</v>
      </c>
      <c r="AQ37" s="76">
        <v>-5.410122164048866E-2</v>
      </c>
      <c r="AR37" s="84"/>
      <c r="AS37" s="84"/>
      <c r="AT37" s="262">
        <v>448633.152</v>
      </c>
      <c r="AU37" s="262">
        <v>950397.15700000001</v>
      </c>
      <c r="AV37" s="262">
        <v>1007030.3099999999</v>
      </c>
      <c r="AW37" s="262">
        <v>1237035.5516000001</v>
      </c>
      <c r="AX37" s="262">
        <v>1361024.848</v>
      </c>
      <c r="AY37" s="169"/>
      <c r="AZ37" s="169"/>
      <c r="BA37" s="169"/>
      <c r="BB37" s="169"/>
      <c r="BC37" s="169"/>
      <c r="BD37" s="169"/>
      <c r="BE37" s="169"/>
      <c r="BF37" s="169"/>
      <c r="BG37" s="169"/>
      <c r="BH37" s="65"/>
      <c r="BI37" s="65"/>
      <c r="BJ37" s="65"/>
    </row>
    <row r="38" spans="1:62" s="166" customFormat="1" ht="14.5" customHeight="1">
      <c r="A38" s="16"/>
      <c r="B38" s="168"/>
      <c r="C38" s="68"/>
      <c r="D38" s="68"/>
      <c r="E38" s="68"/>
      <c r="F38" s="344"/>
      <c r="G38" s="68"/>
      <c r="H38" s="334" t="s">
        <v>409</v>
      </c>
      <c r="I38" s="303" t="s">
        <v>378</v>
      </c>
      <c r="J38" s="200" t="s">
        <v>377</v>
      </c>
      <c r="K38" s="200"/>
      <c r="M38" s="167"/>
      <c r="O38" s="276" t="s">
        <v>296</v>
      </c>
      <c r="P38" s="254">
        <v>2008</v>
      </c>
      <c r="Q38" s="50" t="s">
        <v>314</v>
      </c>
      <c r="R38" s="262">
        <v>26730.999108</v>
      </c>
      <c r="S38" s="262">
        <v>22478.541089999999</v>
      </c>
      <c r="T38" s="262">
        <v>18688.137129999999</v>
      </c>
      <c r="U38" s="262">
        <v>20075.803690000001</v>
      </c>
      <c r="V38" s="262">
        <v>4083.9301039999996</v>
      </c>
      <c r="W38" s="262">
        <v>6081.7295880000001</v>
      </c>
      <c r="X38" s="262">
        <v>3446.9084269999998</v>
      </c>
      <c r="Y38" s="262">
        <v>2076.6904599999998</v>
      </c>
      <c r="Z38" s="262">
        <v>3858.926704</v>
      </c>
      <c r="AA38" s="262">
        <v>-48.766919999999999</v>
      </c>
      <c r="AB38" s="262">
        <v>10962.043884000001</v>
      </c>
      <c r="AC38" s="262">
        <v>7103.2123579999998</v>
      </c>
      <c r="AD38" s="262">
        <v>4028.2810099999997</v>
      </c>
      <c r="AE38" s="262">
        <v>5061.5152580000004</v>
      </c>
      <c r="AF38" s="262">
        <v>3270.9769919999999</v>
      </c>
      <c r="AG38" s="262">
        <v>50171.188320000001</v>
      </c>
      <c r="AH38" s="262">
        <v>37831.174265000001</v>
      </c>
      <c r="AI38" s="262">
        <v>31485.234819999998</v>
      </c>
      <c r="AJ38" s="262">
        <v>33702.144202000003</v>
      </c>
      <c r="AK38" s="262">
        <v>25802.834039999998</v>
      </c>
      <c r="AL38" s="76">
        <v>-1.8899830896249876E-3</v>
      </c>
      <c r="AM38" s="76">
        <v>0.11450092554559178</v>
      </c>
      <c r="AN38" s="76">
        <v>6.595759796210407E-2</v>
      </c>
      <c r="AO38" s="76">
        <v>-2.1643542250472741E-3</v>
      </c>
      <c r="AP38" s="76">
        <v>0.13473610204389092</v>
      </c>
      <c r="AQ38" s="76">
        <v>7.5634848590647757E-2</v>
      </c>
      <c r="AR38" s="84"/>
      <c r="AS38" s="84"/>
      <c r="AT38" s="262">
        <v>39208.965840000004</v>
      </c>
      <c r="AU38" s="262">
        <v>30727.796246000002</v>
      </c>
      <c r="AV38" s="262">
        <v>27456.794040000001</v>
      </c>
      <c r="AW38" s="262">
        <v>28640.628944</v>
      </c>
      <c r="AX38" s="262">
        <v>22531.857047999998</v>
      </c>
      <c r="AY38" s="169"/>
      <c r="AZ38" s="169"/>
      <c r="BA38" s="169"/>
      <c r="BB38" s="169"/>
      <c r="BC38" s="169"/>
      <c r="BD38" s="169"/>
      <c r="BE38" s="169"/>
      <c r="BF38" s="169"/>
      <c r="BG38" s="169"/>
      <c r="BH38" s="65"/>
      <c r="BI38" s="65"/>
      <c r="BJ38" s="65"/>
    </row>
    <row r="39" spans="1:62" s="200" customFormat="1" ht="14.5" customHeight="1">
      <c r="F39" s="87"/>
      <c r="H39" s="334" t="s">
        <v>409</v>
      </c>
      <c r="I39" s="303" t="s">
        <v>378</v>
      </c>
      <c r="J39" s="200" t="s">
        <v>377</v>
      </c>
      <c r="O39" s="276" t="s">
        <v>296</v>
      </c>
      <c r="P39" s="254">
        <v>2008</v>
      </c>
      <c r="Q39" s="50" t="s">
        <v>315</v>
      </c>
      <c r="R39" s="262">
        <v>1588.9686120000001</v>
      </c>
      <c r="S39" s="262">
        <v>2707.232062</v>
      </c>
      <c r="T39" s="262">
        <v>1897.4285199999999</v>
      </c>
      <c r="U39" s="262">
        <v>2209.9295120000002</v>
      </c>
      <c r="V39" s="262">
        <v>1761.9402639999998</v>
      </c>
      <c r="W39" s="262">
        <v>6931.489356</v>
      </c>
      <c r="X39" s="262">
        <v>5579.6281410000001</v>
      </c>
      <c r="Y39" s="262">
        <v>5433.6179299999994</v>
      </c>
      <c r="Z39" s="262">
        <v>-2769.0639719999999</v>
      </c>
      <c r="AA39" s="262">
        <v>2856.8859519999996</v>
      </c>
      <c r="AB39" s="262">
        <v>27181.954008000001</v>
      </c>
      <c r="AC39" s="262">
        <v>48416.415182000004</v>
      </c>
      <c r="AD39" s="262">
        <v>44979.409019999999</v>
      </c>
      <c r="AE39" s="262">
        <v>32579.919989999999</v>
      </c>
      <c r="AF39" s="262">
        <v>11144.011224</v>
      </c>
      <c r="AG39" s="262">
        <v>41282.822592000004</v>
      </c>
      <c r="AH39" s="262">
        <v>61751.79436</v>
      </c>
      <c r="AI39" s="262">
        <v>52459.361109999998</v>
      </c>
      <c r="AJ39" s="262">
        <v>46388.923078</v>
      </c>
      <c r="AK39" s="262">
        <v>21368.124335999997</v>
      </c>
      <c r="AL39" s="76">
        <v>0.13369848972597256</v>
      </c>
      <c r="AM39" s="76">
        <v>-5.9692353007290047E-2</v>
      </c>
      <c r="AN39" s="76">
        <v>0.10357766116530578</v>
      </c>
      <c r="AO39" s="76">
        <v>0.27942628575253969</v>
      </c>
      <c r="AP39" s="76">
        <v>-0.20052598687636705</v>
      </c>
      <c r="AQ39" s="76">
        <v>0.72642416216331673</v>
      </c>
      <c r="AR39" s="84"/>
      <c r="AS39" s="84"/>
      <c r="AT39" s="262">
        <v>14100.868584</v>
      </c>
      <c r="AU39" s="262">
        <v>13335.379178000001</v>
      </c>
      <c r="AV39" s="262">
        <v>7479.9520899999998</v>
      </c>
      <c r="AW39" s="262">
        <v>13809.003087999999</v>
      </c>
      <c r="AX39" s="262">
        <v>10224.113111999999</v>
      </c>
      <c r="AY39" s="209"/>
      <c r="AZ39" s="209"/>
      <c r="BA39" s="209"/>
      <c r="BB39" s="209"/>
      <c r="BC39" s="209"/>
      <c r="BD39" s="209"/>
      <c r="BE39" s="209"/>
      <c r="BF39" s="209"/>
      <c r="BG39" s="209"/>
      <c r="BH39" s="65"/>
      <c r="BI39" s="65"/>
      <c r="BJ39" s="65"/>
    </row>
    <row r="40" spans="1:62" s="252" customFormat="1" ht="14.5" customHeight="1">
      <c r="F40" s="345"/>
      <c r="H40" s="334" t="s">
        <v>410</v>
      </c>
      <c r="J40" s="204" t="s">
        <v>379</v>
      </c>
      <c r="O40" s="276" t="s">
        <v>300</v>
      </c>
      <c r="P40" s="254">
        <v>2006</v>
      </c>
      <c r="Q40" s="50" t="s">
        <v>316</v>
      </c>
      <c r="R40" s="262">
        <v>146364.33838</v>
      </c>
      <c r="S40" s="262">
        <v>140302.83696799999</v>
      </c>
      <c r="T40" s="262">
        <v>132126.86859199998</v>
      </c>
      <c r="U40" s="262">
        <v>113677.221168</v>
      </c>
      <c r="V40" s="262">
        <v>91141.121261999986</v>
      </c>
      <c r="W40" s="262">
        <v>1642.59537</v>
      </c>
      <c r="X40" s="262">
        <v>626.19463800000005</v>
      </c>
      <c r="Y40" s="262">
        <v>3301.4349279999997</v>
      </c>
      <c r="Z40" s="262">
        <v>1045.299168</v>
      </c>
      <c r="AA40" s="262">
        <v>2387.6890839999996</v>
      </c>
      <c r="AB40" s="262">
        <v>38682.553780000002</v>
      </c>
      <c r="AC40" s="262">
        <v>34096.774471999997</v>
      </c>
      <c r="AD40" s="262">
        <v>41591.338279999996</v>
      </c>
      <c r="AE40" s="262">
        <v>84820.657368</v>
      </c>
      <c r="AF40" s="262">
        <v>64013.888365999992</v>
      </c>
      <c r="AG40" s="262">
        <v>131324.54920000001</v>
      </c>
      <c r="AH40" s="262">
        <v>136496.94713399999</v>
      </c>
      <c r="AI40" s="262">
        <v>138455.103688</v>
      </c>
      <c r="AJ40" s="262">
        <v>133746.777864</v>
      </c>
      <c r="AK40" s="262">
        <v>91975.94170299999</v>
      </c>
      <c r="AL40" s="76">
        <v>2.5959930823106974E-2</v>
      </c>
      <c r="AM40" s="76">
        <v>7.8155091636144623E-3</v>
      </c>
      <c r="AN40" s="76">
        <v>2.3844804850528145E-2</v>
      </c>
      <c r="AO40" s="76">
        <v>8.5390334365772688E-2</v>
      </c>
      <c r="AP40" s="76">
        <v>2.1364848825188573E-2</v>
      </c>
      <c r="AQ40" s="76">
        <v>3.4083401344681512E-2</v>
      </c>
      <c r="AR40" s="84"/>
      <c r="AS40" s="180"/>
      <c r="AT40" s="262">
        <v>92641.835649999994</v>
      </c>
      <c r="AU40" s="262">
        <v>102399.81309</v>
      </c>
      <c r="AV40" s="262">
        <v>96863.423183999999</v>
      </c>
      <c r="AW40" s="262">
        <v>48926.120495999996</v>
      </c>
      <c r="AX40" s="262">
        <v>27962.053336999998</v>
      </c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</row>
    <row r="41" spans="1:62" customFormat="1" ht="14.5" customHeight="1">
      <c r="A41" s="16"/>
      <c r="B41" s="16"/>
      <c r="C41" s="16"/>
      <c r="D41" s="16"/>
      <c r="E41" s="16"/>
      <c r="F41" s="341"/>
      <c r="G41" s="16"/>
      <c r="H41" s="334" t="s">
        <v>411</v>
      </c>
      <c r="I41" s="65" t="s">
        <v>381</v>
      </c>
      <c r="J41" s="209" t="s">
        <v>380</v>
      </c>
      <c r="K41" s="209"/>
      <c r="L41" s="17"/>
      <c r="M41" s="17"/>
      <c r="N41" s="17"/>
      <c r="O41" s="276" t="s">
        <v>302</v>
      </c>
      <c r="P41" s="254">
        <v>2005</v>
      </c>
      <c r="Q41" s="50" t="s">
        <v>305</v>
      </c>
      <c r="R41" s="262">
        <v>25168.062354000002</v>
      </c>
      <c r="S41" s="262">
        <v>20810.128103999999</v>
      </c>
      <c r="T41" s="262">
        <v>15914.430059999999</v>
      </c>
      <c r="U41" s="262">
        <v>13734.343369999999</v>
      </c>
      <c r="V41" s="262">
        <v>11439.838223999999</v>
      </c>
      <c r="W41" s="262">
        <v>4906.000368</v>
      </c>
      <c r="X41" s="262">
        <v>3813.5731439999995</v>
      </c>
      <c r="Y41" s="262">
        <v>2506.6261559999998</v>
      </c>
      <c r="Z41" s="262">
        <v>2308.5451829999997</v>
      </c>
      <c r="AA41" s="262">
        <v>696.332808</v>
      </c>
      <c r="AB41" s="262">
        <v>15563.894233999999</v>
      </c>
      <c r="AC41" s="262">
        <v>14583.533535999999</v>
      </c>
      <c r="AD41" s="262">
        <v>10051.950228</v>
      </c>
      <c r="AE41" s="262">
        <v>9536.762326</v>
      </c>
      <c r="AF41" s="262">
        <v>5553.4176719999996</v>
      </c>
      <c r="AG41" s="262">
        <v>18275.606471999999</v>
      </c>
      <c r="AH41" s="262">
        <v>16921.607904</v>
      </c>
      <c r="AI41" s="262">
        <v>11909.167104</v>
      </c>
      <c r="AJ41" s="262">
        <v>11666.650647999999</v>
      </c>
      <c r="AK41" s="262">
        <v>8254.9035359999998</v>
      </c>
      <c r="AL41" s="76">
        <v>8.4353839504394179E-2</v>
      </c>
      <c r="AM41" s="76">
        <v>0.19787557308881543</v>
      </c>
      <c r="AN41" s="76">
        <v>0.21047871224832213</v>
      </c>
      <c r="AO41" s="76">
        <v>0.25775918996257979</v>
      </c>
      <c r="AP41" s="76">
        <v>1.0838808585194919</v>
      </c>
      <c r="AQ41" s="76">
        <v>1.3495545469826862</v>
      </c>
      <c r="AR41" s="84"/>
      <c r="AS41" s="84"/>
      <c r="AT41" s="262">
        <v>2711.7122380000001</v>
      </c>
      <c r="AU41" s="262">
        <v>2338.2454799999996</v>
      </c>
      <c r="AV41" s="262">
        <v>1857.3729839999999</v>
      </c>
      <c r="AW41" s="262">
        <v>2129.8883219999998</v>
      </c>
      <c r="AX41" s="262">
        <v>2701.4858639999998</v>
      </c>
      <c r="AY41" s="17"/>
      <c r="AZ41" s="17"/>
      <c r="BA41" s="17"/>
      <c r="BB41" s="17"/>
      <c r="BC41" s="17"/>
      <c r="BD41" s="17"/>
      <c r="BE41" s="17"/>
      <c r="BF41" s="17"/>
      <c r="BG41" s="17"/>
      <c r="BH41" s="65"/>
      <c r="BI41" s="65"/>
      <c r="BJ41" s="65"/>
    </row>
    <row r="42" spans="1:62" customFormat="1" ht="29.25" customHeight="1">
      <c r="A42" s="16"/>
      <c r="B42" s="16"/>
      <c r="C42" s="16"/>
      <c r="D42" s="16"/>
      <c r="E42" s="16"/>
      <c r="F42" s="341"/>
      <c r="G42" s="16"/>
      <c r="H42" s="334" t="s">
        <v>396</v>
      </c>
      <c r="I42" s="304" t="s">
        <v>378</v>
      </c>
      <c r="J42" s="200" t="s">
        <v>362</v>
      </c>
      <c r="K42" s="200" t="s">
        <v>363</v>
      </c>
      <c r="L42" s="17"/>
      <c r="M42" s="17"/>
      <c r="N42" s="17"/>
      <c r="O42" s="263">
        <v>0.17899999999999999</v>
      </c>
      <c r="P42" s="254">
        <v>2005</v>
      </c>
      <c r="Q42" s="73" t="s">
        <v>326</v>
      </c>
      <c r="R42" s="80">
        <v>38867.716023236499</v>
      </c>
      <c r="S42" s="80">
        <v>46526.987310588396</v>
      </c>
      <c r="T42" s="80">
        <v>26727.955733567498</v>
      </c>
      <c r="U42" s="80">
        <v>22691.1373403221</v>
      </c>
      <c r="V42" s="80">
        <v>23975.165405720498</v>
      </c>
      <c r="W42" s="80">
        <v>1011.42861664295</v>
      </c>
      <c r="X42" s="80">
        <v>11779.112817346999</v>
      </c>
      <c r="Y42" s="80">
        <v>3062.4601168334498</v>
      </c>
      <c r="Z42" s="80">
        <v>13337.813866898401</v>
      </c>
      <c r="AA42" s="80">
        <v>8826.4900083541906</v>
      </c>
      <c r="AB42" s="75">
        <v>1393638.9194433701</v>
      </c>
      <c r="AC42" s="75">
        <v>2381988.1828334397</v>
      </c>
      <c r="AD42" s="75">
        <v>1738757.37829783</v>
      </c>
      <c r="AE42" s="75">
        <v>1140443.57306434</v>
      </c>
      <c r="AF42" s="75">
        <v>1148789.5620043799</v>
      </c>
      <c r="AG42" s="79">
        <v>1504897.2101312899</v>
      </c>
      <c r="AH42" s="79">
        <v>2525945.11521381</v>
      </c>
      <c r="AI42" s="79">
        <v>1861330.38361144</v>
      </c>
      <c r="AJ42" s="79">
        <v>1250951.1061510001</v>
      </c>
      <c r="AK42" s="79">
        <v>1231802.8064932101</v>
      </c>
      <c r="AL42" s="76">
        <f t="shared" ref="AL42:AL44" si="93">AA42/AK42</f>
        <v>7.1655056814508428E-3</v>
      </c>
      <c r="AM42" s="76">
        <f t="shared" ref="AM42" si="94">Z42/AJ42</f>
        <v>1.0662138433161446E-2</v>
      </c>
      <c r="AN42" s="76">
        <f t="shared" ref="AN42" si="95">Y42/AI42</f>
        <v>1.6453071114068004E-3</v>
      </c>
      <c r="AO42" s="76">
        <f t="shared" ref="AO42" si="96">AA42/AX42</f>
        <v>0.10632607433970015</v>
      </c>
      <c r="AP42" s="76">
        <f t="shared" ref="AP42" si="97">Z42/AW42</f>
        <v>0.12069613104586754</v>
      </c>
      <c r="AQ42" s="76">
        <f t="shared" ref="AQ42" si="98">Y42/AV42</f>
        <v>2.4984817009120305E-2</v>
      </c>
      <c r="AR42" s="85"/>
      <c r="AS42" s="85"/>
      <c r="AT42" s="80">
        <v>111258.147830769</v>
      </c>
      <c r="AU42" s="80">
        <v>143957.11722326299</v>
      </c>
      <c r="AV42" s="80">
        <v>122572.845569193</v>
      </c>
      <c r="AW42" s="80">
        <v>110507.38537617</v>
      </c>
      <c r="AX42" s="80">
        <v>83013.4100517482</v>
      </c>
      <c r="AY42" s="17"/>
      <c r="AZ42" s="17"/>
      <c r="BA42" s="17"/>
      <c r="BB42" s="17"/>
      <c r="BC42" s="17"/>
      <c r="BD42" s="17"/>
      <c r="BE42" s="17"/>
      <c r="BF42" s="17"/>
      <c r="BG42" s="17"/>
      <c r="BH42" s="65"/>
      <c r="BI42" s="65"/>
      <c r="BJ42" s="65"/>
    </row>
    <row r="43" spans="1:62" customFormat="1" ht="19.25" customHeight="1">
      <c r="A43" s="16"/>
      <c r="B43" s="16"/>
      <c r="C43" s="16"/>
      <c r="D43" s="16"/>
      <c r="E43" s="16"/>
      <c r="F43" s="341"/>
      <c r="G43" s="16"/>
      <c r="H43" s="334" t="s">
        <v>412</v>
      </c>
      <c r="I43" s="17"/>
      <c r="J43" s="305" t="s">
        <v>382</v>
      </c>
      <c r="K43" s="209"/>
      <c r="L43" s="17"/>
      <c r="M43" s="17"/>
      <c r="N43" s="17"/>
      <c r="O43" s="298"/>
      <c r="P43" s="254">
        <v>2007</v>
      </c>
      <c r="Q43" s="50" t="s">
        <v>327</v>
      </c>
      <c r="R43" s="66">
        <v>977.81573608517601</v>
      </c>
      <c r="S43" s="66">
        <v>1376.4705759286899</v>
      </c>
      <c r="T43" s="66">
        <v>1727.2857915014001</v>
      </c>
      <c r="U43" s="66">
        <v>849.16821157932304</v>
      </c>
      <c r="V43" s="66">
        <v>0</v>
      </c>
      <c r="W43" s="66">
        <v>-97.781573608517604</v>
      </c>
      <c r="X43" s="66">
        <v>5336.8511633574999</v>
      </c>
      <c r="Y43" s="66">
        <v>-4025.2858942300099</v>
      </c>
      <c r="Z43" s="66">
        <v>1734.93531429768</v>
      </c>
      <c r="AA43" s="66">
        <v>504.63259658217402</v>
      </c>
      <c r="AB43" s="71">
        <v>33687.714565545401</v>
      </c>
      <c r="AC43" s="71">
        <v>46142.906161844796</v>
      </c>
      <c r="AD43" s="71">
        <v>55361.288189128099</v>
      </c>
      <c r="AE43" s="71">
        <v>4925.8780301213301</v>
      </c>
      <c r="AF43" s="71">
        <v>3709.5847286581998</v>
      </c>
      <c r="AG43" s="59">
        <v>211629.359419644</v>
      </c>
      <c r="AH43" s="59">
        <v>226684.94607016401</v>
      </c>
      <c r="AI43" s="59">
        <v>200072.866086811</v>
      </c>
      <c r="AJ43" s="59">
        <v>107651.57174199801</v>
      </c>
      <c r="AK43" s="59">
        <v>77442.653095811605</v>
      </c>
      <c r="AL43" s="76">
        <f t="shared" si="93"/>
        <v>6.5162100781573883E-3</v>
      </c>
      <c r="AM43" s="76">
        <f t="shared" ref="AM43" si="99">Z43/AJ43</f>
        <v>1.6116209788889047E-2</v>
      </c>
      <c r="AN43" s="76">
        <f t="shared" ref="AN43" si="100">Y43/AI43</f>
        <v>-2.011909947090702E-2</v>
      </c>
      <c r="AO43" s="76">
        <f t="shared" ref="AO43" si="101">AA43/AX43</f>
        <v>6.8440471522134248E-3</v>
      </c>
      <c r="AP43" s="76">
        <f t="shared" ref="AP43" si="102">Z43/AW43</f>
        <v>1.6888980057472299E-2</v>
      </c>
      <c r="AQ43" s="76">
        <f t="shared" ref="AQ43" si="103">Y43/AV43</f>
        <v>-2.781594898221083E-2</v>
      </c>
      <c r="AR43" s="84"/>
      <c r="AS43" s="84"/>
      <c r="AT43" s="66">
        <v>177941.64485409899</v>
      </c>
      <c r="AU43" s="66">
        <v>180542.03990832</v>
      </c>
      <c r="AV43" s="66">
        <v>144711.43504053398</v>
      </c>
      <c r="AW43" s="66">
        <v>102725.878554761</v>
      </c>
      <c r="AX43" s="66">
        <v>73733.068367153406</v>
      </c>
      <c r="AY43" s="17"/>
      <c r="AZ43" s="17"/>
      <c r="BA43" s="17"/>
      <c r="BB43" s="17"/>
      <c r="BC43" s="17"/>
      <c r="BD43" s="17"/>
      <c r="BE43" s="17"/>
      <c r="BF43" s="17"/>
      <c r="BG43" s="17"/>
      <c r="BH43" s="65"/>
      <c r="BI43" s="65"/>
      <c r="BJ43" s="65"/>
    </row>
    <row r="44" spans="1:62" customFormat="1" ht="19.25" customHeight="1">
      <c r="A44" s="16"/>
      <c r="B44" s="16"/>
      <c r="C44" s="16"/>
      <c r="D44" s="16"/>
      <c r="E44" s="16"/>
      <c r="F44" s="341"/>
      <c r="G44" s="16"/>
      <c r="H44" s="334" t="s">
        <v>413</v>
      </c>
      <c r="I44" s="17"/>
      <c r="J44" s="302" t="s">
        <v>383</v>
      </c>
      <c r="K44" s="209"/>
      <c r="L44" s="17"/>
      <c r="M44" s="17"/>
      <c r="N44" s="17"/>
      <c r="O44" s="298"/>
      <c r="P44" s="254">
        <v>2007</v>
      </c>
      <c r="Q44" s="50" t="s">
        <v>328</v>
      </c>
      <c r="R44" s="66">
        <v>340.1024017483</v>
      </c>
      <c r="S44" s="66">
        <v>431.833906173706</v>
      </c>
      <c r="T44" s="66">
        <v>318.85715711116802</v>
      </c>
      <c r="U44" s="66">
        <v>720.517563939095</v>
      </c>
      <c r="V44" s="66">
        <v>621.40576153993595</v>
      </c>
      <c r="W44" s="66">
        <v>-22215.8711347729</v>
      </c>
      <c r="X44" s="66">
        <v>-2803.4601825475702</v>
      </c>
      <c r="Y44" s="66">
        <v>905.71432620286896</v>
      </c>
      <c r="Z44" s="66">
        <v>-6473.9371881485004</v>
      </c>
      <c r="AA44" s="66">
        <v>-238.81789550185201</v>
      </c>
      <c r="AB44" s="71">
        <v>10381.3997041434</v>
      </c>
      <c r="AC44" s="71">
        <v>15984.0829020739</v>
      </c>
      <c r="AD44" s="71">
        <v>8313.7146573662812</v>
      </c>
      <c r="AE44" s="71">
        <v>9136.7837828397805</v>
      </c>
      <c r="AF44" s="71">
        <v>1715.49523732066</v>
      </c>
      <c r="AG44" s="59">
        <v>22702.048627287102</v>
      </c>
      <c r="AH44" s="59">
        <v>50906.400928944298</v>
      </c>
      <c r="AI44" s="59">
        <v>39464.573192775199</v>
      </c>
      <c r="AJ44" s="59">
        <v>48270.795083343997</v>
      </c>
      <c r="AK44" s="59">
        <v>31920.288091689301</v>
      </c>
      <c r="AL44" s="76">
        <f t="shared" si="93"/>
        <v>-7.4816961180256434E-3</v>
      </c>
      <c r="AM44" s="76">
        <f t="shared" ref="AM44" si="104">Z44/AJ44</f>
        <v>-0.13411706140266902</v>
      </c>
      <c r="AN44" s="76">
        <f t="shared" ref="AN44" si="105">Y44/AI44</f>
        <v>2.2950060090062716E-2</v>
      </c>
      <c r="AO44" s="76">
        <f t="shared" ref="AO44" si="106">AA44/AX44</f>
        <v>-7.9066225235612016E-3</v>
      </c>
      <c r="AP44" s="76">
        <f t="shared" ref="AP44" si="107">Z44/AW44</f>
        <v>-0.16542994119453047</v>
      </c>
      <c r="AQ44" s="76">
        <f t="shared" ref="AQ44" si="108">Y44/AV44</f>
        <v>2.907523331269635E-2</v>
      </c>
      <c r="AR44" s="84"/>
      <c r="AS44" s="84"/>
      <c r="AT44" s="66">
        <v>12320.4782746732</v>
      </c>
      <c r="AU44" s="66">
        <v>34922.318026870496</v>
      </c>
      <c r="AV44" s="66">
        <v>31150.715678259701</v>
      </c>
      <c r="AW44" s="66">
        <v>39134.0113005042</v>
      </c>
      <c r="AX44" s="66">
        <v>30204.792854368701</v>
      </c>
      <c r="AY44" s="17"/>
      <c r="AZ44" s="17"/>
      <c r="BA44" s="17"/>
      <c r="BB44" s="17"/>
      <c r="BC44" s="17"/>
      <c r="BD44" s="17"/>
      <c r="BE44" s="17"/>
      <c r="BF44" s="17"/>
      <c r="BG44" s="17"/>
      <c r="BH44" s="65"/>
      <c r="BI44" s="65"/>
      <c r="BJ44" s="65"/>
    </row>
    <row r="45" spans="1:62" customFormat="1" ht="25.25" customHeight="1">
      <c r="A45" s="16"/>
      <c r="B45" s="16"/>
      <c r="C45" s="16"/>
      <c r="D45" s="16"/>
      <c r="E45" s="16"/>
      <c r="F45" s="341"/>
      <c r="G45" s="16"/>
      <c r="H45" s="334" t="s">
        <v>414</v>
      </c>
      <c r="I45" s="17"/>
      <c r="J45" s="302" t="s">
        <v>384</v>
      </c>
      <c r="K45" s="209"/>
      <c r="L45" s="17"/>
      <c r="M45" s="17"/>
      <c r="N45" s="17"/>
      <c r="O45" s="276" t="s">
        <v>334</v>
      </c>
      <c r="P45" s="254">
        <v>2005</v>
      </c>
      <c r="Q45" s="50" t="s">
        <v>343</v>
      </c>
      <c r="R45" s="262">
        <v>2424773.7820000001</v>
      </c>
      <c r="S45" s="262">
        <v>2400530.2479999997</v>
      </c>
      <c r="T45" s="262">
        <v>882853.18319999997</v>
      </c>
      <c r="U45" s="262">
        <v>288969.30949499999</v>
      </c>
      <c r="V45" s="262">
        <v>347327.35567199998</v>
      </c>
      <c r="W45" s="262">
        <v>-512569.886</v>
      </c>
      <c r="X45" s="262">
        <v>855.56</v>
      </c>
      <c r="Y45" s="262">
        <v>288877.85399999999</v>
      </c>
      <c r="Z45" s="262">
        <v>58301.688972999997</v>
      </c>
      <c r="AA45" s="262">
        <v>-32591.764907999997</v>
      </c>
      <c r="AB45" s="262">
        <v>2357354.0320000001</v>
      </c>
      <c r="AC45" s="262">
        <v>1830727.2879999999</v>
      </c>
      <c r="AD45" s="262">
        <v>2148779.7875999999</v>
      </c>
      <c r="AE45" s="262">
        <v>358323.31207699998</v>
      </c>
      <c r="AF45" s="262">
        <v>396704.24967599998</v>
      </c>
      <c r="AG45" s="262">
        <v>4087614.4959999998</v>
      </c>
      <c r="AH45" s="262">
        <v>3966889.4959999998</v>
      </c>
      <c r="AI45" s="262">
        <v>4270147.0104</v>
      </c>
      <c r="AJ45" s="262">
        <v>625504.1034909999</v>
      </c>
      <c r="AK45" s="262">
        <v>447157.90254599997</v>
      </c>
      <c r="AL45" s="76">
        <v>-7.2886478629654139E-2</v>
      </c>
      <c r="AM45" s="76">
        <v>9.32075243753199E-2</v>
      </c>
      <c r="AN45" s="76">
        <v>6.7650564089815679E-2</v>
      </c>
      <c r="AO45" s="76">
        <v>-0.64598385290824445</v>
      </c>
      <c r="AP45" s="76">
        <v>0.21821063057883081</v>
      </c>
      <c r="AQ45" s="76">
        <v>0.13617531698199292</v>
      </c>
      <c r="AR45" s="84"/>
      <c r="AS45" s="84"/>
      <c r="AT45" s="262">
        <v>1730440.25</v>
      </c>
      <c r="AU45" s="262">
        <v>2136162.2079999996</v>
      </c>
      <c r="AV45" s="262">
        <v>2121367.2228000001</v>
      </c>
      <c r="AW45" s="262">
        <v>267180.79141399998</v>
      </c>
      <c r="AX45" s="262">
        <v>50452.909559999993</v>
      </c>
      <c r="AY45" s="17"/>
      <c r="AZ45" s="17"/>
      <c r="BA45" s="17"/>
      <c r="BB45" s="17"/>
      <c r="BC45" s="17"/>
      <c r="BD45" s="17"/>
      <c r="BE45" s="17"/>
      <c r="BF45" s="17"/>
      <c r="BG45" s="17"/>
      <c r="BH45" s="65"/>
      <c r="BI45" s="65"/>
      <c r="BJ45" s="65"/>
    </row>
    <row r="46" spans="1:62" customFormat="1" ht="25.25" customHeight="1">
      <c r="A46" s="16"/>
      <c r="B46" s="16"/>
      <c r="C46" s="16"/>
      <c r="D46" s="16"/>
      <c r="E46" s="16"/>
      <c r="F46" s="341"/>
      <c r="G46" s="16"/>
      <c r="H46" s="334" t="s">
        <v>415</v>
      </c>
      <c r="I46" s="65" t="s">
        <v>381</v>
      </c>
      <c r="J46" s="209" t="s">
        <v>380</v>
      </c>
      <c r="K46" s="209"/>
      <c r="L46" s="17"/>
      <c r="M46" s="17"/>
      <c r="N46" s="17"/>
      <c r="O46" s="276" t="s">
        <v>199</v>
      </c>
      <c r="P46" s="254">
        <v>2007</v>
      </c>
      <c r="Q46" s="51" t="s">
        <v>335</v>
      </c>
      <c r="R46" s="262">
        <v>3097.8607000000002</v>
      </c>
      <c r="S46" s="262">
        <v>3818.5029999999997</v>
      </c>
      <c r="T46" s="262">
        <v>5177.8368</v>
      </c>
      <c r="U46" s="262">
        <v>4038.2431999999999</v>
      </c>
      <c r="V46" s="262">
        <v>936.64800000000002</v>
      </c>
      <c r="W46" s="262">
        <v>-612.94569999999999</v>
      </c>
      <c r="X46" s="262">
        <v>-177760.10199999998</v>
      </c>
      <c r="Y46" s="262">
        <v>-626.55421000000001</v>
      </c>
      <c r="Z46" s="262">
        <v>3641.7766959999999</v>
      </c>
      <c r="AA46" s="262">
        <v>181241.38800000001</v>
      </c>
      <c r="AB46" s="262">
        <v>299233.46429999999</v>
      </c>
      <c r="AC46" s="262">
        <v>154210.00399999999</v>
      </c>
      <c r="AD46" s="262">
        <v>150301.09599999999</v>
      </c>
      <c r="AE46" s="262">
        <v>115928.37999999999</v>
      </c>
      <c r="AF46" s="262">
        <v>106902.75839999999</v>
      </c>
      <c r="AG46" s="262">
        <v>804499.51430000004</v>
      </c>
      <c r="AH46" s="262">
        <v>471928.62599999999</v>
      </c>
      <c r="AI46" s="262">
        <v>690737.81200000003</v>
      </c>
      <c r="AJ46" s="262">
        <v>644322.23599999992</v>
      </c>
      <c r="AK46" s="262">
        <v>604356.51119999995</v>
      </c>
      <c r="AL46" s="76">
        <v>0.29989151211448056</v>
      </c>
      <c r="AM46" s="76">
        <v>5.6521046341787284E-3</v>
      </c>
      <c r="AN46" s="76">
        <v>-9.0707964601769906E-4</v>
      </c>
      <c r="AO46" s="76">
        <v>0.36433816607041991</v>
      </c>
      <c r="AP46" s="76">
        <v>6.8921632124352341E-3</v>
      </c>
      <c r="AQ46" s="76">
        <v>-1.1593094042114368E-3</v>
      </c>
      <c r="AR46" s="84"/>
      <c r="AS46" s="84"/>
      <c r="AT46" s="262">
        <v>505266.05</v>
      </c>
      <c r="AU46" s="262">
        <v>317718.62199999997</v>
      </c>
      <c r="AV46" s="262">
        <v>540454.69460000005</v>
      </c>
      <c r="AW46" s="262">
        <v>528393.85599999991</v>
      </c>
      <c r="AX46" s="262">
        <v>497453.75280000002</v>
      </c>
      <c r="AY46" s="17"/>
      <c r="AZ46" s="17"/>
      <c r="BA46" s="17"/>
      <c r="BB46" s="17"/>
      <c r="BC46" s="17"/>
      <c r="BD46" s="17"/>
      <c r="BE46" s="17"/>
      <c r="BF46" s="17"/>
      <c r="BG46" s="17"/>
      <c r="BH46" s="65"/>
      <c r="BI46" s="65"/>
      <c r="BJ46" s="65"/>
    </row>
    <row r="47" spans="1:62" customFormat="1" ht="25.25" customHeight="1">
      <c r="A47" s="16"/>
      <c r="B47" s="16"/>
      <c r="C47" s="16"/>
      <c r="D47" s="16"/>
      <c r="E47" s="16"/>
      <c r="F47" s="341"/>
      <c r="G47" s="16"/>
      <c r="H47" s="334" t="s">
        <v>416</v>
      </c>
      <c r="I47" s="17"/>
      <c r="J47" s="302" t="s">
        <v>385</v>
      </c>
      <c r="K47" s="209"/>
      <c r="L47" s="17"/>
      <c r="M47" s="17"/>
      <c r="N47" s="17"/>
      <c r="O47" s="276" t="s">
        <v>338</v>
      </c>
      <c r="P47" s="254">
        <v>2003</v>
      </c>
      <c r="Q47" s="50" t="s">
        <v>344</v>
      </c>
      <c r="R47" s="262">
        <v>34576.985351999996</v>
      </c>
      <c r="S47" s="262">
        <v>30789.776290999998</v>
      </c>
      <c r="T47" s="262">
        <v>31168.028933999998</v>
      </c>
      <c r="U47" s="262">
        <v>28488.389184</v>
      </c>
      <c r="V47" s="262">
        <v>39129.549549999996</v>
      </c>
      <c r="W47" s="262">
        <v>-210.58969199999999</v>
      </c>
      <c r="X47" s="262">
        <v>-2973.7271249999999</v>
      </c>
      <c r="Y47" s="262">
        <v>714.76689599999997</v>
      </c>
      <c r="Z47" s="262">
        <v>-5055.8307239999995</v>
      </c>
      <c r="AA47" s="262">
        <v>-6829.4513079999997</v>
      </c>
      <c r="AB47" s="262">
        <v>17345.940419999999</v>
      </c>
      <c r="AC47" s="262">
        <v>15483.283641999999</v>
      </c>
      <c r="AD47" s="262">
        <v>11294.149463999998</v>
      </c>
      <c r="AE47" s="262">
        <v>13457.697525</v>
      </c>
      <c r="AF47" s="262">
        <v>11276.918357999999</v>
      </c>
      <c r="AG47" s="262">
        <v>24488.818068</v>
      </c>
      <c r="AH47" s="262">
        <v>22807.592987</v>
      </c>
      <c r="AI47" s="262">
        <v>21139.885061999998</v>
      </c>
      <c r="AJ47" s="262">
        <v>22129.071219000001</v>
      </c>
      <c r="AK47" s="262">
        <v>23484.132576</v>
      </c>
      <c r="AL47" s="76">
        <v>-0.2908113078436404</v>
      </c>
      <c r="AM47" s="76">
        <v>-0.22847008236202285</v>
      </c>
      <c r="AN47" s="76">
        <v>3.3811295279217446E-2</v>
      </c>
      <c r="AO47" s="76">
        <v>-0.559460265547705</v>
      </c>
      <c r="AP47" s="76">
        <v>-0.58304841913320959</v>
      </c>
      <c r="AQ47" s="76">
        <v>7.2595500528461435E-2</v>
      </c>
      <c r="AR47" s="84"/>
      <c r="AS47" s="84"/>
      <c r="AT47" s="262">
        <v>7142.8776479999997</v>
      </c>
      <c r="AU47" s="262">
        <v>7324.3093449999997</v>
      </c>
      <c r="AV47" s="262">
        <v>9845.8842599999989</v>
      </c>
      <c r="AW47" s="262">
        <v>8671.3736939999999</v>
      </c>
      <c r="AX47" s="262">
        <v>12207.214217999999</v>
      </c>
      <c r="AY47" s="17"/>
      <c r="AZ47" s="17"/>
      <c r="BA47" s="17"/>
      <c r="BB47" s="17"/>
      <c r="BC47" s="17"/>
      <c r="BD47" s="17"/>
      <c r="BE47" s="17"/>
      <c r="BF47" s="17"/>
      <c r="BG47" s="17"/>
      <c r="BH47" s="65"/>
      <c r="BI47" s="65"/>
      <c r="BJ47" s="65"/>
    </row>
    <row r="48" spans="1:62" customFormat="1" ht="25.25" customHeight="1">
      <c r="A48" s="16"/>
      <c r="B48" s="16"/>
      <c r="C48" s="16"/>
      <c r="D48" s="16"/>
      <c r="E48" s="16"/>
      <c r="F48" s="341"/>
      <c r="G48" s="16"/>
      <c r="H48" s="333"/>
      <c r="I48" s="17"/>
      <c r="J48" s="306" t="s">
        <v>386</v>
      </c>
      <c r="K48" s="209"/>
      <c r="L48" s="17"/>
      <c r="M48" s="17"/>
      <c r="N48" s="17"/>
      <c r="O48" s="278"/>
      <c r="P48" s="254">
        <v>2016</v>
      </c>
      <c r="Q48" s="51" t="s">
        <v>339</v>
      </c>
      <c r="R48" s="66">
        <v>16678.000036428799</v>
      </c>
      <c r="S48" s="66">
        <v>14253.9999808839</v>
      </c>
      <c r="T48" s="66">
        <v>7143.0000313994997</v>
      </c>
      <c r="U48" s="66">
        <v>9727.9999449157694</v>
      </c>
      <c r="V48" s="66">
        <v>5477.9999755551098</v>
      </c>
      <c r="W48" s="66">
        <v>3752.99995693848</v>
      </c>
      <c r="X48" s="66">
        <v>1175.99999842286</v>
      </c>
      <c r="Y48" s="66">
        <v>-8847.0000388900207</v>
      </c>
      <c r="Z48" s="66">
        <v>-9705.9999450403502</v>
      </c>
      <c r="AA48" s="66">
        <v>-8302.0000179458002</v>
      </c>
      <c r="AB48" s="71">
        <v>5512.0000506511096</v>
      </c>
      <c r="AC48" s="71">
        <v>9805.9999868491286</v>
      </c>
      <c r="AD48" s="71">
        <v>1972.0000086686</v>
      </c>
      <c r="AE48" s="71">
        <v>8807.9999501252187</v>
      </c>
      <c r="AF48" s="71">
        <v>10542.999961510799</v>
      </c>
      <c r="AG48" s="59">
        <v>21338.999982949001</v>
      </c>
      <c r="AH48" s="59">
        <v>21878.999970658002</v>
      </c>
      <c r="AI48" s="59">
        <v>13367.0000587592</v>
      </c>
      <c r="AJ48" s="59">
        <v>29081.999951334201</v>
      </c>
      <c r="AK48" s="59">
        <v>40559.000000170607</v>
      </c>
      <c r="AL48" s="76">
        <f t="shared" ref="AL48" si="109">AA48/AK48</f>
        <v>-0.20468946517199335</v>
      </c>
      <c r="AM48" s="76">
        <f t="shared" ref="AM48" si="110">Z48/AJ48</f>
        <v>-0.3337459583688317</v>
      </c>
      <c r="AN48" s="76">
        <f t="shared" ref="AN48" si="111">Y48/AI48</f>
        <v>-0.66185381910675689</v>
      </c>
      <c r="AO48" s="76">
        <f t="shared" ref="AO48" si="112">AA48/AX48</f>
        <v>-0.27659503605682895</v>
      </c>
      <c r="AP48" s="76">
        <f t="shared" ref="AP48" si="113">Z48/AW48</f>
        <v>-0.47874124220487324</v>
      </c>
      <c r="AQ48" s="76">
        <f t="shared" ref="AQ48" si="114">Y48/AV48</f>
        <v>-0.77639315489249872</v>
      </c>
      <c r="AR48" s="84"/>
      <c r="AS48" s="84"/>
      <c r="AT48" s="66">
        <v>15827.000046193101</v>
      </c>
      <c r="AU48" s="66">
        <v>12073.9999838075</v>
      </c>
      <c r="AV48" s="66">
        <v>11395.000050090599</v>
      </c>
      <c r="AW48" s="66">
        <v>20274.0000012089</v>
      </c>
      <c r="AX48" s="66">
        <v>30015.000038685001</v>
      </c>
    </row>
    <row r="49" spans="1:50" customFormat="1" ht="25.25" customHeight="1">
      <c r="A49" s="16"/>
      <c r="B49" s="16"/>
      <c r="C49" s="16"/>
      <c r="D49" s="16"/>
      <c r="E49" s="16"/>
      <c r="F49" s="341"/>
      <c r="G49" s="16"/>
      <c r="H49" s="333" t="s">
        <v>417</v>
      </c>
      <c r="I49" s="17"/>
      <c r="J49" s="302" t="s">
        <v>387</v>
      </c>
      <c r="K49" s="209"/>
      <c r="L49" s="17"/>
      <c r="M49" s="17"/>
      <c r="N49" s="17"/>
      <c r="O49" s="276" t="s">
        <v>345</v>
      </c>
      <c r="P49" s="254">
        <v>2018</v>
      </c>
      <c r="Q49" s="51" t="s">
        <v>341</v>
      </c>
      <c r="R49" s="80">
        <v>2997543.1030318099</v>
      </c>
      <c r="S49" s="80">
        <v>2299724.5603925399</v>
      </c>
      <c r="T49" s="80">
        <v>1551027.31705561</v>
      </c>
      <c r="U49" s="80">
        <v>1041142.23105481</v>
      </c>
      <c r="V49" s="80">
        <v>889368.09160745097</v>
      </c>
      <c r="W49" s="80">
        <v>25728.570619627801</v>
      </c>
      <c r="X49" s="80">
        <v>14126.0254313797</v>
      </c>
      <c r="Y49" s="80">
        <v>-1393.5079566761899</v>
      </c>
      <c r="Z49" s="80">
        <v>1768.0092036128001</v>
      </c>
      <c r="AA49" s="80">
        <v>-5435.9318143948904</v>
      </c>
      <c r="AB49" s="75">
        <v>1035563.3461251929</v>
      </c>
      <c r="AC49" s="75">
        <v>610955.6702470181</v>
      </c>
      <c r="AD49" s="75">
        <v>409250.90646602935</v>
      </c>
      <c r="AE49" s="75">
        <v>327839.81544065522</v>
      </c>
      <c r="AF49" s="75">
        <v>307051.03667252458</v>
      </c>
      <c r="AG49" s="79">
        <v>1280228.5311763301</v>
      </c>
      <c r="AH49" s="79">
        <v>740284.38910868799</v>
      </c>
      <c r="AI49" s="79">
        <v>475926.64601990598</v>
      </c>
      <c r="AJ49" s="79">
        <v>395309.20545373898</v>
      </c>
      <c r="AK49" s="79">
        <v>375991.11005718302</v>
      </c>
      <c r="AL49" s="76">
        <f t="shared" ref="AL49" si="115">AA49/AK49</f>
        <v>-1.4457607291747299E-2</v>
      </c>
      <c r="AM49" s="76">
        <f t="shared" ref="AM49" si="116">Z49/AJ49</f>
        <v>4.4724716227730272E-3</v>
      </c>
      <c r="AN49" s="76">
        <f t="shared" ref="AN49" si="117">Y49/AI49</f>
        <v>-2.927988941846104E-3</v>
      </c>
      <c r="AO49" s="76">
        <f t="shared" ref="AO49" si="118">AA49/AX49</f>
        <v>-7.8850101943823109E-2</v>
      </c>
      <c r="AP49" s="76">
        <f t="shared" ref="AP49" si="119">Z49/AW49</f>
        <v>2.6204612243714433E-2</v>
      </c>
      <c r="AQ49" s="76">
        <f t="shared" ref="AQ49" si="120">Y49/AV49</f>
        <v>-2.0899775030619485E-2</v>
      </c>
      <c r="AR49" s="85"/>
      <c r="AS49" s="85"/>
      <c r="AT49" s="80">
        <v>244665.18505113601</v>
      </c>
      <c r="AU49" s="80">
        <v>129328.718861669</v>
      </c>
      <c r="AV49" s="80">
        <v>66675.739553876207</v>
      </c>
      <c r="AW49" s="80">
        <v>67469.390013083801</v>
      </c>
      <c r="AX49" s="80">
        <v>68940.073384657502</v>
      </c>
    </row>
    <row r="50" spans="1:50" customFormat="1" ht="25.25" customHeight="1">
      <c r="A50" s="16"/>
      <c r="B50" s="16"/>
      <c r="C50" s="16"/>
      <c r="D50" s="16"/>
      <c r="E50" s="16"/>
      <c r="F50" s="341"/>
      <c r="G50" s="16"/>
      <c r="H50" s="333" t="s">
        <v>418</v>
      </c>
      <c r="I50" s="17"/>
      <c r="J50" s="302" t="s">
        <v>388</v>
      </c>
      <c r="K50" s="209"/>
      <c r="L50" s="17"/>
      <c r="M50" s="17"/>
      <c r="N50" s="17"/>
      <c r="O50" s="200"/>
      <c r="P50" s="254">
        <v>2006</v>
      </c>
      <c r="Q50" s="73" t="s">
        <v>349</v>
      </c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71"/>
      <c r="AC50" s="71"/>
      <c r="AD50" s="71"/>
      <c r="AE50" s="71"/>
      <c r="AF50" s="71"/>
      <c r="AG50" s="59"/>
      <c r="AH50" s="59"/>
      <c r="AI50" s="59"/>
      <c r="AJ50" s="59"/>
      <c r="AK50" s="59"/>
      <c r="AL50" s="61"/>
      <c r="AM50" s="61"/>
      <c r="AN50" s="61"/>
      <c r="AO50" s="61"/>
      <c r="AP50" s="61"/>
      <c r="AQ50" s="61"/>
      <c r="AR50" s="84"/>
      <c r="AS50" s="84"/>
      <c r="AT50" s="66"/>
      <c r="AU50" s="66"/>
      <c r="AV50" s="66"/>
      <c r="AW50" s="66"/>
      <c r="AX50" s="66"/>
    </row>
    <row r="51" spans="1:50" customFormat="1" ht="32.5" customHeight="1">
      <c r="A51" s="16"/>
      <c r="B51" s="16"/>
      <c r="C51" s="16"/>
      <c r="D51" s="16"/>
      <c r="E51" s="16"/>
      <c r="F51" s="341"/>
      <c r="G51" s="16"/>
      <c r="H51" s="333" t="s">
        <v>419</v>
      </c>
      <c r="I51" s="17"/>
      <c r="J51" s="302" t="s">
        <v>389</v>
      </c>
      <c r="K51" s="209"/>
      <c r="L51" s="17"/>
      <c r="M51" s="17"/>
      <c r="N51" s="17"/>
      <c r="O51" s="200"/>
      <c r="P51" s="254">
        <v>2012</v>
      </c>
      <c r="Q51" s="73" t="s">
        <v>350</v>
      </c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71"/>
      <c r="AC51" s="71"/>
      <c r="AD51" s="71"/>
      <c r="AE51" s="71"/>
      <c r="AF51" s="71"/>
      <c r="AG51" s="59"/>
      <c r="AH51" s="59"/>
      <c r="AI51" s="59"/>
      <c r="AJ51" s="59"/>
      <c r="AK51" s="59"/>
      <c r="AL51" s="61"/>
      <c r="AM51" s="61"/>
      <c r="AN51" s="61"/>
      <c r="AO51" s="61"/>
      <c r="AP51" s="61"/>
      <c r="AQ51" s="61"/>
      <c r="AR51" s="84"/>
      <c r="AS51" s="84"/>
      <c r="AT51" s="66"/>
      <c r="AU51" s="66"/>
      <c r="AV51" s="66"/>
      <c r="AW51" s="66"/>
      <c r="AX51" s="66"/>
    </row>
    <row r="52" spans="1:50" customFormat="1" ht="25.25" customHeight="1">
      <c r="A52" s="16"/>
      <c r="B52" s="16"/>
      <c r="C52" s="16"/>
      <c r="D52" s="16"/>
      <c r="E52" s="16"/>
      <c r="F52" s="341"/>
      <c r="G52" s="16"/>
      <c r="H52" s="16"/>
      <c r="I52" s="17"/>
      <c r="J52" s="209"/>
      <c r="K52" s="209"/>
      <c r="L52" s="17"/>
      <c r="M52" s="17"/>
      <c r="N52" s="17"/>
      <c r="O52" s="200"/>
      <c r="P52" s="200"/>
      <c r="Q52" s="245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71"/>
      <c r="AC52" s="71"/>
      <c r="AD52" s="71"/>
      <c r="AE52" s="71"/>
      <c r="AF52" s="71"/>
      <c r="AG52" s="59"/>
      <c r="AH52" s="59"/>
      <c r="AI52" s="59"/>
      <c r="AJ52" s="59"/>
      <c r="AK52" s="59"/>
      <c r="AL52" s="61"/>
      <c r="AM52" s="61"/>
      <c r="AN52" s="61"/>
      <c r="AO52" s="61"/>
      <c r="AP52" s="61"/>
      <c r="AQ52" s="61"/>
      <c r="AR52" s="84"/>
      <c r="AS52" s="84"/>
      <c r="AT52" s="66"/>
      <c r="AU52" s="66"/>
      <c r="AV52" s="66"/>
      <c r="AW52" s="66"/>
      <c r="AX52" s="66"/>
    </row>
    <row r="53" spans="1:50" customFormat="1" ht="25.25" customHeight="1">
      <c r="A53" s="16"/>
      <c r="B53" s="16"/>
      <c r="C53" s="16"/>
      <c r="D53" s="16"/>
      <c r="E53" s="16"/>
      <c r="F53" s="341"/>
      <c r="G53" s="16"/>
      <c r="H53" s="16"/>
      <c r="I53" s="17"/>
      <c r="J53" s="209"/>
      <c r="K53" s="209"/>
      <c r="L53" s="17"/>
      <c r="M53" s="17"/>
      <c r="N53" s="17"/>
      <c r="O53" s="200">
        <f>'Some data'!D3</f>
        <v>1746273</v>
      </c>
      <c r="P53" s="200"/>
      <c r="Q53" s="248" t="s">
        <v>347</v>
      </c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9"/>
      <c r="AC53" s="249"/>
      <c r="AD53" s="249"/>
      <c r="AE53" s="249"/>
      <c r="AF53" s="249"/>
      <c r="AG53" s="247"/>
      <c r="AH53" s="247"/>
      <c r="AI53" s="247"/>
      <c r="AJ53" s="247"/>
      <c r="AK53" s="247"/>
      <c r="AL53" s="250"/>
      <c r="AM53" s="250"/>
      <c r="AN53" s="250"/>
      <c r="AO53" s="250"/>
      <c r="AP53" s="250"/>
      <c r="AQ53" s="250"/>
      <c r="AR53" s="251"/>
      <c r="AS53" s="251"/>
      <c r="AT53" s="59"/>
      <c r="AU53" s="59"/>
      <c r="AV53" s="59"/>
      <c r="AW53" s="59"/>
      <c r="AX53" s="59"/>
    </row>
    <row r="54" spans="1:50" customFormat="1" ht="25.25" customHeight="1">
      <c r="A54" s="16"/>
      <c r="B54" s="16"/>
      <c r="C54" s="16"/>
      <c r="D54" s="16"/>
      <c r="E54" s="16"/>
      <c r="F54" s="341"/>
      <c r="G54" s="16"/>
      <c r="H54" s="16"/>
      <c r="I54" s="17"/>
      <c r="J54" s="209"/>
      <c r="K54" s="209"/>
      <c r="L54" s="17"/>
      <c r="M54" s="17"/>
      <c r="N54" s="17"/>
      <c r="O54" s="200"/>
      <c r="P54" s="204"/>
      <c r="Q54" s="246" t="s">
        <v>346</v>
      </c>
      <c r="R54" s="198"/>
      <c r="S54" s="199"/>
      <c r="T54" s="199"/>
      <c r="U54" s="199"/>
      <c r="V54" s="197"/>
      <c r="W54" s="174"/>
      <c r="X54" s="174"/>
      <c r="Y54" s="174"/>
      <c r="Z54" s="174"/>
      <c r="AA54" s="174"/>
      <c r="AB54" s="241"/>
      <c r="AC54" s="241"/>
      <c r="AD54" s="241"/>
      <c r="AE54" s="241"/>
      <c r="AF54" s="241"/>
      <c r="AG54" s="242"/>
      <c r="AH54" s="242"/>
      <c r="AI54" s="242"/>
      <c r="AJ54" s="242"/>
      <c r="AK54" s="242"/>
      <c r="AL54" s="243"/>
      <c r="AM54" s="243"/>
      <c r="AN54" s="243"/>
      <c r="AO54" s="243"/>
      <c r="AP54" s="243"/>
      <c r="AQ54" s="243"/>
      <c r="AR54" s="244"/>
      <c r="AS54" s="244"/>
      <c r="AT54" s="174"/>
      <c r="AU54" s="174"/>
      <c r="AV54" s="174"/>
      <c r="AW54" s="174"/>
      <c r="AX54" s="174"/>
    </row>
    <row r="55" spans="1:50" customFormat="1" ht="25.25" customHeight="1">
      <c r="A55" s="16"/>
      <c r="B55" s="16"/>
      <c r="C55" s="16"/>
      <c r="D55" s="16"/>
      <c r="E55" s="16"/>
      <c r="F55" s="341"/>
      <c r="G55" s="16"/>
      <c r="H55" s="16"/>
      <c r="I55" s="17"/>
      <c r="J55" s="209"/>
      <c r="K55" s="209"/>
      <c r="L55" s="17"/>
      <c r="M55" s="17"/>
      <c r="N55" s="17"/>
      <c r="Q55" s="51"/>
      <c r="R55" s="913" t="s">
        <v>108</v>
      </c>
      <c r="S55" s="914"/>
      <c r="T55" s="914"/>
      <c r="U55" s="914"/>
      <c r="V55" s="915"/>
      <c r="W55" s="916" t="s">
        <v>110</v>
      </c>
      <c r="X55" s="916"/>
      <c r="Y55" s="916"/>
      <c r="Z55" s="916"/>
      <c r="AA55" s="916"/>
      <c r="AB55" s="77"/>
      <c r="AC55" s="77"/>
      <c r="AD55" s="77" t="s">
        <v>109</v>
      </c>
      <c r="AE55" s="77"/>
      <c r="AF55" s="77"/>
      <c r="AG55" s="916" t="s">
        <v>111</v>
      </c>
      <c r="AH55" s="916"/>
      <c r="AI55" s="916"/>
      <c r="AJ55" s="916"/>
      <c r="AK55" s="916"/>
      <c r="AL55" s="77"/>
      <c r="AM55" s="77" t="s">
        <v>113</v>
      </c>
      <c r="AN55" s="77"/>
      <c r="AO55" s="77"/>
      <c r="AP55" s="77" t="s">
        <v>114</v>
      </c>
      <c r="AQ55" s="77"/>
      <c r="AR55" s="64" t="s">
        <v>115</v>
      </c>
      <c r="AS55" s="64" t="s">
        <v>112</v>
      </c>
      <c r="AT55" s="909" t="s">
        <v>105</v>
      </c>
      <c r="AU55" s="909"/>
      <c r="AV55" s="909"/>
      <c r="AW55" s="909"/>
      <c r="AX55" s="909"/>
    </row>
    <row r="56" spans="1:50" customFormat="1" ht="25.25" customHeight="1">
      <c r="A56" s="16"/>
      <c r="B56" s="16"/>
      <c r="C56" s="16"/>
      <c r="D56" s="16"/>
      <c r="E56" s="16"/>
      <c r="F56" s="341"/>
      <c r="G56" s="16"/>
      <c r="H56" s="16"/>
      <c r="I56" s="17"/>
      <c r="J56" s="209"/>
      <c r="K56" s="209"/>
      <c r="L56" s="17"/>
      <c r="M56" s="17"/>
      <c r="N56" s="17"/>
      <c r="P56" s="253" t="s">
        <v>348</v>
      </c>
      <c r="Q56" s="51"/>
      <c r="R56" s="52" t="s">
        <v>117</v>
      </c>
      <c r="S56" s="52" t="s">
        <v>118</v>
      </c>
      <c r="T56" s="52" t="s">
        <v>119</v>
      </c>
      <c r="U56" s="52" t="s">
        <v>120</v>
      </c>
      <c r="V56" s="52" t="s">
        <v>121</v>
      </c>
      <c r="W56" s="69" t="s">
        <v>122</v>
      </c>
      <c r="X56" s="69" t="s">
        <v>123</v>
      </c>
      <c r="Y56" s="69" t="s">
        <v>124</v>
      </c>
      <c r="Z56" s="69" t="s">
        <v>125</v>
      </c>
      <c r="AA56" s="69" t="s">
        <v>126</v>
      </c>
      <c r="AB56" s="70" t="s">
        <v>127</v>
      </c>
      <c r="AC56" s="70" t="s">
        <v>128</v>
      </c>
      <c r="AD56" s="70" t="s">
        <v>129</v>
      </c>
      <c r="AE56" s="70" t="s">
        <v>130</v>
      </c>
      <c r="AF56" s="70" t="s">
        <v>131</v>
      </c>
      <c r="AG56" s="69" t="s">
        <v>132</v>
      </c>
      <c r="AH56" s="69" t="s">
        <v>133</v>
      </c>
      <c r="AI56" s="69" t="s">
        <v>134</v>
      </c>
      <c r="AJ56" s="69" t="s">
        <v>135</v>
      </c>
      <c r="AK56" s="69" t="s">
        <v>136</v>
      </c>
      <c r="AL56" s="67"/>
      <c r="AM56" s="67" t="s">
        <v>113</v>
      </c>
      <c r="AN56" s="67"/>
      <c r="AO56" s="67"/>
      <c r="AP56" s="67" t="s">
        <v>114</v>
      </c>
      <c r="AQ56" s="67"/>
      <c r="AR56" s="64" t="s">
        <v>115</v>
      </c>
      <c r="AS56" s="64" t="s">
        <v>112</v>
      </c>
      <c r="AT56" s="58" t="s">
        <v>107</v>
      </c>
      <c r="AU56" s="58" t="s">
        <v>106</v>
      </c>
      <c r="AV56" s="58" t="s">
        <v>104</v>
      </c>
      <c r="AW56" s="58" t="s">
        <v>103</v>
      </c>
      <c r="AX56" s="58" t="s">
        <v>102</v>
      </c>
    </row>
    <row r="57" spans="1:50" customFormat="1" ht="25.25" customHeight="1">
      <c r="A57" s="16"/>
      <c r="B57" s="16"/>
      <c r="C57" s="16"/>
      <c r="D57" s="16"/>
      <c r="E57" s="16"/>
      <c r="F57" s="341"/>
      <c r="G57" s="16"/>
      <c r="H57" s="16"/>
      <c r="I57" s="17"/>
      <c r="J57" s="209"/>
      <c r="K57" s="209"/>
      <c r="L57" s="17"/>
      <c r="M57" s="17"/>
      <c r="N57" s="17"/>
      <c r="P57" s="254">
        <v>2015</v>
      </c>
      <c r="Q57" s="50" t="s">
        <v>73</v>
      </c>
      <c r="R57" s="51">
        <f>LN(R3)</f>
        <v>10.064925898413659</v>
      </c>
      <c r="S57" s="51">
        <f t="shared" ref="R57:V66" si="121">LN(S3)</f>
        <v>9.7366652591890972</v>
      </c>
      <c r="T57" s="51">
        <f t="shared" si="121"/>
        <v>9.6537433194247395</v>
      </c>
      <c r="U57" s="51">
        <f t="shared" si="121"/>
        <v>9.9363902722118365</v>
      </c>
      <c r="V57" s="51">
        <f t="shared" si="121"/>
        <v>11.28924426915111</v>
      </c>
      <c r="W57" s="51">
        <f>W3/R3</f>
        <v>-0.30513955071477195</v>
      </c>
      <c r="X57" s="51">
        <f t="shared" ref="X57:X67" si="122">X3/S3</f>
        <v>-0.33609026998286762</v>
      </c>
      <c r="Y57" s="51">
        <f t="shared" ref="Y57:Y67" si="123">Y3/T3</f>
        <v>-0.30449293966623875</v>
      </c>
      <c r="Z57" s="51">
        <f t="shared" ref="Z57:Z67" si="124">Z3/U3</f>
        <v>0.26716338477913781</v>
      </c>
      <c r="AA57" s="51">
        <f t="shared" ref="AA57:AA67" si="125">AA3/V3</f>
        <v>1.8047200370198982E-2</v>
      </c>
      <c r="AB57" s="51">
        <f>AB3/AG3</f>
        <v>1.3533982567798992</v>
      </c>
      <c r="AC57" s="51">
        <f t="shared" ref="AC57:AC67" si="126">AC3/AH3</f>
        <v>1.1491460079795579</v>
      </c>
      <c r="AD57" s="51">
        <f t="shared" ref="AD57:AD67" si="127">AD3/AI3</f>
        <v>1.0195439079714841</v>
      </c>
      <c r="AE57" s="51">
        <f t="shared" ref="AE57:AE67" si="128">AE3/AJ3</f>
        <v>0.93768345371194883</v>
      </c>
      <c r="AF57" s="51">
        <f t="shared" ref="AF57:AF67" si="129">AF3/AK3</f>
        <v>1.1390873941235764</v>
      </c>
      <c r="AG57" s="51">
        <f>R3/AG3</f>
        <v>0.60077192444342198</v>
      </c>
      <c r="AH57" s="51">
        <f t="shared" ref="AH57:AH67" si="130">S3/AH3</f>
        <v>0.37941005065674455</v>
      </c>
      <c r="AI57" s="51">
        <f t="shared" ref="AI57:AI67" si="131">T3/AI3</f>
        <v>0.31553791315618923</v>
      </c>
      <c r="AJ57" s="51">
        <f t="shared" ref="AJ57:AJ67" si="132">U3/AJ3</f>
        <v>0.34083638402427363</v>
      </c>
      <c r="AK57" s="51">
        <f t="shared" ref="AK57:AK67" si="133">V3/AK3</f>
        <v>1.2029216627299943</v>
      </c>
      <c r="AL57" s="51"/>
      <c r="AM57" s="63">
        <f>AN3-AL3</f>
        <v>-0.11778843503001955</v>
      </c>
      <c r="AN57" s="51"/>
      <c r="AO57" s="51"/>
      <c r="AP57" s="63">
        <f t="shared" ref="AP57:AP67" si="134">AQ3-AO3</f>
        <v>5.0721465460954951</v>
      </c>
      <c r="AQ57" s="51"/>
      <c r="AR57" s="51">
        <f>LN(T3/V3)</f>
        <v>-1.6355009497263711</v>
      </c>
      <c r="AS57" s="62">
        <f>AD57-AF57</f>
        <v>-0.11954348615209232</v>
      </c>
      <c r="AT57" s="66">
        <v>-13826</v>
      </c>
      <c r="AU57" s="66">
        <v>-6654</v>
      </c>
      <c r="AV57" s="66">
        <v>-965</v>
      </c>
      <c r="AW57" s="66">
        <v>3779</v>
      </c>
      <c r="AX57" s="66">
        <v>-9245</v>
      </c>
    </row>
    <row r="58" spans="1:50" customFormat="1" ht="32.5" customHeight="1">
      <c r="A58" s="16"/>
      <c r="B58" s="16"/>
      <c r="C58" s="16"/>
      <c r="D58" s="16"/>
      <c r="E58" s="16"/>
      <c r="F58" s="341"/>
      <c r="G58" s="16"/>
      <c r="H58" s="16"/>
      <c r="I58" s="17"/>
      <c r="J58" s="209"/>
      <c r="K58" s="209"/>
      <c r="L58" s="17"/>
      <c r="M58" s="17"/>
      <c r="N58" s="17"/>
      <c r="P58" s="254">
        <v>2014</v>
      </c>
      <c r="Q58" s="50" t="s">
        <v>137</v>
      </c>
      <c r="R58" s="51">
        <f t="shared" si="121"/>
        <v>12.464517973935184</v>
      </c>
      <c r="S58" s="51">
        <f t="shared" si="121"/>
        <v>12.470022296944883</v>
      </c>
      <c r="T58" s="51">
        <f t="shared" si="121"/>
        <v>12.534652189576713</v>
      </c>
      <c r="U58" s="51">
        <f t="shared" si="121"/>
        <v>12.47265467665655</v>
      </c>
      <c r="V58" s="51">
        <f t="shared" si="121"/>
        <v>12.656670958260683</v>
      </c>
      <c r="W58" s="51">
        <f t="shared" ref="W58:W67" si="135">W4/R4</f>
        <v>0.11940405906922552</v>
      </c>
      <c r="X58" s="51">
        <f t="shared" si="122"/>
        <v>3.6440486182017055E-3</v>
      </c>
      <c r="Y58" s="51">
        <f t="shared" si="123"/>
        <v>9.3036425898920624E-2</v>
      </c>
      <c r="Z58" s="51">
        <f t="shared" si="124"/>
        <v>8.0925686803627772E-2</v>
      </c>
      <c r="AA58" s="51">
        <f t="shared" si="125"/>
        <v>3.2099209258524455E-2</v>
      </c>
      <c r="AB58" s="51">
        <f t="shared" ref="AB58:AB67" si="136">AB4/AG4</f>
        <v>0.57425481252415456</v>
      </c>
      <c r="AC58" s="51">
        <f t="shared" si="126"/>
        <v>0.67308239688807103</v>
      </c>
      <c r="AD58" s="51">
        <f t="shared" si="127"/>
        <v>0.77226484186284527</v>
      </c>
      <c r="AE58" s="51">
        <f t="shared" si="128"/>
        <v>0.33557482428806817</v>
      </c>
      <c r="AF58" s="51">
        <f t="shared" si="129"/>
        <v>0.29380286431574559</v>
      </c>
      <c r="AG58" s="51">
        <f t="shared" ref="AG58:AG67" si="137">R4/AG4</f>
        <v>0.83256898257912659</v>
      </c>
      <c r="AH58" s="51">
        <f t="shared" si="130"/>
        <v>0.8770756374920009</v>
      </c>
      <c r="AI58" s="51">
        <f t="shared" si="131"/>
        <v>0.99972197823146658</v>
      </c>
      <c r="AJ58" s="51">
        <f t="shared" si="132"/>
        <v>0.87130855403691143</v>
      </c>
      <c r="AK58" s="51">
        <f t="shared" si="133"/>
        <v>0.93310310205878966</v>
      </c>
      <c r="AL58" s="51"/>
      <c r="AM58" s="63">
        <f t="shared" ref="AM58:AM67" si="138">AN4-AL4</f>
        <v>6.3058688014490799E-2</v>
      </c>
      <c r="AN58" s="51"/>
      <c r="AO58" s="51"/>
      <c r="AP58" s="63">
        <f t="shared" si="134"/>
        <v>0.36599928802713944</v>
      </c>
      <c r="AQ58" s="51"/>
      <c r="AR58" s="51">
        <f t="shared" ref="AR58:AR78" si="139">LN(T4/V4)</f>
        <v>-0.12201876868397027</v>
      </c>
      <c r="AS58" s="62">
        <f t="shared" ref="AS58:AS67" si="140">AD58-AF58</f>
        <v>0.47846197754709968</v>
      </c>
      <c r="AT58" s="30">
        <v>132434.836148545</v>
      </c>
      <c r="AU58" s="30">
        <v>97065.3126754314</v>
      </c>
      <c r="AV58" s="30">
        <v>63282.631777524897</v>
      </c>
      <c r="AW58" s="30">
        <v>199103.50843535399</v>
      </c>
      <c r="AX58" s="30">
        <v>237529.76747158199</v>
      </c>
    </row>
    <row r="59" spans="1:50" customFormat="1" ht="25.25" customHeight="1">
      <c r="A59" s="16"/>
      <c r="B59" s="16"/>
      <c r="C59" s="16"/>
      <c r="D59" s="16"/>
      <c r="E59" s="16"/>
      <c r="F59" s="341"/>
      <c r="G59" s="16"/>
      <c r="H59" s="16"/>
      <c r="I59" s="17"/>
      <c r="J59" s="209"/>
      <c r="K59" s="209"/>
      <c r="L59" s="17"/>
      <c r="M59" s="17"/>
      <c r="N59" s="17"/>
      <c r="P59" s="254">
        <v>2014</v>
      </c>
      <c r="Q59" s="50" t="s">
        <v>139</v>
      </c>
      <c r="R59" s="51">
        <f t="shared" si="121"/>
        <v>11.785677827687724</v>
      </c>
      <c r="S59" s="51">
        <f t="shared" si="121"/>
        <v>11.37466430434074</v>
      </c>
      <c r="T59" s="51">
        <f t="shared" si="121"/>
        <v>11.390625692454474</v>
      </c>
      <c r="U59" s="51">
        <f t="shared" si="121"/>
        <v>11.083042903584237</v>
      </c>
      <c r="V59" s="51">
        <f t="shared" si="121"/>
        <v>10.016346193045091</v>
      </c>
      <c r="W59" s="51">
        <f t="shared" si="135"/>
        <v>-0.14275183249957119</v>
      </c>
      <c r="X59" s="51">
        <f t="shared" si="122"/>
        <v>-0.29619910189412119</v>
      </c>
      <c r="Y59" s="51">
        <f t="shared" si="123"/>
        <v>-0.64525989568768916</v>
      </c>
      <c r="Z59" s="51">
        <f t="shared" si="124"/>
        <v>-1.444573166316705</v>
      </c>
      <c r="AA59" s="51">
        <f t="shared" si="125"/>
        <v>-4.5246459214856429</v>
      </c>
      <c r="AB59" s="51">
        <f t="shared" si="136"/>
        <v>5.3165303385835437E-2</v>
      </c>
      <c r="AC59" s="51">
        <f t="shared" si="126"/>
        <v>4.3251357904275756E-2</v>
      </c>
      <c r="AD59" s="51">
        <f t="shared" si="127"/>
        <v>0.73697376435880435</v>
      </c>
      <c r="AE59" s="51">
        <f t="shared" si="128"/>
        <v>0.64489144353500361</v>
      </c>
      <c r="AF59" s="51">
        <f t="shared" si="129"/>
        <v>0.72604293115341689</v>
      </c>
      <c r="AG59" s="51">
        <f t="shared" si="137"/>
        <v>0.28568367045814008</v>
      </c>
      <c r="AH59" s="51">
        <f t="shared" si="130"/>
        <v>0.1922788868745226</v>
      </c>
      <c r="AI59" s="51">
        <f t="shared" si="131"/>
        <v>0.18702811556186141</v>
      </c>
      <c r="AJ59" s="51">
        <f t="shared" si="132"/>
        <v>0.10705381160159158</v>
      </c>
      <c r="AK59" s="51">
        <f t="shared" si="133"/>
        <v>3.3275628330239518E-2</v>
      </c>
      <c r="AL59" s="51"/>
      <c r="AM59" s="63">
        <f t="shared" si="138"/>
        <v>2.9878693671178569E-2</v>
      </c>
      <c r="AN59" s="51"/>
      <c r="AO59" s="51"/>
      <c r="AP59" s="63">
        <f t="shared" si="134"/>
        <v>9.0756581016726234E-2</v>
      </c>
      <c r="AQ59" s="51"/>
      <c r="AR59" s="51">
        <f t="shared" si="139"/>
        <v>1.3742794994093828</v>
      </c>
      <c r="AS59" s="62">
        <f t="shared" si="140"/>
        <v>1.0930833205387458E-2</v>
      </c>
      <c r="AT59" s="66">
        <v>435355.05672495801</v>
      </c>
      <c r="AU59" s="66">
        <v>433331.43606136699</v>
      </c>
      <c r="AV59" s="66">
        <v>124445.172802538</v>
      </c>
      <c r="AW59" s="66">
        <v>215805.931810468</v>
      </c>
      <c r="AX59" s="66">
        <v>184331.74166312799</v>
      </c>
    </row>
    <row r="60" spans="1:50" customFormat="1" ht="25.25" customHeight="1">
      <c r="A60" s="16"/>
      <c r="B60" s="16"/>
      <c r="C60" s="16"/>
      <c r="D60" s="16"/>
      <c r="E60" s="16"/>
      <c r="F60" s="341"/>
      <c r="G60" s="16"/>
      <c r="H60" s="16"/>
      <c r="I60" s="17"/>
      <c r="J60" s="209"/>
      <c r="K60" s="209"/>
      <c r="L60" s="17"/>
      <c r="M60" s="17"/>
      <c r="N60" s="17"/>
      <c r="P60" s="254">
        <v>2014</v>
      </c>
      <c r="Q60" s="51" t="s">
        <v>140</v>
      </c>
      <c r="R60" s="51">
        <f t="shared" si="121"/>
        <v>11.514750842553171</v>
      </c>
      <c r="S60" s="51">
        <f t="shared" si="121"/>
        <v>11.557064452301486</v>
      </c>
      <c r="T60" s="51">
        <f t="shared" si="121"/>
        <v>11.48682150257526</v>
      </c>
      <c r="U60" s="51">
        <f t="shared" si="121"/>
        <v>11.506985968417496</v>
      </c>
      <c r="V60" s="51">
        <f t="shared" si="121"/>
        <v>11.748881314316968</v>
      </c>
      <c r="W60" s="51">
        <f t="shared" si="135"/>
        <v>1.7106382978723405</v>
      </c>
      <c r="X60" s="51">
        <f t="shared" si="122"/>
        <v>1.0849150849150888</v>
      </c>
      <c r="Y60" s="51">
        <f t="shared" si="123"/>
        <v>0.77944774554351604</v>
      </c>
      <c r="Z60" s="51">
        <f t="shared" si="124"/>
        <v>0.1756024911995665</v>
      </c>
      <c r="AA60" s="51">
        <f t="shared" si="125"/>
        <v>-0.37360353338529334</v>
      </c>
      <c r="AB60" s="51">
        <f t="shared" si="136"/>
        <v>0.50855792812110756</v>
      </c>
      <c r="AC60" s="51">
        <f t="shared" si="126"/>
        <v>0.54721865579993312</v>
      </c>
      <c r="AD60" s="51">
        <f t="shared" si="127"/>
        <v>0.65080535493034208</v>
      </c>
      <c r="AE60" s="51">
        <f t="shared" si="128"/>
        <v>0.67061621702395147</v>
      </c>
      <c r="AF60" s="51">
        <f t="shared" si="129"/>
        <v>0.66388196590569104</v>
      </c>
      <c r="AG60" s="51">
        <f t="shared" si="137"/>
        <v>5.2804920327165869E-2</v>
      </c>
      <c r="AH60" s="51">
        <f t="shared" si="130"/>
        <v>6.2862844702467155E-2</v>
      </c>
      <c r="AI60" s="51">
        <f t="shared" si="131"/>
        <v>5.187513221117511E-2</v>
      </c>
      <c r="AJ60" s="51">
        <f t="shared" si="132"/>
        <v>4.5987460229501391E-2</v>
      </c>
      <c r="AK60" s="51">
        <f t="shared" si="133"/>
        <v>5.1161399661050884E-2</v>
      </c>
      <c r="AL60" s="51"/>
      <c r="AM60" s="63">
        <f t="shared" si="138"/>
        <v>5.9548034538078026E-2</v>
      </c>
      <c r="AN60" s="51"/>
      <c r="AO60" s="51"/>
      <c r="AP60" s="63">
        <f t="shared" si="134"/>
        <v>0.17265918931639579</v>
      </c>
      <c r="AQ60" s="51"/>
      <c r="AR60" s="51">
        <f t="shared" si="139"/>
        <v>-0.26205981174170728</v>
      </c>
      <c r="AS60" s="62">
        <f t="shared" si="140"/>
        <v>-1.3076610975348957E-2</v>
      </c>
      <c r="AT60" s="30">
        <v>932375.15635192394</v>
      </c>
      <c r="AU60" s="30">
        <v>752772.61754721403</v>
      </c>
      <c r="AV60" s="30">
        <v>655800.21049976302</v>
      </c>
      <c r="AW60" s="30">
        <v>712005.41615188099</v>
      </c>
      <c r="AX60" s="30">
        <v>831809.20259356499</v>
      </c>
    </row>
    <row r="61" spans="1:50" customFormat="1" ht="32.5" customHeight="1">
      <c r="A61" s="16"/>
      <c r="B61" s="16"/>
      <c r="C61" s="16"/>
      <c r="D61" s="16"/>
      <c r="E61" s="16"/>
      <c r="F61" s="341"/>
      <c r="G61" s="16"/>
      <c r="H61" s="16"/>
      <c r="I61" s="17"/>
      <c r="J61" s="209"/>
      <c r="K61" s="209"/>
      <c r="L61" s="17"/>
      <c r="M61" s="17"/>
      <c r="N61" s="17"/>
      <c r="P61" s="254">
        <v>2014</v>
      </c>
      <c r="Q61" s="51" t="s">
        <v>141</v>
      </c>
      <c r="R61" s="51">
        <f t="shared" si="121"/>
        <v>10.341145083410417</v>
      </c>
      <c r="S61" s="51">
        <f t="shared" si="121"/>
        <v>10.113341322881796</v>
      </c>
      <c r="T61" s="51">
        <f t="shared" si="121"/>
        <v>10.299983283752344</v>
      </c>
      <c r="U61" s="51">
        <f t="shared" si="121"/>
        <v>10.428319652244943</v>
      </c>
      <c r="V61" s="51">
        <f t="shared" si="121"/>
        <v>10.501496815099657</v>
      </c>
      <c r="W61" s="51">
        <f t="shared" si="135"/>
        <v>0.14682455436825259</v>
      </c>
      <c r="X61" s="51">
        <f t="shared" si="122"/>
        <v>3.5273094919000318E-2</v>
      </c>
      <c r="Y61" s="51">
        <f t="shared" si="123"/>
        <v>2.8853936015881508E-2</v>
      </c>
      <c r="Z61" s="51">
        <f t="shared" si="124"/>
        <v>1.7474916387959841E-2</v>
      </c>
      <c r="AA61" s="51">
        <f t="shared" si="125"/>
        <v>8.1328093556249814E-2</v>
      </c>
      <c r="AB61" s="51">
        <f t="shared" si="136"/>
        <v>0.54494183430811749</v>
      </c>
      <c r="AC61" s="51">
        <f t="shared" si="126"/>
        <v>0.9313953625722019</v>
      </c>
      <c r="AD61" s="51">
        <f t="shared" si="127"/>
        <v>0.89727892059866254</v>
      </c>
      <c r="AE61" s="51">
        <f t="shared" si="128"/>
        <v>0.88789576286204908</v>
      </c>
      <c r="AF61" s="51">
        <f t="shared" si="129"/>
        <v>0.88376482796872924</v>
      </c>
      <c r="AG61" s="51">
        <f t="shared" si="137"/>
        <v>2.0434957259463999</v>
      </c>
      <c r="AH61" s="51">
        <f t="shared" si="130"/>
        <v>1.2559503419600946</v>
      </c>
      <c r="AI61" s="51">
        <f t="shared" si="131"/>
        <v>1.7392863308588211</v>
      </c>
      <c r="AJ61" s="51">
        <f t="shared" si="132"/>
        <v>1.9352601690540214</v>
      </c>
      <c r="AK61" s="51">
        <f t="shared" si="133"/>
        <v>1.9782165286003184</v>
      </c>
      <c r="AL61" s="51"/>
      <c r="AM61" s="63">
        <f t="shared" si="138"/>
        <v>-0.1106993224086287</v>
      </c>
      <c r="AN61" s="51"/>
      <c r="AO61" s="51"/>
      <c r="AP61" s="63">
        <f t="shared" si="134"/>
        <v>-0.89553983271607696</v>
      </c>
      <c r="AQ61" s="51"/>
      <c r="AR61" s="51">
        <f t="shared" si="139"/>
        <v>-0.20151353134731323</v>
      </c>
      <c r="AS61" s="62">
        <f t="shared" si="140"/>
        <v>1.3514092629933305E-2</v>
      </c>
      <c r="AT61" s="30">
        <f>6899147.41156995/1000</f>
        <v>6899.1474115699502</v>
      </c>
      <c r="AU61" s="30">
        <f>1347563.79747391/1000</f>
        <v>1347.56379747391</v>
      </c>
      <c r="AV61" s="30">
        <f>1755845.58574855/1000</f>
        <v>1755.8455857485501</v>
      </c>
      <c r="AW61" s="30">
        <f>1958142.75445044/1000</f>
        <v>1958.14275445044</v>
      </c>
      <c r="AX61" s="30">
        <f>2137006.55856729/1000</f>
        <v>2137.0065585672901</v>
      </c>
    </row>
    <row r="62" spans="1:50" customFormat="1" ht="25.25" customHeight="1">
      <c r="A62" s="16"/>
      <c r="B62" s="16"/>
      <c r="C62" s="16"/>
      <c r="D62" s="16"/>
      <c r="E62" s="16"/>
      <c r="F62" s="341"/>
      <c r="G62" s="16"/>
      <c r="H62" s="16"/>
      <c r="I62" s="17"/>
      <c r="J62" s="209"/>
      <c r="K62" s="209"/>
      <c r="L62" s="17"/>
      <c r="M62" s="17"/>
      <c r="N62" s="17"/>
      <c r="P62" s="254">
        <v>2014</v>
      </c>
      <c r="Q62" s="51" t="s">
        <v>142</v>
      </c>
      <c r="R62" s="51">
        <f t="shared" si="121"/>
        <v>13.047432913250624</v>
      </c>
      <c r="S62" s="51">
        <f t="shared" si="121"/>
        <v>12.459970400813351</v>
      </c>
      <c r="T62" s="51">
        <f t="shared" si="121"/>
        <v>12.156031198833182</v>
      </c>
      <c r="U62" s="51">
        <f t="shared" si="121"/>
        <v>11.479523788336198</v>
      </c>
      <c r="V62" s="51">
        <f t="shared" si="121"/>
        <v>10.533322126884308</v>
      </c>
      <c r="W62" s="51">
        <f t="shared" si="135"/>
        <v>-5.0613920121404428E-3</v>
      </c>
      <c r="X62" s="51">
        <f t="shared" si="122"/>
        <v>-0.49537252529013842</v>
      </c>
      <c r="Y62" s="51">
        <f t="shared" si="123"/>
        <v>-1.1608564009293623</v>
      </c>
      <c r="Z62" s="51">
        <f t="shared" si="124"/>
        <v>0.16538282582846509</v>
      </c>
      <c r="AA62" s="51">
        <f t="shared" si="125"/>
        <v>-0.10395248495179246</v>
      </c>
      <c r="AB62" s="51">
        <f t="shared" si="136"/>
        <v>0.47943595564967678</v>
      </c>
      <c r="AC62" s="51">
        <f t="shared" si="126"/>
        <v>0.47547978657050682</v>
      </c>
      <c r="AD62" s="51">
        <f t="shared" si="127"/>
        <v>0.46818444489222077</v>
      </c>
      <c r="AE62" s="51">
        <f t="shared" si="128"/>
        <v>0.29971886532461156</v>
      </c>
      <c r="AF62" s="51">
        <f t="shared" si="129"/>
        <v>0.24988410620263604</v>
      </c>
      <c r="AG62" s="51">
        <f t="shared" si="137"/>
        <v>0.1616357578836386</v>
      </c>
      <c r="AH62" s="51">
        <f t="shared" si="130"/>
        <v>0.10916560348539966</v>
      </c>
      <c r="AI62" s="51">
        <f t="shared" si="131"/>
        <v>8.7318530092024157E-2</v>
      </c>
      <c r="AJ62" s="51">
        <f t="shared" si="132"/>
        <v>7.6591380648431184E-2</v>
      </c>
      <c r="AK62" s="51">
        <f t="shared" si="133"/>
        <v>9.1607337175314371E-2</v>
      </c>
      <c r="AL62" s="51"/>
      <c r="AM62" s="63">
        <f t="shared" si="138"/>
        <v>-9.1841464237878728E-2</v>
      </c>
      <c r="AN62" s="51"/>
      <c r="AO62" s="51"/>
      <c r="AP62" s="63">
        <f t="shared" si="134"/>
        <v>-0.17790531331668968</v>
      </c>
      <c r="AQ62" s="51"/>
      <c r="AR62" s="51">
        <f t="shared" si="139"/>
        <v>1.6227090719488741</v>
      </c>
      <c r="AS62" s="62">
        <f t="shared" si="140"/>
        <v>0.21830033868958473</v>
      </c>
      <c r="AT62" s="30">
        <v>1494049</v>
      </c>
      <c r="AU62" s="30">
        <v>1238719</v>
      </c>
      <c r="AV62" s="30">
        <v>1158649</v>
      </c>
      <c r="AW62" s="30">
        <v>884273</v>
      </c>
      <c r="AX62" s="30">
        <v>307441</v>
      </c>
    </row>
    <row r="63" spans="1:50" customFormat="1" ht="25.25" customHeight="1">
      <c r="A63" s="16"/>
      <c r="B63" s="16"/>
      <c r="C63" s="16"/>
      <c r="D63" s="16"/>
      <c r="E63" s="16"/>
      <c r="F63" s="341"/>
      <c r="G63" s="16"/>
      <c r="H63" s="16"/>
      <c r="I63" s="17"/>
      <c r="J63" s="209"/>
      <c r="K63" s="209"/>
      <c r="L63" s="17"/>
      <c r="M63" s="17"/>
      <c r="N63" s="17"/>
      <c r="P63" s="254">
        <v>2014</v>
      </c>
      <c r="Q63" s="78" t="s">
        <v>143</v>
      </c>
      <c r="R63" s="51">
        <f t="shared" si="121"/>
        <v>9.0069606419235377</v>
      </c>
      <c r="S63" s="51">
        <f t="shared" si="121"/>
        <v>8.6761582439200051</v>
      </c>
      <c r="T63" s="51">
        <f t="shared" si="121"/>
        <v>8.8394247075453212</v>
      </c>
      <c r="U63" s="51">
        <f t="shared" si="121"/>
        <v>8.4333726530773259</v>
      </c>
      <c r="V63" s="51">
        <f t="shared" si="121"/>
        <v>8.1896937270746939</v>
      </c>
      <c r="W63" s="51">
        <f t="shared" si="135"/>
        <v>-0.25927363377170071</v>
      </c>
      <c r="X63" s="51">
        <f t="shared" si="122"/>
        <v>-0.62268930847484394</v>
      </c>
      <c r="Y63" s="51">
        <f t="shared" si="123"/>
        <v>-0.31177012401723797</v>
      </c>
      <c r="Z63" s="51">
        <f t="shared" si="124"/>
        <v>-6.0711003132043446</v>
      </c>
      <c r="AA63" s="51">
        <f t="shared" si="125"/>
        <v>-2.926654495664085</v>
      </c>
      <c r="AB63" s="51">
        <f t="shared" si="136"/>
        <v>0.73287158146470299</v>
      </c>
      <c r="AC63" s="51">
        <f t="shared" si="126"/>
        <v>1.0154237045519607</v>
      </c>
      <c r="AD63" s="51">
        <f t="shared" si="127"/>
        <v>0.95841274023874867</v>
      </c>
      <c r="AE63" s="51">
        <f t="shared" si="128"/>
        <v>0.90571808874342474</v>
      </c>
      <c r="AF63" s="51">
        <f t="shared" si="129"/>
        <v>0.53571742541996603</v>
      </c>
      <c r="AG63" s="51">
        <f t="shared" si="137"/>
        <v>0.15830716188018554</v>
      </c>
      <c r="AH63" s="51">
        <f t="shared" si="130"/>
        <v>8.6100772974520498E-2</v>
      </c>
      <c r="AI63" s="51">
        <f t="shared" si="131"/>
        <v>0.11282058895027004</v>
      </c>
      <c r="AJ63" s="51">
        <f t="shared" si="132"/>
        <v>7.786474240338416E-2</v>
      </c>
      <c r="AK63" s="51">
        <f t="shared" si="133"/>
        <v>4.0981843416063909E-2</v>
      </c>
      <c r="AL63" s="51"/>
      <c r="AM63" s="63">
        <f t="shared" si="138"/>
        <v>8.4765607265501502E-2</v>
      </c>
      <c r="AN63" s="51"/>
      <c r="AO63" s="51"/>
      <c r="AP63" s="63">
        <f t="shared" si="134"/>
        <v>-0.58745661335388388</v>
      </c>
      <c r="AQ63" s="51"/>
      <c r="AR63" s="51">
        <f t="shared" si="139"/>
        <v>0.64973098047062794</v>
      </c>
      <c r="AS63" s="62">
        <f t="shared" si="140"/>
        <v>0.42269531481878264</v>
      </c>
      <c r="AT63" s="51">
        <v>26161.388665549501</v>
      </c>
      <c r="AU63" s="51">
        <v>-1049.9999940544399</v>
      </c>
      <c r="AV63" s="51">
        <v>2543.81378383934</v>
      </c>
      <c r="AW63" s="51">
        <v>5567.4295952022103</v>
      </c>
      <c r="AX63" s="51">
        <v>40825.328558027701</v>
      </c>
    </row>
    <row r="64" spans="1:50" customFormat="1" ht="25.25" customHeight="1">
      <c r="A64" s="16"/>
      <c r="B64" s="16"/>
      <c r="C64" s="16"/>
      <c r="D64" s="16"/>
      <c r="E64" s="16"/>
      <c r="F64" s="341"/>
      <c r="G64" s="16"/>
      <c r="H64" s="16"/>
      <c r="I64" s="17"/>
      <c r="J64" s="209"/>
      <c r="K64" s="209"/>
      <c r="L64" s="17"/>
      <c r="M64" s="17"/>
      <c r="N64" s="17"/>
      <c r="P64" s="254">
        <v>2013</v>
      </c>
      <c r="Q64" s="51" t="s">
        <v>144</v>
      </c>
      <c r="R64" s="51">
        <f t="shared" si="121"/>
        <v>8.7973353031239547</v>
      </c>
      <c r="S64" s="51">
        <f t="shared" si="121"/>
        <v>8.4099643405995543</v>
      </c>
      <c r="T64" s="51">
        <f t="shared" si="121"/>
        <v>8.3771418854834678</v>
      </c>
      <c r="U64" s="51">
        <f t="shared" si="121"/>
        <v>7.6929927386006396</v>
      </c>
      <c r="V64" s="51">
        <f t="shared" si="121"/>
        <v>7.7817267844419549</v>
      </c>
      <c r="W64" s="51">
        <f t="shared" si="135"/>
        <v>4.6453230472516829</v>
      </c>
      <c r="X64" s="51">
        <f t="shared" si="122"/>
        <v>8.023350433398198</v>
      </c>
      <c r="Y64" s="51">
        <f t="shared" si="123"/>
        <v>0.2039324972906025</v>
      </c>
      <c r="Z64" s="51">
        <f t="shared" si="124"/>
        <v>-2.0705767644191124</v>
      </c>
      <c r="AA64" s="51">
        <f t="shared" si="125"/>
        <v>2.4094246329038063</v>
      </c>
      <c r="AB64" s="51">
        <f t="shared" si="136"/>
        <v>0.53321814019711911</v>
      </c>
      <c r="AC64" s="51">
        <f t="shared" si="126"/>
        <v>0.680957382651873</v>
      </c>
      <c r="AD64" s="51">
        <f t="shared" si="127"/>
        <v>0.61629602335984091</v>
      </c>
      <c r="AE64" s="51">
        <f t="shared" si="128"/>
        <v>0.49369240851295171</v>
      </c>
      <c r="AF64" s="51">
        <f t="shared" si="129"/>
        <v>0.57959716758457624</v>
      </c>
      <c r="AG64" s="51">
        <f t="shared" si="137"/>
        <v>5.3531020022394293E-2</v>
      </c>
      <c r="AH64" s="51">
        <f t="shared" si="130"/>
        <v>2.7398597631607978E-2</v>
      </c>
      <c r="AI64" s="51">
        <f t="shared" si="131"/>
        <v>3.1988042741849278E-2</v>
      </c>
      <c r="AJ64" s="51">
        <f t="shared" si="132"/>
        <v>1.3319467421100186E-2</v>
      </c>
      <c r="AK64" s="51">
        <f t="shared" si="133"/>
        <v>1.0501966955153399E-2</v>
      </c>
      <c r="AL64" s="51"/>
      <c r="AM64" s="63">
        <f t="shared" si="138"/>
        <v>-1.878029643590453E-2</v>
      </c>
      <c r="AN64" s="51"/>
      <c r="AO64" s="51"/>
      <c r="AP64" s="63">
        <f t="shared" si="134"/>
        <v>-4.3188084009190053E-2</v>
      </c>
      <c r="AQ64" s="51"/>
      <c r="AR64" s="51">
        <f t="shared" si="139"/>
        <v>0.59541510104151318</v>
      </c>
      <c r="AS64" s="62">
        <f t="shared" si="140"/>
        <v>3.669885577526466E-2</v>
      </c>
      <c r="AT64" s="51">
        <v>57695.591320633903</v>
      </c>
      <c r="AU64" s="51">
        <v>52302.268830433502</v>
      </c>
      <c r="AV64" s="51">
        <v>52138.225803718</v>
      </c>
      <c r="AW64" s="51">
        <v>83358.880783975095</v>
      </c>
      <c r="AX64" s="51">
        <v>95930.340970158606</v>
      </c>
    </row>
    <row r="65" spans="1:50" customFormat="1" ht="25.25" customHeight="1">
      <c r="A65" s="16"/>
      <c r="B65" s="16"/>
      <c r="C65" s="16"/>
      <c r="D65" s="16"/>
      <c r="E65" s="16"/>
      <c r="F65" s="341"/>
      <c r="G65" s="16"/>
      <c r="H65" s="16"/>
      <c r="I65" s="17"/>
      <c r="J65" s="209"/>
      <c r="K65" s="209"/>
      <c r="L65" s="17"/>
      <c r="M65" s="17"/>
      <c r="N65" s="17"/>
      <c r="P65" s="254">
        <v>2012</v>
      </c>
      <c r="Q65" s="51" t="s">
        <v>145</v>
      </c>
      <c r="R65" s="51">
        <f t="shared" si="121"/>
        <v>8.3497208391297661</v>
      </c>
      <c r="S65" s="51">
        <f t="shared" si="121"/>
        <v>7.5878171975588824</v>
      </c>
      <c r="T65" s="51">
        <f t="shared" si="121"/>
        <v>7.4097419445441801</v>
      </c>
      <c r="U65" s="51">
        <f t="shared" si="121"/>
        <v>6.7440591848212303</v>
      </c>
      <c r="V65" s="51">
        <f t="shared" si="121"/>
        <v>4.7621739224297901</v>
      </c>
      <c r="W65" s="51">
        <f t="shared" si="135"/>
        <v>1.3208796319644818</v>
      </c>
      <c r="X65" s="51">
        <f t="shared" si="122"/>
        <v>-0.45238098322478787</v>
      </c>
      <c r="Y65" s="51">
        <f t="shared" si="123"/>
        <v>-0.91828087167070183</v>
      </c>
      <c r="Z65" s="51">
        <f t="shared" si="124"/>
        <v>3.4216725559481729</v>
      </c>
      <c r="AA65" s="51">
        <f t="shared" si="125"/>
        <v>-22.863247863247938</v>
      </c>
      <c r="AB65" s="51">
        <f t="shared" si="136"/>
        <v>0.29595583689759636</v>
      </c>
      <c r="AC65" s="51">
        <f t="shared" si="126"/>
        <v>0.1304646768965502</v>
      </c>
      <c r="AD65" s="51">
        <f t="shared" si="127"/>
        <v>0.14010451309490762</v>
      </c>
      <c r="AE65" s="51">
        <f t="shared" si="128"/>
        <v>0.47131248322061492</v>
      </c>
      <c r="AF65" s="51">
        <f t="shared" si="129"/>
        <v>0.51209227114564171</v>
      </c>
      <c r="AG65" s="51">
        <f t="shared" si="137"/>
        <v>5.1763813162464624E-2</v>
      </c>
      <c r="AH65" s="51">
        <f t="shared" si="130"/>
        <v>1.0282160167109053E-2</v>
      </c>
      <c r="AI65" s="51">
        <f t="shared" si="131"/>
        <v>8.4635482590688857E-3</v>
      </c>
      <c r="AJ65" s="51">
        <f t="shared" si="132"/>
        <v>1.3937453788028622E-2</v>
      </c>
      <c r="AK65" s="51">
        <f t="shared" si="133"/>
        <v>1.9500974831702317E-3</v>
      </c>
      <c r="AL65" s="51"/>
      <c r="AM65" s="63">
        <f t="shared" si="138"/>
        <v>3.6813647642452152E-2</v>
      </c>
      <c r="AN65" s="51"/>
      <c r="AO65" s="51"/>
      <c r="AP65" s="63">
        <f t="shared" si="134"/>
        <v>8.2342819221579128E-2</v>
      </c>
      <c r="AQ65" s="51"/>
      <c r="AR65" s="51">
        <f t="shared" si="139"/>
        <v>2.6475680221143896</v>
      </c>
      <c r="AS65" s="62">
        <f t="shared" si="140"/>
        <v>-0.37198775805073409</v>
      </c>
      <c r="AT65" s="51">
        <v>57520.000027071903</v>
      </c>
      <c r="AU65" s="51">
        <v>166935.999965147</v>
      </c>
      <c r="AV65" s="51">
        <v>167841.00004407999</v>
      </c>
      <c r="AW65" s="51">
        <v>32204.999952010799</v>
      </c>
      <c r="AX65" s="51">
        <v>29272.999971842401</v>
      </c>
    </row>
    <row r="66" spans="1:50" customFormat="1" ht="25.25" customHeight="1">
      <c r="A66" s="16"/>
      <c r="B66" s="16"/>
      <c r="C66" s="16"/>
      <c r="D66" s="16"/>
      <c r="E66" s="16"/>
      <c r="F66" s="341"/>
      <c r="G66" s="16"/>
      <c r="H66" s="16"/>
      <c r="I66" s="17"/>
      <c r="J66" s="209"/>
      <c r="K66" s="209"/>
      <c r="L66" s="17"/>
      <c r="M66" s="17"/>
      <c r="N66" s="17"/>
      <c r="P66" s="254">
        <v>2015</v>
      </c>
      <c r="Q66" s="51" t="s">
        <v>146</v>
      </c>
      <c r="R66" s="51">
        <f t="shared" si="121"/>
        <v>12.683008441689687</v>
      </c>
      <c r="S66" s="51">
        <f t="shared" si="121"/>
        <v>12.936778100465176</v>
      </c>
      <c r="T66" s="51">
        <f t="shared" si="121"/>
        <v>13.096912227197027</v>
      </c>
      <c r="U66" s="51">
        <f t="shared" si="121"/>
        <v>12.953824008434148</v>
      </c>
      <c r="V66" s="51">
        <f t="shared" si="121"/>
        <v>13.104834642853366</v>
      </c>
      <c r="W66" s="51">
        <f t="shared" si="135"/>
        <v>-0.29187899176354482</v>
      </c>
      <c r="X66" s="51">
        <f t="shared" si="122"/>
        <v>-0.49130647301166119</v>
      </c>
      <c r="Y66" s="51">
        <f t="shared" si="123"/>
        <v>-0.31984777457507158</v>
      </c>
      <c r="Z66" s="51">
        <f t="shared" si="124"/>
        <v>-0.34112046661253786</v>
      </c>
      <c r="AA66" s="51">
        <f t="shared" si="125"/>
        <v>0.2395667111733481</v>
      </c>
      <c r="AB66" s="51">
        <f t="shared" si="136"/>
        <v>0.73309442452583307</v>
      </c>
      <c r="AC66" s="51">
        <f t="shared" si="126"/>
        <v>0.76841387235186975</v>
      </c>
      <c r="AD66" s="51">
        <f t="shared" si="127"/>
        <v>0.73150423263542153</v>
      </c>
      <c r="AE66" s="51">
        <f t="shared" si="128"/>
        <v>0.67298864638090494</v>
      </c>
      <c r="AF66" s="51">
        <f t="shared" si="129"/>
        <v>0.63564769103912966</v>
      </c>
      <c r="AG66" s="51">
        <f t="shared" si="137"/>
        <v>0.18452212225694378</v>
      </c>
      <c r="AH66" s="51">
        <f t="shared" si="130"/>
        <v>0.2030776377394472</v>
      </c>
      <c r="AI66" s="51">
        <f t="shared" si="131"/>
        <v>0.20197108631427163</v>
      </c>
      <c r="AJ66" s="51">
        <f t="shared" si="132"/>
        <v>0.20757920163999996</v>
      </c>
      <c r="AK66" s="51">
        <f t="shared" si="133"/>
        <v>0.21733852845105511</v>
      </c>
      <c r="AL66" s="51"/>
      <c r="AM66" s="63">
        <f t="shared" si="138"/>
        <v>-0.11666707895840389</v>
      </c>
      <c r="AN66" s="51"/>
      <c r="AO66" s="51"/>
      <c r="AP66" s="63">
        <f t="shared" si="134"/>
        <v>-0.38350281081054582</v>
      </c>
      <c r="AQ66" s="51"/>
      <c r="AR66" s="51">
        <f t="shared" si="139"/>
        <v>-7.9224156563392403E-3</v>
      </c>
      <c r="AS66" s="62">
        <f t="shared" si="140"/>
        <v>9.5856541596291867E-2</v>
      </c>
      <c r="AT66" s="51">
        <v>466090</v>
      </c>
      <c r="AU66" s="51">
        <v>473611</v>
      </c>
      <c r="AV66" s="51">
        <v>647985</v>
      </c>
      <c r="AW66" s="51">
        <v>665508</v>
      </c>
      <c r="AX66" s="51">
        <v>823649</v>
      </c>
    </row>
    <row r="67" spans="1:50" customFormat="1" ht="32.5" customHeight="1">
      <c r="A67" s="16"/>
      <c r="B67" s="16"/>
      <c r="C67" s="16"/>
      <c r="D67" s="16"/>
      <c r="E67" s="16"/>
      <c r="F67" s="341"/>
      <c r="G67" s="16"/>
      <c r="H67" s="16"/>
      <c r="I67" s="17"/>
      <c r="J67" s="209"/>
      <c r="K67" s="209"/>
      <c r="L67" s="17"/>
      <c r="M67" s="17"/>
      <c r="N67" s="17"/>
      <c r="P67" s="254">
        <v>2016</v>
      </c>
      <c r="Q67" s="51" t="s">
        <v>147</v>
      </c>
      <c r="R67" s="51">
        <f t="shared" ref="R67:V67" si="141">LN(R13)</f>
        <v>9.1197150891288974</v>
      </c>
      <c r="S67" s="51">
        <f t="shared" si="141"/>
        <v>3.1354942145880456</v>
      </c>
      <c r="T67" s="51">
        <f t="shared" si="141"/>
        <v>3.6888794585097791</v>
      </c>
      <c r="U67" s="51">
        <f t="shared" si="141"/>
        <v>4.4659081129921425</v>
      </c>
      <c r="V67" s="51">
        <f t="shared" si="141"/>
        <v>3.9120229802451836</v>
      </c>
      <c r="W67" s="51">
        <f t="shared" si="135"/>
        <v>0.84299128352848762</v>
      </c>
      <c r="X67" s="51">
        <f t="shared" si="122"/>
        <v>-47.260869565217412</v>
      </c>
      <c r="Y67" s="51">
        <f t="shared" si="123"/>
        <v>189.20000000000007</v>
      </c>
      <c r="Z67" s="51">
        <f t="shared" si="124"/>
        <v>-620.25287756353873</v>
      </c>
      <c r="AA67" s="51">
        <f t="shared" si="125"/>
        <v>-32.939999999999962</v>
      </c>
      <c r="AB67" s="51">
        <f t="shared" si="136"/>
        <v>9.6828363519065264E-2</v>
      </c>
      <c r="AC67" s="51">
        <f t="shared" si="126"/>
        <v>0.18054535962553342</v>
      </c>
      <c r="AD67" s="51">
        <f t="shared" si="127"/>
        <v>0.17294583414133752</v>
      </c>
      <c r="AE67" s="51">
        <f t="shared" si="128"/>
        <v>0.18402553645691413</v>
      </c>
      <c r="AF67" s="51">
        <f t="shared" si="129"/>
        <v>0.18802746053768979</v>
      </c>
      <c r="AG67" s="51">
        <f t="shared" si="137"/>
        <v>0.38041137349031862</v>
      </c>
      <c r="AH67" s="51">
        <f t="shared" si="130"/>
        <v>1.5349091710605689E-4</v>
      </c>
      <c r="AI67" s="51">
        <f t="shared" si="131"/>
        <v>2.6705657034364243E-4</v>
      </c>
      <c r="AJ67" s="51">
        <f t="shared" si="132"/>
        <v>6.1035498459626652E-4</v>
      </c>
      <c r="AK67" s="51">
        <f t="shared" si="133"/>
        <v>2.3287440957587925E-4</v>
      </c>
      <c r="AL67" s="51"/>
      <c r="AM67" s="63">
        <f t="shared" si="138"/>
        <v>5.8197986160446628E-2</v>
      </c>
      <c r="AN67" s="51"/>
      <c r="AO67" s="51"/>
      <c r="AP67" s="63">
        <f t="shared" si="134"/>
        <v>7.0539585108597952E-2</v>
      </c>
      <c r="AQ67" s="51"/>
      <c r="AR67" s="51">
        <f t="shared" si="139"/>
        <v>-0.22314352173540489</v>
      </c>
      <c r="AS67" s="62">
        <f t="shared" si="140"/>
        <v>-1.5081626396352271E-2</v>
      </c>
      <c r="AT67" s="51">
        <v>21684.9655826241</v>
      </c>
      <c r="AU67" s="51">
        <v>122790.999950399</v>
      </c>
      <c r="AV67" s="51">
        <v>123878.00005733701</v>
      </c>
      <c r="AW67" s="51">
        <v>116309.00003746299</v>
      </c>
      <c r="AX67" s="51">
        <v>174337.00003646497</v>
      </c>
    </row>
    <row r="68" spans="1:50" customFormat="1" ht="25.25" customHeight="1">
      <c r="A68" s="16"/>
      <c r="B68" s="16"/>
      <c r="C68" s="16"/>
      <c r="D68" s="16"/>
      <c r="E68" s="16"/>
      <c r="F68" s="341"/>
      <c r="G68" s="16"/>
      <c r="H68" s="16"/>
      <c r="I68" s="17"/>
      <c r="J68" s="209"/>
      <c r="K68" s="209"/>
      <c r="L68" s="17"/>
      <c r="M68" s="17"/>
      <c r="N68" s="17"/>
      <c r="P68" s="254">
        <v>2017</v>
      </c>
      <c r="Q68" s="50" t="s">
        <v>148</v>
      </c>
      <c r="R68" s="51" t="e">
        <f t="shared" ref="R68:V68" si="142">LN(R14)</f>
        <v>#NUM!</v>
      </c>
      <c r="S68" s="51" t="e">
        <f t="shared" si="142"/>
        <v>#NUM!</v>
      </c>
      <c r="T68" s="51" t="e">
        <f t="shared" si="142"/>
        <v>#NUM!</v>
      </c>
      <c r="U68" s="51">
        <f t="shared" si="142"/>
        <v>3.2417546116489762</v>
      </c>
      <c r="V68" s="51" t="e">
        <f t="shared" si="142"/>
        <v>#NUM!</v>
      </c>
      <c r="W68" s="51" t="e">
        <f t="shared" ref="W68:AA68" si="143">W14/R14</f>
        <v>#DIV/0!</v>
      </c>
      <c r="X68" s="51" t="e">
        <f t="shared" si="143"/>
        <v>#DIV/0!</v>
      </c>
      <c r="Y68" s="51" t="e">
        <f t="shared" si="143"/>
        <v>#DIV/0!</v>
      </c>
      <c r="Z68" s="51">
        <f t="shared" si="143"/>
        <v>10.223809523809493</v>
      </c>
      <c r="AA68" s="51" t="e">
        <f t="shared" si="143"/>
        <v>#DIV/0!</v>
      </c>
      <c r="AB68" s="51">
        <f t="shared" ref="AB68:AF68" si="144">AB14/AG14</f>
        <v>0.10765038547117713</v>
      </c>
      <c r="AC68" s="51">
        <f t="shared" si="144"/>
        <v>0.19895503871272499</v>
      </c>
      <c r="AD68" s="51">
        <f t="shared" si="144"/>
        <v>0.24460572905530112</v>
      </c>
      <c r="AE68" s="51">
        <f t="shared" si="144"/>
        <v>0.25195092298937555</v>
      </c>
      <c r="AF68" s="51">
        <f t="shared" si="144"/>
        <v>0.24170205730700489</v>
      </c>
      <c r="AG68" s="51">
        <f t="shared" ref="AG68:AK68" si="145">R14/AG14</f>
        <v>0</v>
      </c>
      <c r="AH68" s="51">
        <f t="shared" si="145"/>
        <v>0</v>
      </c>
      <c r="AI68" s="51">
        <f t="shared" si="145"/>
        <v>0</v>
      </c>
      <c r="AJ68" s="51">
        <f t="shared" si="145"/>
        <v>1.4956423392131088E-4</v>
      </c>
      <c r="AK68" s="51">
        <f t="shared" si="145"/>
        <v>0</v>
      </c>
      <c r="AL68" s="51"/>
      <c r="AM68" s="63">
        <f t="shared" ref="AM68:AM103" si="146">AN14-AL14</f>
        <v>3.6820106144040569E-2</v>
      </c>
      <c r="AN68" s="51"/>
      <c r="AO68" s="51"/>
      <c r="AP68" s="63">
        <f t="shared" ref="AP68:AP103" si="147">AQ14-AO14</f>
        <v>4.8805484908675034E-2</v>
      </c>
      <c r="AQ68" s="51"/>
      <c r="AR68" s="51" t="e">
        <f t="shared" si="139"/>
        <v>#DIV/0!</v>
      </c>
      <c r="AS68" s="62">
        <f t="shared" ref="AS68" si="148">AD68-AF68</f>
        <v>2.9036717482962271E-3</v>
      </c>
      <c r="AT68" s="51">
        <v>145655.213170156</v>
      </c>
      <c r="AU68" s="51">
        <v>132518.56339976899</v>
      </c>
      <c r="AV68" s="51">
        <v>129279.861736864</v>
      </c>
      <c r="AW68" s="51">
        <v>127931.791061759</v>
      </c>
      <c r="AX68" s="51">
        <v>127701.507397547</v>
      </c>
    </row>
    <row r="69" spans="1:50" ht="25.25" customHeight="1">
      <c r="A69" s="17"/>
      <c r="B69" s="17"/>
      <c r="C69" s="17"/>
      <c r="D69" s="17"/>
      <c r="E69" s="17"/>
      <c r="F69" s="86"/>
      <c r="G69" s="17"/>
      <c r="H69" s="209"/>
      <c r="O69"/>
      <c r="P69" s="254">
        <v>2017</v>
      </c>
      <c r="Q69" s="51" t="s">
        <v>150</v>
      </c>
      <c r="R69" s="51">
        <f t="shared" ref="R69:V69" si="149">LN(R15)</f>
        <v>13.872835624583544</v>
      </c>
      <c r="S69" s="51">
        <f t="shared" si="149"/>
        <v>14.164052518672818</v>
      </c>
      <c r="T69" s="51">
        <f t="shared" si="149"/>
        <v>13.239257128875828</v>
      </c>
      <c r="U69" s="51">
        <f t="shared" si="149"/>
        <v>14.564565370462516</v>
      </c>
      <c r="V69" s="51">
        <f t="shared" si="149"/>
        <v>14.990157532908382</v>
      </c>
      <c r="W69" s="51">
        <f t="shared" ref="W69:AA69" si="150">W15/R15</f>
        <v>-4.403210576015109</v>
      </c>
      <c r="X69" s="51">
        <f t="shared" si="150"/>
        <v>-0.86238532110091748</v>
      </c>
      <c r="Y69" s="51">
        <f t="shared" si="150"/>
        <v>-1.0765124555160142</v>
      </c>
      <c r="Z69" s="51">
        <f t="shared" si="150"/>
        <v>-1.4666666666666666</v>
      </c>
      <c r="AA69" s="51">
        <f t="shared" si="150"/>
        <v>-4.7883843064565959E-2</v>
      </c>
      <c r="AB69" s="51">
        <f t="shared" ref="AB69:AF69" si="151">AB15/AG15</f>
        <v>1.7927291088109063</v>
      </c>
      <c r="AC69" s="51">
        <f t="shared" si="151"/>
        <v>0.80676797068649642</v>
      </c>
      <c r="AD69" s="51">
        <f t="shared" si="151"/>
        <v>0.72022492625368728</v>
      </c>
      <c r="AE69" s="51">
        <f t="shared" si="151"/>
        <v>0.6130018907796686</v>
      </c>
      <c r="AF69" s="51">
        <f t="shared" si="151"/>
        <v>0.5355395550632327</v>
      </c>
      <c r="AG69" s="51">
        <f t="shared" ref="AG69:AK69" si="152">R15/AG15</f>
        <v>0.26735672809896494</v>
      </c>
      <c r="AH69" s="51">
        <f t="shared" si="152"/>
        <v>0.15271042138161439</v>
      </c>
      <c r="AI69" s="51">
        <f t="shared" si="152"/>
        <v>5.1806784660766964E-2</v>
      </c>
      <c r="AJ69" s="51">
        <f t="shared" si="152"/>
        <v>0.11761761761761762</v>
      </c>
      <c r="AK69" s="51">
        <f t="shared" si="152"/>
        <v>0.14940459706452505</v>
      </c>
      <c r="AL69" s="51"/>
      <c r="AM69" s="63">
        <f t="shared" si="146"/>
        <v>-4.8616582688589191E-2</v>
      </c>
      <c r="AN69" s="51"/>
      <c r="AO69" s="51"/>
      <c r="AP69" s="63">
        <f t="shared" si="147"/>
        <v>-0.18393806007326824</v>
      </c>
      <c r="AQ69" s="51"/>
      <c r="AR69" s="51">
        <f t="shared" si="139"/>
        <v>-1.7509004040325533</v>
      </c>
      <c r="AS69" s="62">
        <f t="shared" ref="AS69" si="153">AD69-AF69</f>
        <v>0.18468537119045458</v>
      </c>
      <c r="AT69" s="51">
        <v>-3140000</v>
      </c>
      <c r="AU69" s="51">
        <v>1793000</v>
      </c>
      <c r="AV69" s="51">
        <v>3035000</v>
      </c>
      <c r="AW69" s="51">
        <v>6959000</v>
      </c>
      <c r="AX69" s="51">
        <v>10063000</v>
      </c>
    </row>
    <row r="70" spans="1:50" ht="25.25" customHeight="1">
      <c r="A70" s="17"/>
      <c r="B70" s="17"/>
      <c r="C70" s="17"/>
      <c r="D70" s="17"/>
      <c r="E70" s="17"/>
      <c r="F70" s="86"/>
      <c r="G70" s="17"/>
      <c r="H70" s="209"/>
      <c r="O70"/>
      <c r="P70" s="254">
        <v>2014</v>
      </c>
      <c r="Q70" s="51" t="s">
        <v>157</v>
      </c>
      <c r="R70" s="51">
        <f t="shared" ref="R70:V70" si="154">LN(R16)</f>
        <v>14.243568514725073</v>
      </c>
      <c r="S70" s="51">
        <f t="shared" si="154"/>
        <v>14.166836923726073</v>
      </c>
      <c r="T70" s="51">
        <f t="shared" si="154"/>
        <v>14.19459952046863</v>
      </c>
      <c r="U70" s="51">
        <f t="shared" si="154"/>
        <v>14.364191925274701</v>
      </c>
      <c r="V70" s="51">
        <f t="shared" si="154"/>
        <v>14.550728712744503</v>
      </c>
      <c r="W70" s="51">
        <f t="shared" ref="W70:AA70" si="155">W16/R16</f>
        <v>-2.0815694709227485E-2</v>
      </c>
      <c r="X70" s="51">
        <f t="shared" si="155"/>
        <v>2.4500492979701624E-2</v>
      </c>
      <c r="Y70" s="51">
        <f t="shared" si="155"/>
        <v>-0.10960311522684166</v>
      </c>
      <c r="Z70" s="51">
        <f t="shared" si="155"/>
        <v>-6.7731426732656683E-2</v>
      </c>
      <c r="AA70" s="51">
        <f t="shared" si="155"/>
        <v>-6.118593226928714E-3</v>
      </c>
      <c r="AB70" s="51">
        <f t="shared" ref="AB70:AF70" si="156">AB16/AG16</f>
        <v>0.71543795420384682</v>
      </c>
      <c r="AC70" s="51">
        <f t="shared" si="156"/>
        <v>0.98147400411029573</v>
      </c>
      <c r="AD70" s="51">
        <f t="shared" si="156"/>
        <v>0.80631043329849894</v>
      </c>
      <c r="AE70" s="51">
        <f t="shared" si="156"/>
        <v>0.6003439152888187</v>
      </c>
      <c r="AF70" s="51">
        <f t="shared" si="156"/>
        <v>0.55432670426035946</v>
      </c>
      <c r="AG70" s="51">
        <f t="shared" ref="AG70:AK70" si="157">R16/AG16</f>
        <v>1.1065877047974313</v>
      </c>
      <c r="AH70" s="51">
        <f t="shared" si="157"/>
        <v>1.1709159498919688</v>
      </c>
      <c r="AI70" s="51">
        <f t="shared" si="157"/>
        <v>1.1619043756133796</v>
      </c>
      <c r="AJ70" s="51">
        <f t="shared" si="157"/>
        <v>1.2016687597320599</v>
      </c>
      <c r="AK70" s="51">
        <f t="shared" si="157"/>
        <v>1.0572273249313491</v>
      </c>
      <c r="AL70" s="51"/>
      <c r="AM70" s="63">
        <f t="shared" si="146"/>
        <v>-0.12087959521327585</v>
      </c>
      <c r="AN70" s="51"/>
      <c r="AO70" s="51"/>
      <c r="AP70" s="63">
        <f t="shared" si="147"/>
        <v>-0.64297230383473658</v>
      </c>
      <c r="AQ70" s="51"/>
      <c r="AR70" s="51">
        <f t="shared" si="139"/>
        <v>-0.35612919227587286</v>
      </c>
      <c r="AS70" s="62">
        <f t="shared" ref="AS70" si="158">AD70-AF70</f>
        <v>0.25198372903813948</v>
      </c>
      <c r="AT70" s="51">
        <v>394543</v>
      </c>
      <c r="AU70" s="51">
        <v>22483</v>
      </c>
      <c r="AV70" s="51">
        <v>243541</v>
      </c>
      <c r="AW70" s="51">
        <v>575693</v>
      </c>
      <c r="AX70" s="51">
        <v>879326</v>
      </c>
    </row>
    <row r="71" spans="1:50" ht="25.25" customHeight="1">
      <c r="A71" s="17"/>
      <c r="B71" s="17"/>
      <c r="C71" s="17"/>
      <c r="D71" s="17"/>
      <c r="E71" s="17"/>
      <c r="F71" s="86"/>
      <c r="G71" s="17"/>
      <c r="H71" s="209"/>
      <c r="O71"/>
      <c r="P71" s="254">
        <v>2019</v>
      </c>
      <c r="Q71" s="51" t="s">
        <v>158</v>
      </c>
      <c r="R71" s="51" t="e">
        <f t="shared" ref="R71:V71" si="159">LN(R17)</f>
        <v>#NUM!</v>
      </c>
      <c r="S71" s="51" t="e">
        <f t="shared" si="159"/>
        <v>#NUM!</v>
      </c>
      <c r="T71" s="51">
        <f t="shared" si="159"/>
        <v>12.358394631728665</v>
      </c>
      <c r="U71" s="51">
        <f t="shared" si="159"/>
        <v>12.267092729049731</v>
      </c>
      <c r="V71" s="51">
        <f t="shared" si="159"/>
        <v>12.05079273093021</v>
      </c>
      <c r="W71" s="51" t="e">
        <f t="shared" ref="W71:AA71" si="160">W17/R17</f>
        <v>#DIV/0!</v>
      </c>
      <c r="X71" s="51" t="e">
        <f t="shared" si="160"/>
        <v>#DIV/0!</v>
      </c>
      <c r="Y71" s="51">
        <f t="shared" si="160"/>
        <v>9.8503697342875798E-2</v>
      </c>
      <c r="Z71" s="51">
        <f t="shared" si="160"/>
        <v>8.330243751901957E-2</v>
      </c>
      <c r="AA71" s="51">
        <f t="shared" si="160"/>
        <v>3.5867484121655857E-2</v>
      </c>
      <c r="AB71" s="51" t="e">
        <f t="shared" ref="AB71:AF71" si="161">AB17/AG17</f>
        <v>#VALUE!</v>
      </c>
      <c r="AC71" s="51" t="e">
        <f t="shared" si="161"/>
        <v>#VALUE!</v>
      </c>
      <c r="AD71" s="51">
        <f t="shared" si="161"/>
        <v>1.4954842514427611E-2</v>
      </c>
      <c r="AE71" s="51">
        <f t="shared" si="161"/>
        <v>1.3684901477951518E-2</v>
      </c>
      <c r="AF71" s="51">
        <f t="shared" si="161"/>
        <v>1.7592616793535906E-2</v>
      </c>
      <c r="AG71" s="51" t="e">
        <f t="shared" ref="AG71:AK71" si="162">R17/AG17</f>
        <v>#VALUE!</v>
      </c>
      <c r="AH71" s="51" t="e">
        <f t="shared" si="162"/>
        <v>#VALUE!</v>
      </c>
      <c r="AI71" s="51">
        <f t="shared" si="162"/>
        <v>2.8785767685836867E-2</v>
      </c>
      <c r="AJ71" s="51">
        <f t="shared" si="162"/>
        <v>2.4897049212549732E-2</v>
      </c>
      <c r="AK71" s="51">
        <f t="shared" si="162"/>
        <v>2.3927881388976849E-2</v>
      </c>
      <c r="AL71" s="51"/>
      <c r="AM71" s="63">
        <f t="shared" si="146"/>
        <v>1.9772716421240176E-3</v>
      </c>
      <c r="AN71" s="51"/>
      <c r="AO71" s="51"/>
      <c r="AP71" s="63">
        <f t="shared" si="147"/>
        <v>5.4526077633145195E-2</v>
      </c>
      <c r="AQ71" s="51"/>
      <c r="AR71" s="51">
        <f t="shared" si="139"/>
        <v>0.30760190079845462</v>
      </c>
      <c r="AS71" s="62">
        <f t="shared" ref="AS71" si="163">AD71-AF71</f>
        <v>-2.6377742791082945E-3</v>
      </c>
      <c r="AT71" s="51">
        <v>0</v>
      </c>
      <c r="AU71" s="51">
        <v>0</v>
      </c>
      <c r="AV71" s="51">
        <v>150148.64799118001</v>
      </c>
      <c r="AW71" s="51">
        <v>120372.54987170501</v>
      </c>
      <c r="AX71" s="51">
        <v>62498.619018599398</v>
      </c>
    </row>
    <row r="72" spans="1:50" ht="25.25" customHeight="1">
      <c r="A72" s="17"/>
      <c r="B72" s="17"/>
      <c r="C72" s="17"/>
      <c r="D72" s="17"/>
      <c r="E72" s="17"/>
      <c r="F72" s="86"/>
      <c r="G72" s="17"/>
      <c r="H72" s="209"/>
      <c r="O72"/>
      <c r="P72" s="254">
        <v>2018</v>
      </c>
      <c r="Q72" s="51" t="s">
        <v>202</v>
      </c>
      <c r="R72" s="51" t="e">
        <f t="shared" ref="R72:V72" si="164">LN(R18)</f>
        <v>#NUM!</v>
      </c>
      <c r="S72" s="51">
        <f t="shared" si="164"/>
        <v>10.895177140926814</v>
      </c>
      <c r="T72" s="51">
        <f t="shared" si="164"/>
        <v>10.200837985768114</v>
      </c>
      <c r="U72" s="51">
        <f t="shared" si="164"/>
        <v>10.178924357069118</v>
      </c>
      <c r="V72" s="51">
        <f t="shared" si="164"/>
        <v>10.338917393814553</v>
      </c>
      <c r="W72" s="51" t="e">
        <f t="shared" ref="W72:AA72" si="165">W18/R18</f>
        <v>#DIV/0!</v>
      </c>
      <c r="X72" s="51">
        <f t="shared" si="165"/>
        <v>0.37520248923137867</v>
      </c>
      <c r="Y72" s="51">
        <f t="shared" si="165"/>
        <v>0.8525811309261957</v>
      </c>
      <c r="Z72" s="51">
        <f t="shared" si="165"/>
        <v>0.98879923813850612</v>
      </c>
      <c r="AA72" s="51">
        <f t="shared" si="165"/>
        <v>0.95395441936704084</v>
      </c>
      <c r="AB72" s="51" t="e">
        <f t="shared" ref="AB72:AF72" si="166">AB18/AG18</f>
        <v>#DIV/0!</v>
      </c>
      <c r="AC72" s="51">
        <f t="shared" si="166"/>
        <v>0.63269495650336638</v>
      </c>
      <c r="AD72" s="51">
        <f t="shared" si="166"/>
        <v>0.63901000361666549</v>
      </c>
      <c r="AE72" s="51">
        <f t="shared" si="166"/>
        <v>0.67890842887871228</v>
      </c>
      <c r="AF72" s="51">
        <f t="shared" si="166"/>
        <v>0.67988711768743804</v>
      </c>
      <c r="AG72" s="51" t="e">
        <f t="shared" ref="AG72:AK72" si="167">R18/AG18</f>
        <v>#DIV/0!</v>
      </c>
      <c r="AH72" s="51">
        <f t="shared" si="167"/>
        <v>0.31960607715839517</v>
      </c>
      <c r="AI72" s="51">
        <f t="shared" si="167"/>
        <v>0.17629034723698137</v>
      </c>
      <c r="AJ72" s="51">
        <f t="shared" si="167"/>
        <v>0.15372749537802791</v>
      </c>
      <c r="AK72" s="51">
        <f t="shared" si="167"/>
        <v>0.16404390672084115</v>
      </c>
      <c r="AL72" s="51"/>
      <c r="AM72" s="63">
        <f t="shared" si="146"/>
        <v>-6.1885861679037146E-3</v>
      </c>
      <c r="AN72" s="51"/>
      <c r="AO72" s="51"/>
      <c r="AP72" s="63">
        <f t="shared" si="147"/>
        <v>-7.2500002084902426E-2</v>
      </c>
      <c r="AQ72" s="51"/>
      <c r="AR72" s="51">
        <f t="shared" si="139"/>
        <v>-0.13807940804643837</v>
      </c>
      <c r="AS72" s="62">
        <f t="shared" ref="AS72" si="168">AD72-AF72</f>
        <v>-4.0877114070772547E-2</v>
      </c>
      <c r="AT72" s="51"/>
      <c r="AU72" s="51">
        <v>61962.249300390497</v>
      </c>
      <c r="AV72" s="51">
        <v>55135.876360543101</v>
      </c>
      <c r="AW72" s="51">
        <v>55020.943539559798</v>
      </c>
      <c r="AX72" s="51">
        <v>60322.290155544899</v>
      </c>
    </row>
    <row r="73" spans="1:50" ht="25.25" customHeight="1">
      <c r="A73" s="17"/>
      <c r="B73" s="17"/>
      <c r="C73" s="17"/>
      <c r="D73" s="17"/>
      <c r="E73" s="17"/>
      <c r="F73" s="86"/>
      <c r="G73" s="17"/>
      <c r="H73" s="209"/>
      <c r="O73"/>
      <c r="P73" s="254">
        <v>2018</v>
      </c>
      <c r="Q73" s="51" t="s">
        <v>203</v>
      </c>
      <c r="R73" s="51">
        <f t="shared" ref="R73:V73" si="169">LN(R19)</f>
        <v>11.270277424747061</v>
      </c>
      <c r="S73" s="51">
        <f t="shared" si="169"/>
        <v>11.349827071754406</v>
      </c>
      <c r="T73" s="51">
        <f t="shared" si="169"/>
        <v>11.684927239524544</v>
      </c>
      <c r="U73" s="51">
        <f t="shared" si="169"/>
        <v>11.674409047214658</v>
      </c>
      <c r="V73" s="51">
        <f t="shared" si="169"/>
        <v>11.70238853743122</v>
      </c>
      <c r="W73" s="51">
        <f t="shared" ref="W73:AA73" si="170">W19/R19</f>
        <v>0.3943040965589597</v>
      </c>
      <c r="X73" s="51">
        <f t="shared" si="170"/>
        <v>0.30503429336350985</v>
      </c>
      <c r="Y73" s="51">
        <f t="shared" si="170"/>
        <v>0.22842911708380345</v>
      </c>
      <c r="Z73" s="51">
        <f t="shared" si="170"/>
        <v>0.32789448690143541</v>
      </c>
      <c r="AA73" s="51">
        <f t="shared" si="170"/>
        <v>0.46268774042313349</v>
      </c>
      <c r="AB73" s="51">
        <f t="shared" ref="AB73:AF73" si="171">AB19/AG19</f>
        <v>0.92397424677439699</v>
      </c>
      <c r="AC73" s="51">
        <f t="shared" si="171"/>
        <v>0.92537445354600445</v>
      </c>
      <c r="AD73" s="51">
        <f t="shared" si="171"/>
        <v>0.92719219275316167</v>
      </c>
      <c r="AE73" s="51">
        <f t="shared" si="171"/>
        <v>0.92427448384922795</v>
      </c>
      <c r="AF73" s="51">
        <f t="shared" si="171"/>
        <v>0.92433030779166403</v>
      </c>
      <c r="AG73" s="51">
        <f t="shared" ref="AG73:AK73" si="172">R19/AG19</f>
        <v>1.1822754582850611E-2</v>
      </c>
      <c r="AH73" s="51">
        <f t="shared" si="172"/>
        <v>1.2939049244596856E-2</v>
      </c>
      <c r="AI73" s="51">
        <f t="shared" si="172"/>
        <v>2.1254211752348057E-2</v>
      </c>
      <c r="AJ73" s="51">
        <f t="shared" si="172"/>
        <v>1.7639318134164417E-2</v>
      </c>
      <c r="AK73" s="51">
        <f t="shared" si="172"/>
        <v>1.9254195524677997E-2</v>
      </c>
      <c r="AL73" s="51"/>
      <c r="AM73" s="63">
        <f t="shared" si="146"/>
        <v>-4.0535993960774059E-3</v>
      </c>
      <c r="AN73" s="51"/>
      <c r="AO73" s="51"/>
      <c r="AP73" s="63">
        <f t="shared" si="147"/>
        <v>-5.1047635084531556E-2</v>
      </c>
      <c r="AQ73" s="51"/>
      <c r="AR73" s="51">
        <f t="shared" si="139"/>
        <v>-1.7461297906676578E-2</v>
      </c>
      <c r="AS73" s="62">
        <f t="shared" ref="AS73:AS74" si="173">AD73-AF73</f>
        <v>2.8618849614976405E-3</v>
      </c>
      <c r="AT73" s="51">
        <v>504500.21089515102</v>
      </c>
      <c r="AU73" s="51">
        <v>489950.74953198398</v>
      </c>
      <c r="AV73" s="51">
        <v>406848.17300840502</v>
      </c>
      <c r="AW73" s="51">
        <v>504535.67251093697</v>
      </c>
      <c r="AX73" s="51">
        <v>474984.41134495998</v>
      </c>
    </row>
    <row r="74" spans="1:50">
      <c r="A74" s="17"/>
      <c r="B74" s="17"/>
      <c r="C74" s="17"/>
      <c r="D74" s="17"/>
      <c r="E74" s="17"/>
      <c r="F74" s="86"/>
      <c r="G74" s="17"/>
      <c r="H74" s="209"/>
      <c r="O74"/>
      <c r="P74" s="254">
        <v>2012</v>
      </c>
      <c r="Q74" s="51" t="s">
        <v>204</v>
      </c>
      <c r="R74" s="51">
        <f t="shared" ref="R74:V74" si="174">LN(R20)</f>
        <v>8.9466178663838001</v>
      </c>
      <c r="S74" s="51">
        <f t="shared" si="174"/>
        <v>8.3363578218121841</v>
      </c>
      <c r="T74" s="51">
        <f t="shared" si="174"/>
        <v>8.3923371693876785</v>
      </c>
      <c r="U74" s="51">
        <f t="shared" si="174"/>
        <v>8.4087077488954058</v>
      </c>
      <c r="V74" s="51">
        <f t="shared" si="174"/>
        <v>8.2968183289037931</v>
      </c>
      <c r="W74" s="51">
        <f t="shared" ref="W74:AA74" si="175">W20/R20</f>
        <v>-0.27749433605810903</v>
      </c>
      <c r="X74" s="51">
        <f t="shared" si="175"/>
        <v>-5.4617399492252483</v>
      </c>
      <c r="Y74" s="51">
        <f t="shared" si="175"/>
        <v>-1.5000000186346263</v>
      </c>
      <c r="Z74" s="51">
        <f t="shared" si="175"/>
        <v>-1.6176470964904832</v>
      </c>
      <c r="AA74" s="51">
        <f t="shared" si="175"/>
        <v>0.87096772179637183</v>
      </c>
      <c r="AB74" s="51">
        <f t="shared" ref="AB74:AF74" si="176">AB20/AG20</f>
        <v>0.73525387121816688</v>
      </c>
      <c r="AC74" s="51">
        <f t="shared" si="176"/>
        <v>0.73948967829543233</v>
      </c>
      <c r="AD74" s="51">
        <f t="shared" si="176"/>
        <v>0.64859133617857245</v>
      </c>
      <c r="AE74" s="51">
        <f t="shared" si="176"/>
        <v>0.57794015306229773</v>
      </c>
      <c r="AF74" s="51">
        <f t="shared" si="176"/>
        <v>0.46730930381713154</v>
      </c>
      <c r="AG74" s="51">
        <f t="shared" ref="AG74:AK74" si="177">R20/AG20</f>
        <v>1.9624421554664099E-2</v>
      </c>
      <c r="AH74" s="51">
        <f t="shared" si="177"/>
        <v>9.2023881889246439E-3</v>
      </c>
      <c r="AI74" s="51">
        <f t="shared" si="177"/>
        <v>9.694032048110722E-3</v>
      </c>
      <c r="AJ74" s="51">
        <f t="shared" si="177"/>
        <v>1.1830201645575003E-2</v>
      </c>
      <c r="AK74" s="51">
        <f t="shared" si="177"/>
        <v>1.2992456189108938E-2</v>
      </c>
      <c r="AL74" s="51"/>
      <c r="AM74" s="63">
        <f t="shared" si="146"/>
        <v>-2.5857058220378131E-2</v>
      </c>
      <c r="AN74" s="51"/>
      <c r="AO74" s="51"/>
      <c r="AP74" s="63">
        <f t="shared" si="147"/>
        <v>-6.2622426060959233E-2</v>
      </c>
      <c r="AQ74" s="51"/>
      <c r="AR74" s="51">
        <f t="shared" si="139"/>
        <v>9.5518840483884954E-2</v>
      </c>
      <c r="AS74" s="62">
        <f t="shared" si="173"/>
        <v>0.18128203236144091</v>
      </c>
      <c r="AT74" s="51">
        <v>103633.346992929</v>
      </c>
      <c r="AU74" s="51">
        <v>118129.560047359</v>
      </c>
      <c r="AV74" s="51">
        <v>159975.596007249</v>
      </c>
      <c r="AW74" s="51">
        <v>159911.27426799701</v>
      </c>
      <c r="AX74" s="51">
        <v>164454.691622124</v>
      </c>
    </row>
    <row r="75" spans="1:50">
      <c r="A75" s="17"/>
      <c r="B75" s="17"/>
      <c r="C75" s="17"/>
      <c r="D75" s="17"/>
      <c r="E75" s="17"/>
      <c r="F75" s="86"/>
      <c r="G75" s="17"/>
      <c r="H75" s="209"/>
      <c r="O75"/>
      <c r="P75" s="254">
        <v>2013</v>
      </c>
      <c r="Q75" s="50" t="s">
        <v>205</v>
      </c>
      <c r="R75" s="51">
        <f t="shared" ref="R75:V75" si="178">LN(R21)</f>
        <v>12.377080442423855</v>
      </c>
      <c r="S75" s="51">
        <f t="shared" si="178"/>
        <v>12.812572019364447</v>
      </c>
      <c r="T75" s="51">
        <f t="shared" si="178"/>
        <v>12.679196402112153</v>
      </c>
      <c r="U75" s="51">
        <f t="shared" si="178"/>
        <v>12.428015476267865</v>
      </c>
      <c r="V75" s="51">
        <f t="shared" si="178"/>
        <v>12.063356343328579</v>
      </c>
      <c r="W75" s="51">
        <f t="shared" ref="W75:AA75" si="179">W21/R21</f>
        <v>-0.36072482090181207</v>
      </c>
      <c r="X75" s="51">
        <f t="shared" si="179"/>
        <v>-0.41139585605234458</v>
      </c>
      <c r="Y75" s="51">
        <f t="shared" si="179"/>
        <v>-0.36915887850467288</v>
      </c>
      <c r="Z75" s="51">
        <f t="shared" si="179"/>
        <v>-0.41529835802963555</v>
      </c>
      <c r="AA75" s="51">
        <f t="shared" si="179"/>
        <v>-0.17877739331026529</v>
      </c>
      <c r="AB75" s="51">
        <f t="shared" ref="AB75:AF75" si="180">AB21/AG21</f>
        <v>0.79879107452896925</v>
      </c>
      <c r="AC75" s="51">
        <f t="shared" si="180"/>
        <v>0.76854650168215777</v>
      </c>
      <c r="AD75" s="51">
        <f t="shared" si="180"/>
        <v>0.7199738903394256</v>
      </c>
      <c r="AE75" s="51">
        <f t="shared" si="180"/>
        <v>0.6840864984751871</v>
      </c>
      <c r="AF75" s="51">
        <f t="shared" si="180"/>
        <v>0.61481653776821543</v>
      </c>
      <c r="AG75" s="51">
        <f t="shared" ref="AG75:AK75" si="181">R21/AG21</f>
        <v>0.15259468844447302</v>
      </c>
      <c r="AH75" s="51">
        <f t="shared" si="181"/>
        <v>0.20915778069225066</v>
      </c>
      <c r="AI75" s="51">
        <f t="shared" si="181"/>
        <v>0.16117694316127737</v>
      </c>
      <c r="AJ75" s="51">
        <f t="shared" si="181"/>
        <v>0.11537750669993531</v>
      </c>
      <c r="AK75" s="51">
        <f t="shared" si="181"/>
        <v>0.10083154038495086</v>
      </c>
      <c r="AL75" s="51"/>
      <c r="AM75" s="63">
        <f t="shared" si="146"/>
        <v>-4.1473499624748299E-2</v>
      </c>
      <c r="AN75" s="51"/>
      <c r="AO75" s="51"/>
      <c r="AP75" s="63">
        <f t="shared" si="147"/>
        <v>-0.1656803109562307</v>
      </c>
      <c r="AQ75" s="51"/>
      <c r="AR75" s="51">
        <f t="shared" si="139"/>
        <v>0.6158400587835744</v>
      </c>
      <c r="AS75" s="62">
        <f t="shared" ref="AS75" si="182">AD75-AF75</f>
        <v>0.10515735257121017</v>
      </c>
      <c r="AT75" s="51">
        <v>312900</v>
      </c>
      <c r="AU75" s="51">
        <v>405900</v>
      </c>
      <c r="AV75" s="51">
        <v>557700</v>
      </c>
      <c r="AW75" s="51">
        <v>683700</v>
      </c>
      <c r="AX75" s="51">
        <v>662400</v>
      </c>
    </row>
    <row r="76" spans="1:50">
      <c r="A76" s="17"/>
      <c r="B76" s="17"/>
      <c r="C76" s="17"/>
      <c r="D76" s="17"/>
      <c r="E76" s="17"/>
      <c r="F76" s="86"/>
      <c r="G76" s="17"/>
      <c r="H76" s="209"/>
      <c r="O76"/>
      <c r="P76" s="254">
        <v>2012</v>
      </c>
      <c r="Q76" s="51" t="s">
        <v>206</v>
      </c>
      <c r="R76" s="51">
        <f t="shared" ref="R76:V76" si="183">LN(R22)</f>
        <v>11.546410711111042</v>
      </c>
      <c r="S76" s="51">
        <f t="shared" si="183"/>
        <v>10.456130468113511</v>
      </c>
      <c r="T76" s="51">
        <f t="shared" si="183"/>
        <v>10.911484480118032</v>
      </c>
      <c r="U76" s="51">
        <f t="shared" si="183"/>
        <v>10.770640841221686</v>
      </c>
      <c r="V76" s="51">
        <f t="shared" si="183"/>
        <v>10.782805980878782</v>
      </c>
      <c r="W76" s="51">
        <f t="shared" ref="W76:AA76" si="184">W22/R22</f>
        <v>9.8792535675082602E-3</v>
      </c>
      <c r="X76" s="51">
        <f t="shared" si="184"/>
        <v>2.5007454219475467E-2</v>
      </c>
      <c r="Y76" s="51">
        <f t="shared" si="184"/>
        <v>-0.15612985711155866</v>
      </c>
      <c r="Z76" s="51">
        <f t="shared" si="184"/>
        <v>-7.4494806634835015E-2</v>
      </c>
      <c r="AA76" s="51">
        <f t="shared" si="184"/>
        <v>-0.81599215602035846</v>
      </c>
      <c r="AB76" s="51">
        <f t="shared" ref="AB76:AF76" si="185">AB22/AG22</f>
        <v>0.46622613803230517</v>
      </c>
      <c r="AC76" s="51">
        <f t="shared" si="185"/>
        <v>0.49530157785860063</v>
      </c>
      <c r="AD76" s="51">
        <f t="shared" si="185"/>
        <v>0.71210415344619393</v>
      </c>
      <c r="AE76" s="51">
        <f t="shared" si="185"/>
        <v>0.90407792055389236</v>
      </c>
      <c r="AF76" s="51">
        <f t="shared" si="185"/>
        <v>1.3313138336579868</v>
      </c>
      <c r="AG76" s="51">
        <f t="shared" ref="AG76:AK76" si="186">R22/AG22</f>
        <v>0.66886930983847048</v>
      </c>
      <c r="AH76" s="51">
        <f t="shared" si="186"/>
        <v>1.7458052216708777</v>
      </c>
      <c r="AI76" s="51">
        <f t="shared" si="186"/>
        <v>1.7051698020511319</v>
      </c>
      <c r="AJ76" s="51">
        <f t="shared" si="186"/>
        <v>0.62229889104031044</v>
      </c>
      <c r="AK76" s="51">
        <f t="shared" si="186"/>
        <v>0.49188706480634142</v>
      </c>
      <c r="AL76" s="51"/>
      <c r="AM76" s="63">
        <f t="shared" si="146"/>
        <v>0.13514806898466436</v>
      </c>
      <c r="AN76" s="51"/>
      <c r="AO76" s="51"/>
      <c r="AP76" s="63">
        <f t="shared" si="147"/>
        <v>-2.1362045520278281</v>
      </c>
      <c r="AQ76" s="51"/>
      <c r="AR76" s="51">
        <f t="shared" si="139"/>
        <v>0.12867849923925018</v>
      </c>
      <c r="AS76" s="62">
        <f t="shared" ref="AS76" si="187">AD76-AF76</f>
        <v>-0.6192096802117929</v>
      </c>
      <c r="AT76" s="51">
        <v>82519.861713051796</v>
      </c>
      <c r="AU76" s="51">
        <v>10047.9143223763</v>
      </c>
      <c r="AV76" s="51">
        <v>9252.6314907073993</v>
      </c>
      <c r="AW76" s="51">
        <v>7337.5224307179496</v>
      </c>
      <c r="AX76" s="51">
        <v>-32455.425308108301</v>
      </c>
    </row>
    <row r="77" spans="1:50">
      <c r="A77" s="17"/>
      <c r="B77" s="17"/>
      <c r="C77" s="17"/>
      <c r="D77" s="17"/>
      <c r="E77" s="17"/>
      <c r="F77" s="86"/>
      <c r="G77" s="17"/>
      <c r="H77" s="209"/>
      <c r="O77" s="277" t="s">
        <v>209</v>
      </c>
      <c r="P77" s="254">
        <v>2016</v>
      </c>
      <c r="Q77" s="50" t="s">
        <v>207</v>
      </c>
      <c r="R77" s="51">
        <f t="shared" ref="R77:V77" si="188">LN(R23)</f>
        <v>9.9762319090196829</v>
      </c>
      <c r="S77" s="51">
        <f t="shared" si="188"/>
        <v>9.9606376540427561</v>
      </c>
      <c r="T77" s="51">
        <f t="shared" si="188"/>
        <v>10.355055696395604</v>
      </c>
      <c r="U77" s="51">
        <f t="shared" si="188"/>
        <v>10.382549503273609</v>
      </c>
      <c r="V77" s="51">
        <f t="shared" si="188"/>
        <v>10.246698802221225</v>
      </c>
      <c r="W77" s="51">
        <f t="shared" ref="W77:AA77" si="189">W23/R23</f>
        <v>-8.1953931691818763E-2</v>
      </c>
      <c r="X77" s="51">
        <f t="shared" si="189"/>
        <v>3.8098705589549142E-2</v>
      </c>
      <c r="Y77" s="51">
        <f t="shared" si="189"/>
        <v>-6.6423439735422876E-2</v>
      </c>
      <c r="Z77" s="51">
        <f t="shared" si="189"/>
        <v>-3.7600143703969892E-2</v>
      </c>
      <c r="AA77" s="51">
        <f t="shared" si="189"/>
        <v>-4.1470033984569991E-2</v>
      </c>
      <c r="AB77" s="51">
        <f t="shared" ref="AB77:AF77" si="190">AB23/AG23</f>
        <v>0.57643165683004027</v>
      </c>
      <c r="AC77" s="51">
        <f t="shared" si="190"/>
        <v>0.53745849458159367</v>
      </c>
      <c r="AD77" s="51">
        <f t="shared" si="190"/>
        <v>0.60893583635966719</v>
      </c>
      <c r="AE77" s="51">
        <f t="shared" si="190"/>
        <v>0.63246080578440689</v>
      </c>
      <c r="AF77" s="51">
        <f t="shared" si="190"/>
        <v>0.57075615491812959</v>
      </c>
      <c r="AG77" s="51">
        <f t="shared" ref="AG77:AK77" si="191">R23/AG23</f>
        <v>1.0095907108031821</v>
      </c>
      <c r="AH77" s="51">
        <f t="shared" si="191"/>
        <v>0.85698851120704411</v>
      </c>
      <c r="AI77" s="51">
        <f t="shared" si="191"/>
        <v>1.0430574989687538</v>
      </c>
      <c r="AJ77" s="51">
        <f t="shared" si="191"/>
        <v>0.96760176591232883</v>
      </c>
      <c r="AK77" s="51">
        <f t="shared" si="191"/>
        <v>0.90127453257461565</v>
      </c>
      <c r="AL77" s="51"/>
      <c r="AM77" s="63">
        <f t="shared" si="146"/>
        <v>-3.1907581428035195E-2</v>
      </c>
      <c r="AN77" s="51"/>
      <c r="AO77" s="51"/>
      <c r="AP77" s="63">
        <f t="shared" si="147"/>
        <v>-9.0092711138624326E-2</v>
      </c>
      <c r="AQ77" s="51"/>
      <c r="AR77" s="51">
        <f t="shared" si="139"/>
        <v>0.10835689417437987</v>
      </c>
      <c r="AS77" s="62">
        <f t="shared" ref="AS77" si="192">AD77-AF77</f>
        <v>3.8179681441537605E-2</v>
      </c>
      <c r="AT77" s="51">
        <v>9024.0317871198095</v>
      </c>
      <c r="AU77" s="51">
        <v>11429.4591331184</v>
      </c>
      <c r="AV77" s="51">
        <v>11778.319174796299</v>
      </c>
      <c r="AW77" s="51">
        <v>12265.6611834466</v>
      </c>
      <c r="AX77" s="51">
        <v>13425.5388219506</v>
      </c>
    </row>
    <row r="78" spans="1:50">
      <c r="A78" s="17"/>
      <c r="B78" s="17"/>
      <c r="C78" s="17"/>
      <c r="D78" s="17"/>
      <c r="E78" s="17"/>
      <c r="F78" s="86"/>
      <c r="G78" s="17"/>
      <c r="H78" s="209"/>
      <c r="O78" s="276" t="s">
        <v>197</v>
      </c>
      <c r="P78" s="254">
        <v>2012</v>
      </c>
      <c r="Q78" s="50" t="s">
        <v>210</v>
      </c>
      <c r="R78" s="51">
        <f t="shared" ref="R78:V78" si="193">LN(R24)</f>
        <v>11.731614222874246</v>
      </c>
      <c r="S78" s="51">
        <f t="shared" si="193"/>
        <v>12.302036070650582</v>
      </c>
      <c r="T78" s="51">
        <f t="shared" si="193"/>
        <v>12.606076251127428</v>
      </c>
      <c r="U78" s="51">
        <f t="shared" si="193"/>
        <v>12.624918605440865</v>
      </c>
      <c r="V78" s="51">
        <f t="shared" si="193"/>
        <v>12.590581812589056</v>
      </c>
      <c r="W78" s="51">
        <f t="shared" ref="W78:AA78" si="194">W24/R24</f>
        <v>-0.12080961669385222</v>
      </c>
      <c r="X78" s="51">
        <f t="shared" si="194"/>
        <v>-0.14662047241361356</v>
      </c>
      <c r="Y78" s="51">
        <f t="shared" si="194"/>
        <v>0.30726079726446093</v>
      </c>
      <c r="Z78" s="51">
        <f t="shared" si="194"/>
        <v>0.1747291291929772</v>
      </c>
      <c r="AA78" s="51">
        <f t="shared" si="194"/>
        <v>0.10691128033100415</v>
      </c>
      <c r="AB78" s="51">
        <f t="shared" ref="AB78:AF78" si="195">AB24/AG24</f>
        <v>0.86598125719992003</v>
      </c>
      <c r="AC78" s="51">
        <f t="shared" si="195"/>
        <v>0.81544934505673605</v>
      </c>
      <c r="AD78" s="51">
        <f t="shared" si="195"/>
        <v>0.56296204457806087</v>
      </c>
      <c r="AE78" s="51">
        <f t="shared" si="195"/>
        <v>0.60209459127960363</v>
      </c>
      <c r="AF78" s="51">
        <f t="shared" si="195"/>
        <v>0.69767100467275922</v>
      </c>
      <c r="AG78" s="51">
        <f t="shared" ref="AG78:AK78" si="196">R24/AG24</f>
        <v>1.0596991716058954</v>
      </c>
      <c r="AH78" s="51">
        <f t="shared" si="196"/>
        <v>1.0281441960681099</v>
      </c>
      <c r="AI78" s="51">
        <f t="shared" si="196"/>
        <v>1.3494335333472973</v>
      </c>
      <c r="AJ78" s="51">
        <f t="shared" si="196"/>
        <v>0.61974354661227804</v>
      </c>
      <c r="AK78" s="51">
        <f t="shared" si="196"/>
        <v>0.48586475581731942</v>
      </c>
      <c r="AL78" s="51"/>
      <c r="AM78" s="63">
        <f t="shared" si="146"/>
        <v>0.36268360019954882</v>
      </c>
      <c r="AN78" s="51"/>
      <c r="AO78" s="51"/>
      <c r="AP78" s="63">
        <f t="shared" si="147"/>
        <v>0.77690891586083588</v>
      </c>
      <c r="AQ78" s="51"/>
      <c r="AR78" s="51">
        <f t="shared" si="139"/>
        <v>1.5494438538372445E-2</v>
      </c>
      <c r="AS78" s="62">
        <f t="shared" ref="AS78" si="197">AD78-AF78</f>
        <v>-0.13470896009469835</v>
      </c>
      <c r="AT78" s="262">
        <f>_xlfn.XLOOKUP((P78+3),$R$111:$AL$111,$R$112:$AL$112,0,0)*126692</f>
        <v>15738.440392</v>
      </c>
      <c r="AU78" s="262">
        <f>_xlfn.XLOOKUP((P78+2),$R$111:$AL$111,$R$112:$AL$112,0,0)*248222</f>
        <v>39515.701289999997</v>
      </c>
      <c r="AV78" s="262">
        <f>_xlfn.XLOOKUP((P78+1),$R$111:$AL$111,$R$112:$AL$112,0,0)*567527</f>
        <v>96631.119709000006</v>
      </c>
      <c r="AW78" s="262">
        <f>_xlfn.XLOOKUP(P78,$R$111:$AL$111,$R$112:$AL$112,0,0)*1135439</f>
        <v>195209.21463599999</v>
      </c>
      <c r="AX78" s="262">
        <f>_xlfn.XLOOKUP((P78-1),$R$111:$AL$111,$R$112:$AL$112,0,0)*1023559</f>
        <v>182803.543164</v>
      </c>
    </row>
    <row r="79" spans="1:50">
      <c r="A79" s="17"/>
      <c r="B79" s="17"/>
      <c r="C79" s="17"/>
      <c r="D79" s="17"/>
      <c r="E79" s="17"/>
      <c r="F79" s="86"/>
      <c r="G79" s="17"/>
      <c r="H79" s="209"/>
      <c r="O79" s="276" t="s">
        <v>199</v>
      </c>
      <c r="P79" s="254">
        <v>2007</v>
      </c>
      <c r="Q79" s="51" t="s">
        <v>211</v>
      </c>
      <c r="R79" s="51">
        <f t="shared" ref="R79:V79" si="198">LN(R25)</f>
        <v>10.171094484482378</v>
      </c>
      <c r="S79" s="51">
        <f t="shared" si="198"/>
        <v>10.237949663064036</v>
      </c>
      <c r="T79" s="51">
        <f t="shared" si="198"/>
        <v>12.269771509254101</v>
      </c>
      <c r="U79" s="51">
        <f t="shared" si="198"/>
        <v>12.23986716347795</v>
      </c>
      <c r="V79" s="51">
        <f t="shared" si="198"/>
        <v>12.44804833454431</v>
      </c>
      <c r="W79" s="51">
        <f t="shared" ref="W79:AA79" si="199">W25/R25</f>
        <v>0.14150799888446619</v>
      </c>
      <c r="X79" s="51">
        <f t="shared" si="199"/>
        <v>0.39851343624928531</v>
      </c>
      <c r="Y79" s="51">
        <f t="shared" si="199"/>
        <v>5.2462887989203788E-2</v>
      </c>
      <c r="Z79" s="51">
        <f t="shared" si="199"/>
        <v>2.9776674937965257E-2</v>
      </c>
      <c r="AA79" s="51">
        <f t="shared" si="199"/>
        <v>7.1756847846069005E-2</v>
      </c>
      <c r="AB79" s="51">
        <f t="shared" ref="AB79:AF79" si="200">AB25/AG25</f>
        <v>0.26376275796506327</v>
      </c>
      <c r="AC79" s="51">
        <f t="shared" si="200"/>
        <v>0.22279478629887844</v>
      </c>
      <c r="AD79" s="51">
        <f t="shared" si="200"/>
        <v>0.76096196868008947</v>
      </c>
      <c r="AE79" s="51">
        <f t="shared" si="200"/>
        <v>0.7384615384615385</v>
      </c>
      <c r="AF79" s="51">
        <f t="shared" si="200"/>
        <v>0.8562041710313304</v>
      </c>
      <c r="AG79" s="51">
        <f t="shared" ref="AG79:AK79" si="201">R25/AG25</f>
        <v>0.41663123704398114</v>
      </c>
      <c r="AH79" s="51">
        <f t="shared" si="201"/>
        <v>0.53016065474386176</v>
      </c>
      <c r="AI79" s="51">
        <f t="shared" si="201"/>
        <v>1.3261744966442952</v>
      </c>
      <c r="AJ79" s="51">
        <f t="shared" si="201"/>
        <v>1.86</v>
      </c>
      <c r="AK79" s="51">
        <f t="shared" si="201"/>
        <v>1.5540424721455099</v>
      </c>
      <c r="AL79" s="51"/>
      <c r="AM79" s="63">
        <f t="shared" si="146"/>
        <v>-4.1938245148485917E-2</v>
      </c>
      <c r="AN79" s="51"/>
      <c r="AO79" s="51"/>
      <c r="AP79" s="63">
        <f t="shared" si="147"/>
        <v>-0.48443445196118834</v>
      </c>
      <c r="AQ79" s="51"/>
      <c r="AR79" s="51" t="e">
        <f>LN(#REF!/#REF!)</f>
        <v>#REF!</v>
      </c>
      <c r="AS79" s="62">
        <f t="shared" ref="AS79" si="202">AD79-AF79</f>
        <v>-9.5242202351240923E-2</v>
      </c>
      <c r="AT79" s="262">
        <v>46186.618122</v>
      </c>
      <c r="AU79" s="262">
        <v>40965.027999999998</v>
      </c>
      <c r="AV79" s="262">
        <v>38420.268199999999</v>
      </c>
      <c r="AW79" s="262">
        <v>29089.039999999997</v>
      </c>
      <c r="AX79" s="262">
        <v>23572.308000000001</v>
      </c>
    </row>
    <row r="80" spans="1:50">
      <c r="A80" s="17"/>
      <c r="B80" s="17"/>
      <c r="C80" s="17"/>
      <c r="D80" s="17"/>
      <c r="E80" s="17"/>
      <c r="F80" s="86"/>
      <c r="G80" s="17"/>
      <c r="H80" s="209"/>
      <c r="O80" s="276" t="s">
        <v>199</v>
      </c>
      <c r="P80" s="254">
        <v>2004</v>
      </c>
      <c r="Q80" s="51" t="s">
        <v>212</v>
      </c>
      <c r="R80" s="51">
        <f t="shared" ref="R80:V80" si="203">LN(R26)</f>
        <v>10.479856392564475</v>
      </c>
      <c r="S80" s="51">
        <f t="shared" si="203"/>
        <v>10.98544227102701</v>
      </c>
      <c r="T80" s="51">
        <f t="shared" si="203"/>
        <v>10.946472343149781</v>
      </c>
      <c r="U80" s="51">
        <f t="shared" si="203"/>
        <v>10.747878463264898</v>
      </c>
      <c r="V80" s="51">
        <f t="shared" si="203"/>
        <v>10.577635535963427</v>
      </c>
      <c r="W80" s="51">
        <f t="shared" ref="W80:AA80" si="204">W26/R26</f>
        <v>0.24519230769230771</v>
      </c>
      <c r="X80" s="51">
        <f t="shared" si="204"/>
        <v>0.62962962962962954</v>
      </c>
      <c r="Y80" s="51">
        <f t="shared" si="204"/>
        <v>0.65479452054794529</v>
      </c>
      <c r="Z80" s="51">
        <f t="shared" si="204"/>
        <v>0.66773162939297115</v>
      </c>
      <c r="AA80" s="51">
        <f t="shared" si="204"/>
        <v>0.69784172661870503</v>
      </c>
      <c r="AB80" s="51">
        <f t="shared" ref="AB80:AF80" si="205">AB26/AG26</f>
        <v>0.95912645333882085</v>
      </c>
      <c r="AC80" s="51">
        <f t="shared" si="205"/>
        <v>0.93189660048645284</v>
      </c>
      <c r="AD80" s="51">
        <f t="shared" si="205"/>
        <v>0.93468118195956451</v>
      </c>
      <c r="AE80" s="51">
        <f t="shared" si="205"/>
        <v>0.93248193248193256</v>
      </c>
      <c r="AF80" s="51">
        <f t="shared" si="205"/>
        <v>0.93117928784618587</v>
      </c>
      <c r="AG80" s="51">
        <f t="shared" ref="AG80:AK80" si="206">R26/AG26</f>
        <v>5.3503446856672495E-3</v>
      </c>
      <c r="AH80" s="51">
        <f t="shared" si="206"/>
        <v>1.0690649923638215E-2</v>
      </c>
      <c r="AI80" s="51">
        <f t="shared" si="206"/>
        <v>1.0710408169253791E-2</v>
      </c>
      <c r="AJ80" s="51">
        <f t="shared" si="206"/>
        <v>1.0329010329010331E-2</v>
      </c>
      <c r="AK80" s="51">
        <f t="shared" si="206"/>
        <v>9.6480877351287578E-3</v>
      </c>
      <c r="AL80" s="51"/>
      <c r="AM80" s="63">
        <f t="shared" si="146"/>
        <v>2.802783784083291E-4</v>
      </c>
      <c r="AN80" s="51"/>
      <c r="AO80" s="51"/>
      <c r="AP80" s="63">
        <f t="shared" si="147"/>
        <v>9.5359069611916925E-3</v>
      </c>
      <c r="AQ80" s="51"/>
      <c r="AR80" s="51" t="e">
        <f>LN(#REF!/#REF!)</f>
        <v>#REF!</v>
      </c>
      <c r="AS80" s="62">
        <f t="shared" ref="AS80" si="207">AD80-AF80</f>
        <v>3.5018941133786452E-3</v>
      </c>
      <c r="AT80" s="262">
        <v>271896.96799999999</v>
      </c>
      <c r="AU80" s="262">
        <v>375908.06400000001</v>
      </c>
      <c r="AV80" s="262">
        <v>346118.51399999997</v>
      </c>
      <c r="AW80" s="262">
        <v>304162.45199999999</v>
      </c>
      <c r="AX80" s="262">
        <v>279953.99099999998</v>
      </c>
    </row>
    <row r="81" spans="1:50">
      <c r="A81" s="17"/>
      <c r="B81" s="17"/>
      <c r="C81" s="17"/>
      <c r="D81" s="17"/>
      <c r="E81" s="17"/>
      <c r="F81" s="86"/>
      <c r="G81" s="17"/>
      <c r="H81" s="209"/>
      <c r="O81" s="276" t="s">
        <v>199</v>
      </c>
      <c r="P81" s="254">
        <v>2009</v>
      </c>
      <c r="Q81" s="50" t="s">
        <v>244</v>
      </c>
      <c r="R81" s="51" t="e">
        <f t="shared" ref="R81:V81" si="208">LN(R27)</f>
        <v>#NUM!</v>
      </c>
      <c r="S81" s="51" t="e">
        <f t="shared" si="208"/>
        <v>#NUM!</v>
      </c>
      <c r="T81" s="51">
        <f t="shared" si="208"/>
        <v>7.6394251247896809</v>
      </c>
      <c r="U81" s="51" t="e">
        <f t="shared" si="208"/>
        <v>#NUM!</v>
      </c>
      <c r="V81" s="51">
        <f t="shared" si="208"/>
        <v>9.8595553686790751</v>
      </c>
      <c r="W81" s="51" t="e">
        <f t="shared" ref="W81:AA81" si="209">W27/R27</f>
        <v>#DIV/0!</v>
      </c>
      <c r="X81" s="51" t="e">
        <f t="shared" si="209"/>
        <v>#DIV/0!</v>
      </c>
      <c r="Y81" s="51">
        <f t="shared" si="209"/>
        <v>-2.2565553518769428</v>
      </c>
      <c r="Z81" s="51" t="e">
        <f t="shared" si="209"/>
        <v>#DIV/0!</v>
      </c>
      <c r="AA81" s="51">
        <f t="shared" si="209"/>
        <v>-1.765362288891811</v>
      </c>
      <c r="AB81" s="51">
        <f t="shared" ref="AB81:AF81" si="210">AB27/AG27</f>
        <v>0.55616390091112633</v>
      </c>
      <c r="AC81" s="51">
        <f t="shared" si="210"/>
        <v>0.56688171630065398</v>
      </c>
      <c r="AD81" s="51">
        <f t="shared" si="210"/>
        <v>0.58255533400708348</v>
      </c>
      <c r="AE81" s="51">
        <f t="shared" si="210"/>
        <v>0.64478155413211391</v>
      </c>
      <c r="AF81" s="51">
        <f t="shared" si="210"/>
        <v>0.64223835901504156</v>
      </c>
      <c r="AG81" s="51">
        <f t="shared" ref="AG81:AK81" si="211">R27/AG27</f>
        <v>0</v>
      </c>
      <c r="AH81" s="51">
        <f t="shared" si="211"/>
        <v>0</v>
      </c>
      <c r="AI81" s="51">
        <f t="shared" si="211"/>
        <v>4.5694827601904702E-3</v>
      </c>
      <c r="AJ81" s="51">
        <f t="shared" si="211"/>
        <v>0</v>
      </c>
      <c r="AK81" s="51">
        <f t="shared" si="211"/>
        <v>3.8813126654703822E-2</v>
      </c>
      <c r="AL81" s="51"/>
      <c r="AM81" s="63">
        <f t="shared" si="146"/>
        <v>5.8207939332378472E-2</v>
      </c>
      <c r="AN81" s="51"/>
      <c r="AO81" s="51"/>
      <c r="AP81" s="63">
        <f t="shared" si="147"/>
        <v>0.1668210595764798</v>
      </c>
      <c r="AQ81" s="51"/>
      <c r="AR81" s="51" t="e">
        <f>LN(#REF!/#REF!)</f>
        <v>#REF!</v>
      </c>
      <c r="AS81" s="62">
        <f t="shared" ref="AS81" si="212">AD81-AF81</f>
        <v>-5.9683025007958079E-2</v>
      </c>
      <c r="AT81" s="262">
        <v>208342.83284399999</v>
      </c>
      <c r="AU81" s="262">
        <v>209476.85576400001</v>
      </c>
      <c r="AV81" s="262">
        <v>189885.77369100001</v>
      </c>
      <c r="AW81" s="262">
        <v>187656.73511000001</v>
      </c>
      <c r="AX81" s="262">
        <v>176427.23794799999</v>
      </c>
    </row>
    <row r="82" spans="1:50">
      <c r="A82" s="17"/>
      <c r="B82" s="17"/>
      <c r="C82" s="17"/>
      <c r="D82" s="17"/>
      <c r="E82" s="17"/>
      <c r="F82" s="86"/>
      <c r="G82" s="17"/>
      <c r="H82" s="209"/>
      <c r="O82" s="276" t="s">
        <v>233</v>
      </c>
      <c r="P82" s="254">
        <v>2008</v>
      </c>
      <c r="Q82" s="50" t="s">
        <v>245</v>
      </c>
      <c r="R82" s="51">
        <f t="shared" ref="R82:V82" si="213">LN(R28)</f>
        <v>12.478299041561542</v>
      </c>
      <c r="S82" s="51">
        <f t="shared" si="213"/>
        <v>12.30382166810195</v>
      </c>
      <c r="T82" s="51">
        <f t="shared" si="213"/>
        <v>12.156084838149832</v>
      </c>
      <c r="U82" s="51">
        <f t="shared" si="213"/>
        <v>12.114268278840257</v>
      </c>
      <c r="V82" s="51">
        <f t="shared" si="213"/>
        <v>11.933230739078434</v>
      </c>
      <c r="W82" s="51">
        <f t="shared" ref="W82:AA82" si="214">W28/R28</f>
        <v>-5.4827550556784392E-2</v>
      </c>
      <c r="X82" s="51">
        <f t="shared" si="214"/>
        <v>-0.5161989880233403</v>
      </c>
      <c r="Y82" s="51">
        <f t="shared" si="214"/>
        <v>-1.03521859513606E-2</v>
      </c>
      <c r="Z82" s="51">
        <f t="shared" si="214"/>
        <v>-4.4329485493001461E-2</v>
      </c>
      <c r="AA82" s="51">
        <f t="shared" si="214"/>
        <v>5.2135210317794826E-2</v>
      </c>
      <c r="AB82" s="51">
        <f t="shared" ref="AB82:AF82" si="215">AB28/AG28</f>
        <v>0.6094890261995578</v>
      </c>
      <c r="AC82" s="51">
        <f t="shared" si="215"/>
        <v>0.5381477640084058</v>
      </c>
      <c r="AD82" s="51">
        <f t="shared" si="215"/>
        <v>0.32647952252293511</v>
      </c>
      <c r="AE82" s="51">
        <f t="shared" si="215"/>
        <v>0.58850638889552975</v>
      </c>
      <c r="AF82" s="51">
        <f t="shared" si="215"/>
        <v>0.53597011103966552</v>
      </c>
      <c r="AG82" s="51">
        <f t="shared" ref="AG82:AK82" si="216">R28/AG28</f>
        <v>0.83574144918968385</v>
      </c>
      <c r="AH82" s="51">
        <f t="shared" si="216"/>
        <v>0.70771322871540454</v>
      </c>
      <c r="AI82" s="51">
        <f t="shared" si="216"/>
        <v>0.50490375662102549</v>
      </c>
      <c r="AJ82" s="51">
        <f t="shared" si="216"/>
        <v>0.26088086477782502</v>
      </c>
      <c r="AK82" s="51">
        <f t="shared" si="216"/>
        <v>0.40035160835850553</v>
      </c>
      <c r="AL82" s="51"/>
      <c r="AM82" s="63">
        <f t="shared" si="146"/>
        <v>-2.6099272878919482E-2</v>
      </c>
      <c r="AN82" s="51"/>
      <c r="AO82" s="51"/>
      <c r="AP82" s="63">
        <f t="shared" si="147"/>
        <v>-5.2741302650583292E-2</v>
      </c>
      <c r="AQ82" s="51"/>
      <c r="AR82" s="51" t="e">
        <f>LN(#REF!/#REF!)</f>
        <v>#REF!</v>
      </c>
      <c r="AS82" s="62">
        <f t="shared" ref="AS82" si="217">AD82-AF82</f>
        <v>-0.20949058851673041</v>
      </c>
      <c r="AT82" s="262">
        <v>122692.415868</v>
      </c>
      <c r="AU82" s="262">
        <v>143922.13527500001</v>
      </c>
      <c r="AV82" s="262">
        <v>253783.14155999999</v>
      </c>
      <c r="AW82" s="262">
        <v>287793.33843</v>
      </c>
      <c r="AX82" s="262">
        <v>176457.53887999998</v>
      </c>
    </row>
    <row r="83" spans="1:50">
      <c r="A83" s="17"/>
      <c r="B83" s="17"/>
      <c r="C83" s="17"/>
      <c r="D83" s="17"/>
      <c r="E83" s="17"/>
      <c r="F83" s="86"/>
      <c r="G83" s="17"/>
      <c r="H83" s="209"/>
      <c r="O83" s="292" t="s">
        <v>235</v>
      </c>
      <c r="P83" s="254">
        <v>2008</v>
      </c>
      <c r="Q83" s="50" t="s">
        <v>256</v>
      </c>
      <c r="R83" s="51">
        <f t="shared" ref="R83:V83" si="218">LN(R29)</f>
        <v>10.873830768729865</v>
      </c>
      <c r="S83" s="51">
        <f t="shared" si="218"/>
        <v>12.054301632049684</v>
      </c>
      <c r="T83" s="51">
        <f t="shared" si="218"/>
        <v>12.605865027441876</v>
      </c>
      <c r="U83" s="51">
        <f t="shared" si="218"/>
        <v>12.659082698399338</v>
      </c>
      <c r="V83" s="51">
        <f t="shared" si="218"/>
        <v>12.170347017445081</v>
      </c>
      <c r="W83" s="51">
        <f t="shared" ref="W83:AA83" si="219">W29/R29</f>
        <v>0.10548155446501317</v>
      </c>
      <c r="X83" s="51">
        <f t="shared" si="219"/>
        <v>-9.2558645693302369E-2</v>
      </c>
      <c r="Y83" s="51">
        <f t="shared" si="219"/>
        <v>-0.30464661770079415</v>
      </c>
      <c r="Z83" s="51">
        <f t="shared" si="219"/>
        <v>3.5075395412704061E-2</v>
      </c>
      <c r="AA83" s="51">
        <f t="shared" si="219"/>
        <v>0.29321021240432998</v>
      </c>
      <c r="AB83" s="51">
        <f t="shared" ref="AB83:AF83" si="220">AB29/AG29</f>
        <v>0.37424794804366884</v>
      </c>
      <c r="AC83" s="51">
        <f t="shared" si="220"/>
        <v>0.15807431216381326</v>
      </c>
      <c r="AD83" s="51">
        <f t="shared" si="220"/>
        <v>0.55587717561703787</v>
      </c>
      <c r="AE83" s="51">
        <f t="shared" si="220"/>
        <v>0.46795337656529518</v>
      </c>
      <c r="AF83" s="51">
        <f t="shared" si="220"/>
        <v>0.46941448939711949</v>
      </c>
      <c r="AG83" s="51">
        <f t="shared" ref="AG83:AK83" si="221">R29/AG29</f>
        <v>0.262854609929078</v>
      </c>
      <c r="AH83" s="51">
        <f t="shared" si="221"/>
        <v>0.871167914666234</v>
      </c>
      <c r="AI83" s="51">
        <f t="shared" si="221"/>
        <v>0.79802408761857879</v>
      </c>
      <c r="AJ83" s="51">
        <f t="shared" si="221"/>
        <v>0.54961426654740608</v>
      </c>
      <c r="AK83" s="51">
        <f t="shared" si="221"/>
        <v>0.34917312006947965</v>
      </c>
      <c r="AL83" s="51"/>
      <c r="AM83" s="63">
        <f t="shared" si="146"/>
        <v>-0.34549646383821697</v>
      </c>
      <c r="AN83" s="51"/>
      <c r="AO83" s="51"/>
      <c r="AP83" s="63">
        <f t="shared" si="147"/>
        <v>-0.74036374719073827</v>
      </c>
      <c r="AQ83" s="51"/>
      <c r="AR83" s="51">
        <f>LN(T29/V29)</f>
        <v>0.43551800999679458</v>
      </c>
      <c r="AS83" s="62">
        <f t="shared" ref="AS83" si="222">AD83-AF83</f>
        <v>8.6462686219918372E-2</v>
      </c>
      <c r="AT83" s="66">
        <v>125641</v>
      </c>
      <c r="AU83" s="66">
        <v>166070</v>
      </c>
      <c r="AV83" s="66">
        <v>166014</v>
      </c>
      <c r="AW83" s="66">
        <v>304552</v>
      </c>
      <c r="AX83" s="66">
        <v>293245</v>
      </c>
    </row>
    <row r="84" spans="1:50">
      <c r="A84" s="17"/>
      <c r="B84" s="17"/>
      <c r="C84" s="17"/>
      <c r="D84" s="17"/>
      <c r="E84" s="17"/>
      <c r="F84" s="86"/>
      <c r="G84" s="17"/>
      <c r="H84" s="209"/>
      <c r="O84" s="276" t="s">
        <v>237</v>
      </c>
      <c r="P84" s="254">
        <v>2006</v>
      </c>
      <c r="Q84" s="50" t="s">
        <v>257</v>
      </c>
      <c r="R84" s="51">
        <f t="shared" ref="R84:V84" si="223">LN(R30)</f>
        <v>10.722015616534076</v>
      </c>
      <c r="S84" s="51">
        <f t="shared" si="223"/>
        <v>11.036702009124363</v>
      </c>
      <c r="T84" s="51">
        <f t="shared" si="223"/>
        <v>10.840102835715722</v>
      </c>
      <c r="U84" s="51">
        <f t="shared" si="223"/>
        <v>10.602243295465078</v>
      </c>
      <c r="V84" s="51">
        <f t="shared" si="223"/>
        <v>10.648239832876019</v>
      </c>
      <c r="W84" s="51">
        <f t="shared" ref="W84:AA84" si="224">W30/R30</f>
        <v>0.13236646547076669</v>
      </c>
      <c r="X84" s="51">
        <f t="shared" si="224"/>
        <v>0.19654972791478525</v>
      </c>
      <c r="Y84" s="51">
        <f t="shared" si="224"/>
        <v>0.15854476435752465</v>
      </c>
      <c r="Z84" s="51">
        <f t="shared" si="224"/>
        <v>0.12386193407173406</v>
      </c>
      <c r="AA84" s="51">
        <f t="shared" si="224"/>
        <v>0.19273692487734287</v>
      </c>
      <c r="AB84" s="51">
        <f t="shared" ref="AB84:AF84" si="225">AB30/AG30</f>
        <v>0.66424708003449084</v>
      </c>
      <c r="AC84" s="51">
        <f t="shared" si="225"/>
        <v>0.67104305605833858</v>
      </c>
      <c r="AD84" s="51">
        <f t="shared" si="225"/>
        <v>0.51261258706890855</v>
      </c>
      <c r="AE84" s="51">
        <f t="shared" si="225"/>
        <v>0.47891827383163887</v>
      </c>
      <c r="AF84" s="51">
        <f t="shared" si="225"/>
        <v>0.52261912622427642</v>
      </c>
      <c r="AG84" s="51">
        <f t="shared" ref="AG84:AK84" si="226">R30/AG30</f>
        <v>1.112342243474171</v>
      </c>
      <c r="AH84" s="51">
        <f t="shared" si="226"/>
        <v>1.2893305915589672</v>
      </c>
      <c r="AI84" s="51">
        <f t="shared" si="226"/>
        <v>1.4091978791573336</v>
      </c>
      <c r="AJ84" s="51">
        <f t="shared" si="226"/>
        <v>1.4505240877720358</v>
      </c>
      <c r="AK84" s="51">
        <f t="shared" si="226"/>
        <v>1.1923715197534941</v>
      </c>
      <c r="AL84" s="51"/>
      <c r="AM84" s="63">
        <f t="shared" si="146"/>
        <v>-6.3930743444893245E-3</v>
      </c>
      <c r="AN84" s="51"/>
      <c r="AO84" s="51"/>
      <c r="AP84" s="63">
        <f t="shared" si="147"/>
        <v>-2.2991885196963269E-2</v>
      </c>
      <c r="AQ84" s="51"/>
      <c r="AR84" s="51" t="e">
        <f>LN(#REF!/#REF!)</f>
        <v>#REF!</v>
      </c>
      <c r="AS84" s="62">
        <f t="shared" ref="AS84" si="227">AD84-AF84</f>
        <v>-1.0006539155367866E-2</v>
      </c>
      <c r="AT84" s="262">
        <v>13686.53728</v>
      </c>
      <c r="AU84" s="262">
        <v>15847.23697</v>
      </c>
      <c r="AV84" s="262">
        <v>17648.149455999999</v>
      </c>
      <c r="AW84" s="262">
        <v>14450.293127999999</v>
      </c>
      <c r="AX84" s="262">
        <v>16862.937538999999</v>
      </c>
    </row>
    <row r="85" spans="1:50">
      <c r="A85" s="17"/>
      <c r="B85" s="17"/>
      <c r="C85" s="17"/>
      <c r="D85" s="17"/>
      <c r="E85" s="17"/>
      <c r="F85" s="86"/>
      <c r="G85" s="17"/>
      <c r="H85" s="209"/>
      <c r="O85" s="276" t="s">
        <v>239</v>
      </c>
      <c r="P85" s="254">
        <v>2005</v>
      </c>
      <c r="Q85" s="51" t="s">
        <v>258</v>
      </c>
      <c r="R85" s="51">
        <f t="shared" ref="R85:V85" si="228">LN(R31)</f>
        <v>9.1176931653094169</v>
      </c>
      <c r="S85" s="51">
        <f t="shared" si="228"/>
        <v>9.1123649133096123</v>
      </c>
      <c r="T85" s="51">
        <f t="shared" si="228"/>
        <v>9.0061285305843963</v>
      </c>
      <c r="U85" s="51">
        <f t="shared" si="228"/>
        <v>9.0491331561586819</v>
      </c>
      <c r="V85" s="51">
        <f t="shared" si="228"/>
        <v>9.0012878213055814</v>
      </c>
      <c r="W85" s="51">
        <f t="shared" ref="W85:AA85" si="229">W31/R31</f>
        <v>-2.2682445759368837E-3</v>
      </c>
      <c r="X85" s="51">
        <f t="shared" si="229"/>
        <v>7.294241983882839E-2</v>
      </c>
      <c r="Y85" s="51">
        <f t="shared" si="229"/>
        <v>8.9533948607973049E-2</v>
      </c>
      <c r="Z85" s="51">
        <f t="shared" si="229"/>
        <v>4.5142314297197561E-2</v>
      </c>
      <c r="AA85" s="51">
        <f t="shared" si="229"/>
        <v>0.21038166260512672</v>
      </c>
      <c r="AB85" s="51">
        <f t="shared" ref="AB85:AF85" si="230">AB31/AG31</f>
        <v>0.58984947382443054</v>
      </c>
      <c r="AC85" s="51">
        <f t="shared" si="230"/>
        <v>0.63611702287101712</v>
      </c>
      <c r="AD85" s="51">
        <f t="shared" si="230"/>
        <v>0.57422445417957757</v>
      </c>
      <c r="AE85" s="51">
        <f t="shared" si="230"/>
        <v>0.48108798901329464</v>
      </c>
      <c r="AF85" s="51">
        <f t="shared" si="230"/>
        <v>0.41335124924538952</v>
      </c>
      <c r="AG85" s="51">
        <f t="shared" ref="AG85:AK85" si="231">R31/AG31</f>
        <v>0.96481379284096747</v>
      </c>
      <c r="AH85" s="51">
        <f t="shared" si="231"/>
        <v>0.79414585893708223</v>
      </c>
      <c r="AI85" s="51">
        <f t="shared" si="231"/>
        <v>0.93004950671368025</v>
      </c>
      <c r="AJ85" s="51">
        <f t="shared" si="231"/>
        <v>1.0440803402826788</v>
      </c>
      <c r="AK85" s="51">
        <f t="shared" si="231"/>
        <v>1.0628225351015559</v>
      </c>
      <c r="AL85" s="51"/>
      <c r="AM85" s="63">
        <f t="shared" si="146"/>
        <v>-0.14032736725188766</v>
      </c>
      <c r="AN85" s="51"/>
      <c r="AO85" s="51"/>
      <c r="AP85" s="63">
        <f t="shared" si="147"/>
        <v>-0.18557034009832238</v>
      </c>
      <c r="AQ85" s="51"/>
      <c r="AR85" s="51" t="e">
        <f>LN(#REF!/#REF!)</f>
        <v>#REF!</v>
      </c>
      <c r="AS85" s="62">
        <f t="shared" ref="AS85" si="232">AD85-AF85</f>
        <v>0.16087320493418805</v>
      </c>
      <c r="AT85" s="262">
        <v>3874.9276580000001</v>
      </c>
      <c r="AU85" s="262">
        <v>4154.4282479999993</v>
      </c>
      <c r="AV85" s="262">
        <v>3732.386172</v>
      </c>
      <c r="AW85" s="262">
        <v>4230.0782449999997</v>
      </c>
      <c r="AX85" s="262">
        <v>4478.4427499999993</v>
      </c>
    </row>
    <row r="86" spans="1:50">
      <c r="A86" s="17"/>
      <c r="B86" s="17"/>
      <c r="C86" s="17"/>
      <c r="D86" s="17"/>
      <c r="E86" s="17"/>
      <c r="F86" s="86"/>
      <c r="G86" s="17"/>
      <c r="H86" s="209"/>
      <c r="O86" s="276" t="s">
        <v>241</v>
      </c>
      <c r="P86" s="254">
        <v>2013</v>
      </c>
      <c r="Q86" s="51" t="s">
        <v>259</v>
      </c>
      <c r="R86" s="51">
        <f t="shared" ref="R86:V86" si="233">LN(R32)</f>
        <v>8.2545288819397449</v>
      </c>
      <c r="S86" s="51">
        <f t="shared" si="233"/>
        <v>8.3923100092695471</v>
      </c>
      <c r="T86" s="51">
        <f t="shared" si="233"/>
        <v>8.4071550862073003</v>
      </c>
      <c r="U86" s="51">
        <f t="shared" si="233"/>
        <v>7.5485698345472692</v>
      </c>
      <c r="V86" s="51">
        <f t="shared" si="233"/>
        <v>6.7740699874141974</v>
      </c>
      <c r="W86" s="51">
        <f t="shared" ref="W86:AA86" si="234">W32/R32</f>
        <v>-11.498829648894668</v>
      </c>
      <c r="X86" s="51">
        <f t="shared" si="234"/>
        <v>-7.2032630863358262</v>
      </c>
      <c r="Y86" s="51">
        <f t="shared" si="234"/>
        <v>-5.7593212770707751</v>
      </c>
      <c r="Z86" s="51">
        <f t="shared" si="234"/>
        <v>-7.2154246100520298</v>
      </c>
      <c r="AA86" s="51">
        <f t="shared" si="234"/>
        <v>-9.5885491483685534</v>
      </c>
      <c r="AB86" s="51">
        <f t="shared" ref="AB86:AF86" si="235">AB32/AG32</f>
        <v>0.19819655443947221</v>
      </c>
      <c r="AC86" s="51">
        <f t="shared" si="235"/>
        <v>0.17340264967298341</v>
      </c>
      <c r="AD86" s="51">
        <f t="shared" si="235"/>
        <v>0.11563847146788768</v>
      </c>
      <c r="AE86" s="51">
        <f t="shared" si="235"/>
        <v>0.12160379577270373</v>
      </c>
      <c r="AF86" s="51">
        <f t="shared" si="235"/>
        <v>0.24589179860433769</v>
      </c>
      <c r="AG86" s="51">
        <f t="shared" ref="AG86:AK86" si="236">R32/AG32</f>
        <v>3.6923579234447924E-2</v>
      </c>
      <c r="AH86" s="51">
        <f t="shared" si="236"/>
        <v>0.14801274526245178</v>
      </c>
      <c r="AI86" s="51">
        <f t="shared" si="236"/>
        <v>0.10908692369517037</v>
      </c>
      <c r="AJ86" s="51">
        <f t="shared" si="236"/>
        <v>3.9334785380003283E-2</v>
      </c>
      <c r="AK86" s="51">
        <f t="shared" si="236"/>
        <v>0.12188289437482813</v>
      </c>
      <c r="AL86" s="51"/>
      <c r="AM86" s="63">
        <f t="shared" si="146"/>
        <v>0.540413482370662</v>
      </c>
      <c r="AN86" s="51"/>
      <c r="AO86" s="51"/>
      <c r="AP86" s="63">
        <f t="shared" si="147"/>
        <v>0.83933291324764581</v>
      </c>
      <c r="AQ86" s="51"/>
      <c r="AR86" s="51">
        <f>LN(T32/V32)</f>
        <v>1.6330850987931023</v>
      </c>
      <c r="AS86" s="62">
        <f t="shared" ref="AS86" si="237">AD86-AF86</f>
        <v>-0.13025332713644999</v>
      </c>
      <c r="AT86" s="66">
        <v>83495</v>
      </c>
      <c r="AU86" s="66">
        <v>24645</v>
      </c>
      <c r="AV86" s="66">
        <v>36311</v>
      </c>
      <c r="AW86" s="66">
        <v>42385.361437886997</v>
      </c>
      <c r="AX86" s="66">
        <v>5412.9263833165196</v>
      </c>
    </row>
    <row r="87" spans="1:50">
      <c r="A87" s="17"/>
      <c r="B87" s="17"/>
      <c r="C87" s="17"/>
      <c r="D87" s="17"/>
      <c r="E87" s="17"/>
      <c r="F87" s="86"/>
      <c r="G87" s="17"/>
      <c r="H87" s="209"/>
      <c r="O87" s="276" t="s">
        <v>243</v>
      </c>
      <c r="P87" s="254">
        <v>2010</v>
      </c>
      <c r="Q87" s="51" t="s">
        <v>260</v>
      </c>
      <c r="R87" s="51">
        <f t="shared" ref="R87:V87" si="238">LN(R33)</f>
        <v>4.1267663818563527</v>
      </c>
      <c r="S87" s="51">
        <f t="shared" si="238"/>
        <v>3.8227935484987974</v>
      </c>
      <c r="T87" s="51">
        <f t="shared" si="238"/>
        <v>4.214907197875311</v>
      </c>
      <c r="U87" s="51" t="e">
        <f t="shared" si="238"/>
        <v>#NUM!</v>
      </c>
      <c r="V87" s="51" t="e">
        <f t="shared" si="238"/>
        <v>#NUM!</v>
      </c>
      <c r="W87" s="51">
        <f>W33/R33</f>
        <v>19.55769230769231</v>
      </c>
      <c r="X87" s="51">
        <f>X33/S33</f>
        <v>-246.15037593984962</v>
      </c>
      <c r="Y87" s="51">
        <f>Y33/T33</f>
        <v>-55.646437994722959</v>
      </c>
      <c r="Z87" s="51" t="e">
        <f>Z33/U33</f>
        <v>#DIV/0!</v>
      </c>
      <c r="AA87" s="51" t="e">
        <f>AA33/V33</f>
        <v>#DIV/0!</v>
      </c>
      <c r="AB87" s="51">
        <f>AB33/AG33</f>
        <v>1.0076767335920365E-2</v>
      </c>
      <c r="AC87" s="51">
        <f>AC33/AH33</f>
        <v>6.1208660993213411E-3</v>
      </c>
      <c r="AD87" s="51">
        <f>AD33/AI33</f>
        <v>4.8626686416894816E-3</v>
      </c>
      <c r="AE87" s="51">
        <f>AE33/AJ33</f>
        <v>9.2721690694176385E-3</v>
      </c>
      <c r="AF87" s="51">
        <f>AF33/AK33</f>
        <v>1.0385561595393882E-2</v>
      </c>
      <c r="AG87" s="51">
        <f>R33/AG33</f>
        <v>7.6767335920364433E-4</v>
      </c>
      <c r="AH87" s="51">
        <f>S33/AH33</f>
        <v>5.7309059571259292E-4</v>
      </c>
      <c r="AI87" s="51">
        <f>T33/AI33</f>
        <v>7.2159413281139924E-4</v>
      </c>
      <c r="AJ87" s="51">
        <f>U33/AJ33</f>
        <v>0</v>
      </c>
      <c r="AK87" s="51">
        <f>V33/AK33</f>
        <v>0</v>
      </c>
      <c r="AL87" s="51"/>
      <c r="AM87" s="63">
        <f>AN33-AL33</f>
        <v>8.5247663707804622E-2</v>
      </c>
      <c r="AN87" s="51"/>
      <c r="AO87" s="51"/>
      <c r="AP87" s="63">
        <f>AQ33-AO33</f>
        <v>8.6367489270865933E-2</v>
      </c>
      <c r="AQ87" s="51"/>
      <c r="AR87" s="51" t="e">
        <f>LN(#REF!/#REF!)</f>
        <v>#REF!</v>
      </c>
      <c r="AS87" s="62">
        <f t="shared" ref="AS87" si="239">AD87-AF87</f>
        <v>-5.5228929537043999E-3</v>
      </c>
      <c r="AT87" s="262">
        <v>79920.264993999997</v>
      </c>
      <c r="AU87" s="262">
        <v>79310.088516000003</v>
      </c>
      <c r="AV87" s="262">
        <v>93347.128511999996</v>
      </c>
      <c r="AW87" s="262">
        <v>95584.409068000008</v>
      </c>
      <c r="AX87" s="262">
        <v>91390.197469999999</v>
      </c>
    </row>
    <row r="88" spans="1:50">
      <c r="A88" s="17"/>
      <c r="B88" s="17"/>
      <c r="C88" s="17"/>
      <c r="D88" s="17"/>
      <c r="E88" s="17"/>
      <c r="F88" s="86"/>
      <c r="G88" s="17"/>
      <c r="H88" s="209"/>
      <c r="O88" s="276" t="s">
        <v>199</v>
      </c>
      <c r="P88" s="254">
        <v>2010</v>
      </c>
      <c r="Q88" s="51" t="s">
        <v>309</v>
      </c>
      <c r="R88" s="51">
        <f t="shared" ref="R88:V88" si="240">LN(R34)</f>
        <v>11.074969959169394</v>
      </c>
      <c r="S88" s="51">
        <f t="shared" si="240"/>
        <v>11.193168590023484</v>
      </c>
      <c r="T88" s="51">
        <f t="shared" si="240"/>
        <v>11.362179948009736</v>
      </c>
      <c r="U88" s="51">
        <f t="shared" si="240"/>
        <v>11.48137929496605</v>
      </c>
      <c r="V88" s="51">
        <f t="shared" si="240"/>
        <v>11.551911534346811</v>
      </c>
      <c r="W88" s="51">
        <f t="shared" ref="W88:W100" si="241">W34/R34</f>
        <v>-3.611371281577732E-2</v>
      </c>
      <c r="X88" s="51">
        <f t="shared" ref="X88:X100" si="242">X34/S34</f>
        <v>8.8297602901041258E-2</v>
      </c>
      <c r="Y88" s="51">
        <f t="shared" ref="Y88:Y100" si="243">Y34/T34</f>
        <v>6.9248355901829636E-2</v>
      </c>
      <c r="Z88" s="51">
        <f t="shared" ref="Z88:Z100" si="244">Z34/U34</f>
        <v>5.3963347392788817E-2</v>
      </c>
      <c r="AA88" s="51">
        <f t="shared" ref="AA88:AA100" si="245">AA34/V34</f>
        <v>5.6842296126358563E-2</v>
      </c>
      <c r="AB88" s="51">
        <f t="shared" ref="AB88:AB100" si="246">AB34/AG34</f>
        <v>0.56807067177270376</v>
      </c>
      <c r="AC88" s="51">
        <f t="shared" ref="AC88:AC100" si="247">AC34/AH34</f>
        <v>0.4936612402175321</v>
      </c>
      <c r="AD88" s="51">
        <f t="shared" ref="AD88:AD100" si="248">AD34/AI34</f>
        <v>0.35831920605280798</v>
      </c>
      <c r="AE88" s="51">
        <f t="shared" ref="AE88:AE100" si="249">AE34/AJ34</f>
        <v>0.42909988635918334</v>
      </c>
      <c r="AF88" s="51">
        <f t="shared" ref="AF88:AF100" si="250">AF34/AK34</f>
        <v>0.65627484760137822</v>
      </c>
      <c r="AG88" s="51">
        <f t="shared" ref="AG88:AG100" si="251">R34/AG34</f>
        <v>0.88182672666105189</v>
      </c>
      <c r="AH88" s="51">
        <f t="shared" ref="AH88:AH100" si="252">S34/AH34</f>
        <v>1.0731033887154582</v>
      </c>
      <c r="AI88" s="51">
        <f t="shared" ref="AI88:AI100" si="253">T34/AI34</f>
        <v>1.7259928820010682</v>
      </c>
      <c r="AJ88" s="51">
        <f t="shared" ref="AJ88:AJ100" si="254">U34/AJ34</f>
        <v>2.2920059563462516</v>
      </c>
      <c r="AK88" s="51">
        <f t="shared" ref="AK88:AK100" si="255">V34/AK34</f>
        <v>1.9600480688143025</v>
      </c>
      <c r="AL88" s="51"/>
      <c r="AM88" s="63">
        <f t="shared" si="146"/>
        <v>8.1085366273948162E-3</v>
      </c>
      <c r="AN88" s="51"/>
      <c r="AO88" s="51"/>
      <c r="AP88" s="63">
        <f t="shared" si="147"/>
        <v>-0.13787264134018784</v>
      </c>
      <c r="AQ88" s="51"/>
      <c r="AR88" s="51" t="e">
        <f>LN(#REF!/#REF!)</f>
        <v>#REF!</v>
      </c>
      <c r="AS88" s="62">
        <f t="shared" ref="AS88" si="256">AD88-AF88</f>
        <v>-0.29795564154857024</v>
      </c>
      <c r="AT88" s="262">
        <v>31610.238817000001</v>
      </c>
      <c r="AU88" s="262">
        <v>34271.330159999998</v>
      </c>
      <c r="AV88" s="262">
        <v>31975.292052000001</v>
      </c>
      <c r="AW88" s="262">
        <v>24134.985429</v>
      </c>
      <c r="AX88" s="262">
        <v>18233.751250000001</v>
      </c>
    </row>
    <row r="89" spans="1:50">
      <c r="A89" s="17"/>
      <c r="B89" s="17"/>
      <c r="C89" s="17"/>
      <c r="D89" s="17"/>
      <c r="E89" s="17"/>
      <c r="F89" s="86"/>
      <c r="G89" s="17"/>
      <c r="H89" s="209"/>
      <c r="O89" s="276" t="s">
        <v>290</v>
      </c>
      <c r="P89" s="254">
        <v>2016</v>
      </c>
      <c r="Q89" s="50" t="s">
        <v>310</v>
      </c>
      <c r="R89" s="51">
        <f t="shared" ref="R89:V89" si="257">LN(R35)</f>
        <v>9.0186886212975761</v>
      </c>
      <c r="S89" s="51">
        <f t="shared" si="257"/>
        <v>8.4545545718421593</v>
      </c>
      <c r="T89" s="51">
        <f t="shared" si="257"/>
        <v>8.4401917886495887</v>
      </c>
      <c r="U89" s="51">
        <f t="shared" si="257"/>
        <v>8.3164909724127796</v>
      </c>
      <c r="V89" s="51">
        <f t="shared" si="257"/>
        <v>8.5964254232968269</v>
      </c>
      <c r="W89" s="51">
        <f t="shared" si="241"/>
        <v>2.2539560121744642</v>
      </c>
      <c r="X89" s="51">
        <f t="shared" si="242"/>
        <v>3.2247964606403308</v>
      </c>
      <c r="Y89" s="51">
        <f t="shared" si="243"/>
        <v>3.2427887758571092</v>
      </c>
      <c r="Z89" s="51">
        <f t="shared" si="244"/>
        <v>1.4435842961497045</v>
      </c>
      <c r="AA89" s="51">
        <f t="shared" si="245"/>
        <v>-3.7527543150936468E-2</v>
      </c>
      <c r="AB89" s="51">
        <f t="shared" si="246"/>
        <v>0.46564206902355315</v>
      </c>
      <c r="AC89" s="51">
        <f t="shared" si="247"/>
        <v>0.37324192468352413</v>
      </c>
      <c r="AD89" s="51">
        <f t="shared" si="248"/>
        <v>0.38145706570403221</v>
      </c>
      <c r="AE89" s="51">
        <f t="shared" si="249"/>
        <v>0.38409890698920968</v>
      </c>
      <c r="AF89" s="51">
        <f t="shared" si="250"/>
        <v>0.84497325735529905</v>
      </c>
      <c r="AG89" s="51">
        <f t="shared" si="251"/>
        <v>2.3592150267678354E-2</v>
      </c>
      <c r="AH89" s="51">
        <f t="shared" si="252"/>
        <v>2.4360830330665478E-2</v>
      </c>
      <c r="AI89" s="51">
        <f t="shared" si="253"/>
        <v>2.6960580400894007E-2</v>
      </c>
      <c r="AJ89" s="51">
        <f t="shared" si="254"/>
        <v>2.6692923784443046E-2</v>
      </c>
      <c r="AK89" s="51">
        <f t="shared" si="255"/>
        <v>7.4711352634223377E-2</v>
      </c>
      <c r="AL89" s="51"/>
      <c r="AM89" s="63">
        <f t="shared" si="146"/>
        <v>9.0231201024457905E-2</v>
      </c>
      <c r="AN89" s="51"/>
      <c r="AO89" s="51"/>
      <c r="AP89" s="63">
        <f t="shared" si="147"/>
        <v>0.15943006238073837</v>
      </c>
      <c r="AQ89" s="51"/>
      <c r="AR89" s="51" t="e">
        <f>LN(#REF!/#REF!)</f>
        <v>#REF!</v>
      </c>
      <c r="AS89" s="62">
        <f t="shared" ref="AS89" si="258">AD89-AF89</f>
        <v>-0.46351619165126684</v>
      </c>
      <c r="AT89" s="262">
        <v>186995.620826</v>
      </c>
      <c r="AU89" s="262">
        <v>120829.607556</v>
      </c>
      <c r="AV89" s="262">
        <v>106210.838602</v>
      </c>
      <c r="AW89" s="262">
        <v>94388.909043000007</v>
      </c>
      <c r="AX89" s="262">
        <v>11230.403078000001</v>
      </c>
    </row>
    <row r="90" spans="1:50">
      <c r="A90" s="17"/>
      <c r="B90" s="17"/>
      <c r="C90" s="17"/>
      <c r="D90" s="17"/>
      <c r="E90" s="17"/>
      <c r="F90" s="86"/>
      <c r="G90" s="17"/>
      <c r="H90" s="209"/>
      <c r="O90" s="276" t="s">
        <v>292</v>
      </c>
      <c r="P90" s="254">
        <v>2008</v>
      </c>
      <c r="Q90" s="50" t="s">
        <v>311</v>
      </c>
      <c r="R90" s="51">
        <f t="shared" ref="R90:V90" si="259">LN(R36)</f>
        <v>12.587163072462419</v>
      </c>
      <c r="S90" s="51">
        <f t="shared" si="259"/>
        <v>12.679691696791746</v>
      </c>
      <c r="T90" s="51">
        <f t="shared" si="259"/>
        <v>12.391983673167102</v>
      </c>
      <c r="U90" s="51">
        <f t="shared" si="259"/>
        <v>12.75834169234283</v>
      </c>
      <c r="V90" s="51">
        <f t="shared" si="259"/>
        <v>12.220800691951617</v>
      </c>
      <c r="W90" s="51">
        <f t="shared" si="241"/>
        <v>0.32633530976258451</v>
      </c>
      <c r="X90" s="51">
        <f t="shared" si="242"/>
        <v>0.35313403333862908</v>
      </c>
      <c r="Y90" s="51">
        <f t="shared" si="243"/>
        <v>0.31734171950587742</v>
      </c>
      <c r="Z90" s="51">
        <f t="shared" si="244"/>
        <v>0.32937078171434131</v>
      </c>
      <c r="AA90" s="51">
        <f t="shared" si="245"/>
        <v>0.29542045934510064</v>
      </c>
      <c r="AB90" s="51">
        <f t="shared" si="246"/>
        <v>0.49784489087703493</v>
      </c>
      <c r="AC90" s="51">
        <f t="shared" si="247"/>
        <v>0.59005557848127999</v>
      </c>
      <c r="AD90" s="51">
        <f t="shared" si="248"/>
        <v>0.53695582457180535</v>
      </c>
      <c r="AE90" s="51">
        <f t="shared" si="249"/>
        <v>0.56613250317365427</v>
      </c>
      <c r="AF90" s="51">
        <f t="shared" si="250"/>
        <v>0.63177327034397446</v>
      </c>
      <c r="AG90" s="51">
        <f t="shared" si="251"/>
        <v>0.29001095776219638</v>
      </c>
      <c r="AH90" s="51">
        <f t="shared" si="252"/>
        <v>0.30604821306168506</v>
      </c>
      <c r="AI90" s="51">
        <f t="shared" si="253"/>
        <v>0.26874388220171036</v>
      </c>
      <c r="AJ90" s="51">
        <f t="shared" si="254"/>
        <v>0.34068132068443396</v>
      </c>
      <c r="AK90" s="51">
        <f t="shared" si="255"/>
        <v>0.21590862344321038</v>
      </c>
      <c r="AL90" s="51"/>
      <c r="AM90" s="63">
        <f t="shared" si="146"/>
        <v>2.1499820970414169E-2</v>
      </c>
      <c r="AN90" s="51"/>
      <c r="AO90" s="51"/>
      <c r="AP90" s="63">
        <f t="shared" si="147"/>
        <v>1.0961392137622428E-2</v>
      </c>
      <c r="AQ90" s="51"/>
      <c r="AR90" s="51" t="e">
        <f>LN(#REF!/#REF!)</f>
        <v>#REF!</v>
      </c>
      <c r="AS90" s="62">
        <f t="shared" ref="AS90" si="260">AD90-AF90</f>
        <v>-9.4817445772169107E-2</v>
      </c>
      <c r="AT90" s="262">
        <v>506942.60284800001</v>
      </c>
      <c r="AU90" s="262">
        <v>430184.84025800001</v>
      </c>
      <c r="AV90" s="262">
        <v>415005.61063000001</v>
      </c>
      <c r="AW90" s="262">
        <v>442472.583102</v>
      </c>
      <c r="AX90" s="262">
        <v>346155.64042399998</v>
      </c>
    </row>
    <row r="91" spans="1:50">
      <c r="A91" s="17"/>
      <c r="B91" s="17"/>
      <c r="C91" s="17"/>
      <c r="D91" s="17"/>
      <c r="E91" s="17"/>
      <c r="F91" s="86"/>
      <c r="G91" s="17"/>
      <c r="H91" s="209"/>
      <c r="O91" s="276" t="s">
        <v>294</v>
      </c>
      <c r="P91" s="254">
        <v>2008</v>
      </c>
      <c r="Q91" s="51" t="s">
        <v>313</v>
      </c>
      <c r="R91" s="51">
        <f t="shared" ref="R91:V91" si="261">LN(R37)</f>
        <v>11.588700469709837</v>
      </c>
      <c r="S91" s="51">
        <f t="shared" si="261"/>
        <v>11.690582668897068</v>
      </c>
      <c r="T91" s="51">
        <f t="shared" si="261"/>
        <v>11.717525014187153</v>
      </c>
      <c r="U91" s="51">
        <f t="shared" si="261"/>
        <v>11.706776197994026</v>
      </c>
      <c r="V91" s="51">
        <f t="shared" si="261"/>
        <v>11.637583868800165</v>
      </c>
      <c r="W91" s="51">
        <f t="shared" si="241"/>
        <v>0.14238410596026491</v>
      </c>
      <c r="X91" s="51">
        <f t="shared" si="242"/>
        <v>-0.78502080443828015</v>
      </c>
      <c r="Y91" s="51">
        <f t="shared" si="243"/>
        <v>-0.44401041666666669</v>
      </c>
      <c r="Z91" s="51">
        <f t="shared" si="244"/>
        <v>-1.6014514218009479</v>
      </c>
      <c r="AA91" s="51">
        <f t="shared" si="245"/>
        <v>-6.1646525679758311</v>
      </c>
      <c r="AB91" s="51">
        <f t="shared" si="246"/>
        <v>0.14731839782756281</v>
      </c>
      <c r="AC91" s="51">
        <f t="shared" si="247"/>
        <v>0.10162856248042594</v>
      </c>
      <c r="AD91" s="51">
        <f t="shared" si="248"/>
        <v>0.31541218637992829</v>
      </c>
      <c r="AE91" s="51">
        <f t="shared" si="249"/>
        <v>0.41521332653408127</v>
      </c>
      <c r="AF91" s="51">
        <f t="shared" si="250"/>
        <v>0.48158529430936708</v>
      </c>
      <c r="AG91" s="51">
        <f t="shared" si="251"/>
        <v>0.20502376103190767</v>
      </c>
      <c r="AH91" s="51">
        <f t="shared" si="252"/>
        <v>0.11290322580645162</v>
      </c>
      <c r="AI91" s="51">
        <f t="shared" si="253"/>
        <v>8.3414793092212447E-2</v>
      </c>
      <c r="AJ91" s="51">
        <f t="shared" si="254"/>
        <v>5.738568757436683E-2</v>
      </c>
      <c r="AK91" s="51">
        <f t="shared" si="255"/>
        <v>4.3152336875040741E-2</v>
      </c>
      <c r="AL91" s="51"/>
      <c r="AM91" s="63">
        <f t="shared" si="146"/>
        <v>0.22898212729384099</v>
      </c>
      <c r="AN91" s="51"/>
      <c r="AO91" s="51"/>
      <c r="AP91" s="63">
        <f t="shared" si="147"/>
        <v>0.45897396065772605</v>
      </c>
      <c r="AQ91" s="51"/>
      <c r="AR91" s="51" t="e">
        <f>LN(#REF!/#REF!)</f>
        <v>#REF!</v>
      </c>
      <c r="AS91" s="62">
        <f t="shared" ref="AS91" si="262">AD91-AF91</f>
        <v>-0.16617310792943879</v>
      </c>
      <c r="AT91" s="262">
        <v>448633.152</v>
      </c>
      <c r="AU91" s="262">
        <v>950397.15700000001</v>
      </c>
      <c r="AV91" s="262">
        <v>1007030.3099999999</v>
      </c>
      <c r="AW91" s="262">
        <v>1237035.5516000001</v>
      </c>
      <c r="AX91" s="262">
        <v>1361024.848</v>
      </c>
    </row>
    <row r="92" spans="1:50">
      <c r="A92" s="17"/>
      <c r="B92" s="17"/>
      <c r="C92" s="17"/>
      <c r="D92" s="17"/>
      <c r="E92" s="17"/>
      <c r="F92" s="86"/>
      <c r="G92" s="17"/>
      <c r="H92" s="209"/>
      <c r="O92" s="276" t="s">
        <v>296</v>
      </c>
      <c r="P92" s="254">
        <v>2008</v>
      </c>
      <c r="Q92" s="50" t="s">
        <v>314</v>
      </c>
      <c r="R92" s="51">
        <f t="shared" ref="R92:V92" si="263">LN(R38)</f>
        <v>10.193579186212212</v>
      </c>
      <c r="S92" s="51">
        <f t="shared" si="263"/>
        <v>10.02031640376998</v>
      </c>
      <c r="T92" s="51">
        <f t="shared" si="263"/>
        <v>9.835644223464902</v>
      </c>
      <c r="U92" s="51">
        <f t="shared" si="263"/>
        <v>9.9072705723847161</v>
      </c>
      <c r="V92" s="51">
        <f t="shared" si="263"/>
        <v>8.3148150645445646</v>
      </c>
      <c r="W92" s="51">
        <f t="shared" si="241"/>
        <v>0.22751598484696639</v>
      </c>
      <c r="X92" s="51">
        <f t="shared" si="242"/>
        <v>0.15334217702115116</v>
      </c>
      <c r="Y92" s="51">
        <f t="shared" si="243"/>
        <v>0.11112346006206772</v>
      </c>
      <c r="Z92" s="51">
        <f t="shared" si="244"/>
        <v>0.19221779429543723</v>
      </c>
      <c r="AA92" s="51">
        <f t="shared" si="245"/>
        <v>-1.1941174005949639E-2</v>
      </c>
      <c r="AB92" s="51">
        <f t="shared" si="246"/>
        <v>0.21849280934073759</v>
      </c>
      <c r="AC92" s="51">
        <f t="shared" si="247"/>
        <v>0.18776082149190987</v>
      </c>
      <c r="AD92" s="51">
        <f t="shared" si="248"/>
        <v>0.1279419077872388</v>
      </c>
      <c r="AE92" s="51">
        <f t="shared" si="249"/>
        <v>0.15018377547917655</v>
      </c>
      <c r="AF92" s="51">
        <f t="shared" si="250"/>
        <v>0.12676812891674127</v>
      </c>
      <c r="AG92" s="51">
        <f t="shared" si="251"/>
        <v>0.53279581375480567</v>
      </c>
      <c r="AH92" s="51">
        <f t="shared" si="252"/>
        <v>0.59418036914588479</v>
      </c>
      <c r="AI92" s="51">
        <f t="shared" si="253"/>
        <v>0.59355241391209035</v>
      </c>
      <c r="AJ92" s="51">
        <f t="shared" si="254"/>
        <v>0.59568327669812271</v>
      </c>
      <c r="AK92" s="51">
        <f t="shared" si="255"/>
        <v>0.15827447859677043</v>
      </c>
      <c r="AL92" s="51"/>
      <c r="AM92" s="63">
        <f t="shared" si="146"/>
        <v>6.7847581051729056E-2</v>
      </c>
      <c r="AN92" s="51"/>
      <c r="AO92" s="51"/>
      <c r="AP92" s="63">
        <f t="shared" si="147"/>
        <v>7.7799202815695037E-2</v>
      </c>
      <c r="AQ92" s="51"/>
      <c r="AR92" s="51" t="e">
        <f>LN(#REF!/#REF!)</f>
        <v>#REF!</v>
      </c>
      <c r="AS92" s="62">
        <f t="shared" ref="AS92" si="264">AD92-AF92</f>
        <v>1.1737788704975216E-3</v>
      </c>
      <c r="AT92" s="262">
        <v>39208.965840000004</v>
      </c>
      <c r="AU92" s="262">
        <v>30727.796246000002</v>
      </c>
      <c r="AV92" s="262">
        <v>27456.794040000001</v>
      </c>
      <c r="AW92" s="262">
        <v>28640.628944</v>
      </c>
      <c r="AX92" s="262">
        <v>22531.857047999998</v>
      </c>
    </row>
    <row r="93" spans="1:50">
      <c r="A93" s="17"/>
      <c r="B93" s="17"/>
      <c r="C93" s="17"/>
      <c r="D93" s="17"/>
      <c r="E93" s="17"/>
      <c r="F93" s="86"/>
      <c r="G93" s="17"/>
      <c r="H93" s="209"/>
      <c r="O93" s="276" t="s">
        <v>296</v>
      </c>
      <c r="P93" s="254">
        <v>2008</v>
      </c>
      <c r="Q93" s="50" t="s">
        <v>315</v>
      </c>
      <c r="R93" s="51">
        <f t="shared" ref="R93:V93" si="265">LN(R39)</f>
        <v>7.3708404130376524</v>
      </c>
      <c r="S93" s="51">
        <f t="shared" si="265"/>
        <v>7.9036820125746345</v>
      </c>
      <c r="T93" s="51">
        <f t="shared" si="265"/>
        <v>7.5482548379409939</v>
      </c>
      <c r="U93" s="51">
        <f t="shared" si="265"/>
        <v>7.7007158989805173</v>
      </c>
      <c r="V93" s="51">
        <f t="shared" si="265"/>
        <v>7.4741709035377708</v>
      </c>
      <c r="W93" s="51">
        <f t="shared" si="241"/>
        <v>4.3622569405417551</v>
      </c>
      <c r="X93" s="51">
        <f t="shared" si="242"/>
        <v>2.0610084444988375</v>
      </c>
      <c r="Y93" s="51">
        <f t="shared" si="243"/>
        <v>2.8636746379252274</v>
      </c>
      <c r="Z93" s="51">
        <f t="shared" si="244"/>
        <v>-1.2530100878620241</v>
      </c>
      <c r="AA93" s="51">
        <f t="shared" si="245"/>
        <v>1.6214431387782848</v>
      </c>
      <c r="AB93" s="51">
        <f t="shared" si="246"/>
        <v>0.6584325465494566</v>
      </c>
      <c r="AC93" s="51">
        <f t="shared" si="247"/>
        <v>0.78404871767357021</v>
      </c>
      <c r="AD93" s="51">
        <f t="shared" si="248"/>
        <v>0.8574143502374042</v>
      </c>
      <c r="AE93" s="51">
        <f t="shared" si="249"/>
        <v>0.70232111090871741</v>
      </c>
      <c r="AF93" s="51">
        <f t="shared" si="250"/>
        <v>0.52152500840820648</v>
      </c>
      <c r="AG93" s="51">
        <f t="shared" si="251"/>
        <v>3.8489824877137119E-2</v>
      </c>
      <c r="AH93" s="51">
        <f t="shared" si="252"/>
        <v>4.3840540830561221E-2</v>
      </c>
      <c r="AI93" s="51">
        <f t="shared" si="253"/>
        <v>3.6169493486993783E-2</v>
      </c>
      <c r="AJ93" s="51">
        <f t="shared" si="254"/>
        <v>4.7639163950500538E-2</v>
      </c>
      <c r="AK93" s="51">
        <f t="shared" si="255"/>
        <v>8.2456477522061533E-2</v>
      </c>
      <c r="AL93" s="51"/>
      <c r="AM93" s="63">
        <f t="shared" si="146"/>
        <v>-3.0120828560666779E-2</v>
      </c>
      <c r="AN93" s="51"/>
      <c r="AO93" s="51"/>
      <c r="AP93" s="63">
        <f t="shared" si="147"/>
        <v>0.44699787641077704</v>
      </c>
      <c r="AQ93" s="51"/>
      <c r="AR93" s="51" t="e">
        <f>LN(#REF!/#REF!)</f>
        <v>#REF!</v>
      </c>
      <c r="AS93" s="62">
        <f t="shared" ref="AS93" si="266">AD93-AF93</f>
        <v>0.33588934182919772</v>
      </c>
      <c r="AT93" s="262">
        <v>14100.868584</v>
      </c>
      <c r="AU93" s="262">
        <v>13335.379178000001</v>
      </c>
      <c r="AV93" s="262">
        <v>7479.9520899999998</v>
      </c>
      <c r="AW93" s="262">
        <v>13809.003087999999</v>
      </c>
      <c r="AX93" s="262">
        <v>10224.113111999999</v>
      </c>
    </row>
    <row r="94" spans="1:50" ht="15.75" customHeight="1">
      <c r="A94" s="17"/>
      <c r="B94" s="17"/>
      <c r="C94" s="17"/>
      <c r="D94" s="17"/>
      <c r="E94" s="17"/>
      <c r="F94" s="86"/>
      <c r="G94" s="17"/>
      <c r="H94" s="209"/>
      <c r="O94" s="276" t="s">
        <v>300</v>
      </c>
      <c r="P94" s="254">
        <v>2006</v>
      </c>
      <c r="Q94" s="50" t="s">
        <v>316</v>
      </c>
      <c r="R94" s="51">
        <f t="shared" ref="R94:V94" si="267">LN(R40)</f>
        <v>11.893854260535866</v>
      </c>
      <c r="S94" s="51">
        <f t="shared" si="267"/>
        <v>11.851558486613129</v>
      </c>
      <c r="T94" s="51">
        <f t="shared" si="267"/>
        <v>11.791517865679912</v>
      </c>
      <c r="U94" s="51">
        <f t="shared" si="267"/>
        <v>11.64111831813724</v>
      </c>
      <c r="V94" s="51">
        <f t="shared" si="267"/>
        <v>11.420164367375508</v>
      </c>
      <c r="W94" s="51">
        <f t="shared" si="241"/>
        <v>1.1222647457575315E-2</v>
      </c>
      <c r="X94" s="51">
        <f t="shared" si="242"/>
        <v>4.463164477157517E-3</v>
      </c>
      <c r="Y94" s="51">
        <f t="shared" si="243"/>
        <v>2.4986855158087771E-2</v>
      </c>
      <c r="Z94" s="51">
        <f t="shared" si="244"/>
        <v>9.1953265329663986E-3</v>
      </c>
      <c r="AA94" s="51">
        <f t="shared" si="245"/>
        <v>2.6197714609371536E-2</v>
      </c>
      <c r="AB94" s="51">
        <f t="shared" si="246"/>
        <v>0.29455691274514573</v>
      </c>
      <c r="AC94" s="51">
        <f t="shared" si="247"/>
        <v>0.24979880640500304</v>
      </c>
      <c r="AD94" s="51">
        <f t="shared" si="248"/>
        <v>0.30039584798349867</v>
      </c>
      <c r="AE94" s="51">
        <f t="shared" si="249"/>
        <v>0.63418841726601904</v>
      </c>
      <c r="AF94" s="51">
        <f t="shared" si="250"/>
        <v>0.69598513677313123</v>
      </c>
      <c r="AG94" s="51">
        <f t="shared" si="251"/>
        <v>1.1145238211105162</v>
      </c>
      <c r="AH94" s="51">
        <f t="shared" si="252"/>
        <v>1.0278826004091046</v>
      </c>
      <c r="AI94" s="51">
        <f t="shared" si="253"/>
        <v>0.95429395574857023</v>
      </c>
      <c r="AJ94" s="51">
        <f t="shared" si="254"/>
        <v>0.84994362468748463</v>
      </c>
      <c r="AK94" s="51">
        <f t="shared" si="255"/>
        <v>0.9909234912353958</v>
      </c>
      <c r="AL94" s="51"/>
      <c r="AM94" s="63">
        <f t="shared" si="146"/>
        <v>-2.1151259725788289E-3</v>
      </c>
      <c r="AN94" s="51"/>
      <c r="AO94" s="51"/>
      <c r="AP94" s="63">
        <f t="shared" si="147"/>
        <v>-5.1306933021091176E-2</v>
      </c>
      <c r="AQ94" s="51"/>
      <c r="AR94" s="51" t="e">
        <f>LN(#REF!/#REF!)</f>
        <v>#REF!</v>
      </c>
      <c r="AS94" s="62">
        <f t="shared" ref="AS94" si="268">AD94-AF94</f>
        <v>-0.39558928878963256</v>
      </c>
      <c r="AT94" s="262">
        <v>92641.835649999994</v>
      </c>
      <c r="AU94" s="262">
        <v>102399.81309</v>
      </c>
      <c r="AV94" s="262">
        <v>96863.423183999999</v>
      </c>
      <c r="AW94" s="262">
        <v>48926.120495999996</v>
      </c>
      <c r="AX94" s="262">
        <v>27962.053336999998</v>
      </c>
    </row>
    <row r="95" spans="1:50">
      <c r="A95" s="17"/>
      <c r="B95" s="17"/>
      <c r="C95" s="17"/>
      <c r="D95" s="17"/>
      <c r="E95" s="17"/>
      <c r="F95" s="86"/>
      <c r="G95" s="17"/>
      <c r="H95" s="209"/>
      <c r="O95" s="276" t="s">
        <v>302</v>
      </c>
      <c r="P95" s="254">
        <v>2005</v>
      </c>
      <c r="Q95" s="50" t="s">
        <v>305</v>
      </c>
      <c r="R95" s="51">
        <f t="shared" ref="R95:V95" si="269">LN(R41)</f>
        <v>10.133331102806116</v>
      </c>
      <c r="S95" s="51">
        <f t="shared" si="269"/>
        <v>9.9431950752553249</v>
      </c>
      <c r="T95" s="51">
        <f t="shared" si="269"/>
        <v>9.6749815275763602</v>
      </c>
      <c r="U95" s="51">
        <f t="shared" si="269"/>
        <v>9.5276547903243305</v>
      </c>
      <c r="V95" s="51">
        <f t="shared" si="269"/>
        <v>9.3448571235750588</v>
      </c>
      <c r="W95" s="51">
        <f t="shared" si="241"/>
        <v>0.19492960161155518</v>
      </c>
      <c r="X95" s="51">
        <f t="shared" si="242"/>
        <v>0.18325563038062112</v>
      </c>
      <c r="Y95" s="51">
        <f t="shared" si="243"/>
        <v>0.15750649860218746</v>
      </c>
      <c r="Z95" s="51">
        <f t="shared" si="244"/>
        <v>0.16808558813540134</v>
      </c>
      <c r="AA95" s="51">
        <f t="shared" si="245"/>
        <v>6.0869113213431754E-2</v>
      </c>
      <c r="AB95" s="51">
        <f t="shared" si="246"/>
        <v>0.85162121748711284</v>
      </c>
      <c r="AC95" s="51">
        <f t="shared" si="247"/>
        <v>0.8618290660518545</v>
      </c>
      <c r="AD95" s="51">
        <f t="shared" si="248"/>
        <v>0.84405148909395966</v>
      </c>
      <c r="AE95" s="51">
        <f t="shared" si="249"/>
        <v>0.8174378931655828</v>
      </c>
      <c r="AF95" s="51">
        <f t="shared" si="250"/>
        <v>0.67274167987321709</v>
      </c>
      <c r="AG95" s="51">
        <f t="shared" si="251"/>
        <v>1.377139652933538</v>
      </c>
      <c r="AH95" s="51">
        <f t="shared" si="252"/>
        <v>1.2297961412449945</v>
      </c>
      <c r="AI95" s="51">
        <f t="shared" si="253"/>
        <v>1.3363176384228186</v>
      </c>
      <c r="AJ95" s="51">
        <f t="shared" si="254"/>
        <v>1.1772310480861499</v>
      </c>
      <c r="AK95" s="51">
        <f t="shared" si="255"/>
        <v>1.3858233683907217</v>
      </c>
      <c r="AL95" s="51"/>
      <c r="AM95" s="63">
        <f t="shared" si="146"/>
        <v>0.12612487274392795</v>
      </c>
      <c r="AN95" s="51"/>
      <c r="AO95" s="51"/>
      <c r="AP95" s="63">
        <f t="shared" si="147"/>
        <v>1.0917953570201064</v>
      </c>
      <c r="AQ95" s="51"/>
      <c r="AR95" s="51" t="e">
        <f>LN(#REF!/#REF!)</f>
        <v>#REF!</v>
      </c>
      <c r="AS95" s="62">
        <f t="shared" ref="AS95" si="270">AD95-AF95</f>
        <v>0.17130980922074257</v>
      </c>
      <c r="AT95" s="262">
        <v>2711.7122380000001</v>
      </c>
      <c r="AU95" s="262">
        <v>2338.2454799999996</v>
      </c>
      <c r="AV95" s="262">
        <v>1857.3729839999999</v>
      </c>
      <c r="AW95" s="262">
        <v>2129.8883219999998</v>
      </c>
      <c r="AX95" s="262">
        <v>2701.4858639999998</v>
      </c>
    </row>
    <row r="96" spans="1:50">
      <c r="A96" s="17"/>
      <c r="B96" s="17"/>
      <c r="C96" s="17"/>
      <c r="D96" s="17"/>
      <c r="E96" s="17"/>
      <c r="F96" s="86"/>
      <c r="G96" s="17"/>
      <c r="H96" s="209"/>
      <c r="O96" s="299">
        <v>0.17899999999999999</v>
      </c>
      <c r="P96" s="254">
        <v>2005</v>
      </c>
      <c r="Q96" s="50" t="s">
        <v>326</v>
      </c>
      <c r="R96" s="51">
        <f t="shared" ref="R96:V96" si="271">LN(R42)</f>
        <v>10.567919262748541</v>
      </c>
      <c r="S96" s="51">
        <f t="shared" si="271"/>
        <v>10.747787795495315</v>
      </c>
      <c r="T96" s="51">
        <f t="shared" si="271"/>
        <v>10.19346532785322</v>
      </c>
      <c r="U96" s="51">
        <f t="shared" si="271"/>
        <v>10.029729701697129</v>
      </c>
      <c r="V96" s="51">
        <f t="shared" si="271"/>
        <v>10.084773798819414</v>
      </c>
      <c r="W96" s="51">
        <f t="shared" si="241"/>
        <v>2.6022332159633E-2</v>
      </c>
      <c r="X96" s="51">
        <f t="shared" si="242"/>
        <v>0.25316732284246485</v>
      </c>
      <c r="Y96" s="51">
        <f t="shared" si="243"/>
        <v>0.11457891308115728</v>
      </c>
      <c r="Z96" s="51">
        <f t="shared" si="244"/>
        <v>0.58779838431444054</v>
      </c>
      <c r="AA96" s="51">
        <f t="shared" si="245"/>
        <v>0.36815137076168747</v>
      </c>
      <c r="AB96" s="51">
        <f t="shared" si="246"/>
        <v>0.92606917606139127</v>
      </c>
      <c r="AC96" s="51">
        <f t="shared" si="247"/>
        <v>0.94300868553583561</v>
      </c>
      <c r="AD96" s="51">
        <f t="shared" si="248"/>
        <v>0.9341476363396658</v>
      </c>
      <c r="AE96" s="51">
        <f t="shared" si="249"/>
        <v>0.91166118919973127</v>
      </c>
      <c r="AF96" s="51">
        <f t="shared" si="250"/>
        <v>0.93260833304548263</v>
      </c>
      <c r="AG96" s="51">
        <f t="shared" si="251"/>
        <v>2.5827488921881653E-2</v>
      </c>
      <c r="AH96" s="51">
        <f t="shared" si="252"/>
        <v>1.8419635102265512E-2</v>
      </c>
      <c r="AI96" s="51">
        <f t="shared" si="253"/>
        <v>1.4359597827930295E-2</v>
      </c>
      <c r="AJ96" s="51">
        <f t="shared" si="254"/>
        <v>1.8139108098428822E-2</v>
      </c>
      <c r="AK96" s="51">
        <f t="shared" si="255"/>
        <v>1.9463476848193603E-2</v>
      </c>
      <c r="AL96" s="51"/>
      <c r="AM96" s="63">
        <f t="shared" si="146"/>
        <v>-5.5201985700440419E-3</v>
      </c>
      <c r="AN96" s="51"/>
      <c r="AO96" s="51"/>
      <c r="AP96" s="63">
        <f t="shared" si="147"/>
        <v>-8.1341257330579841E-2</v>
      </c>
      <c r="AQ96" s="51"/>
      <c r="AR96" s="51">
        <f>LN(T42/V42)</f>
        <v>0.10869152903380605</v>
      </c>
      <c r="AS96" s="62">
        <f t="shared" ref="AS96" si="272">AD96-AF96</f>
        <v>1.5393032941831697E-3</v>
      </c>
      <c r="AT96" s="80">
        <v>111258.147830769</v>
      </c>
      <c r="AU96" s="80">
        <v>143957.11722326299</v>
      </c>
      <c r="AV96" s="80">
        <v>122572.845569193</v>
      </c>
      <c r="AW96" s="80">
        <v>110507.38537617</v>
      </c>
      <c r="AX96" s="80">
        <v>83013.4100517482</v>
      </c>
    </row>
    <row r="97" spans="1:50">
      <c r="A97" s="17"/>
      <c r="B97" s="17"/>
      <c r="C97" s="17"/>
      <c r="D97" s="17"/>
      <c r="E97" s="17"/>
      <c r="F97" s="86"/>
      <c r="G97" s="17"/>
      <c r="H97" s="209"/>
      <c r="O97" s="298"/>
      <c r="P97" s="254">
        <v>2007</v>
      </c>
      <c r="Q97" s="51" t="s">
        <v>327</v>
      </c>
      <c r="R97" s="51">
        <f t="shared" ref="R97:V97" si="273">LN(R43)</f>
        <v>6.8853212433727657</v>
      </c>
      <c r="S97" s="51">
        <f t="shared" si="273"/>
        <v>7.2272779483488812</v>
      </c>
      <c r="T97" s="51">
        <f t="shared" si="273"/>
        <v>7.4543065488224141</v>
      </c>
      <c r="U97" s="51">
        <f t="shared" si="273"/>
        <v>6.7442572957550713</v>
      </c>
      <c r="V97" s="51" t="e">
        <f t="shared" si="273"/>
        <v>#NUM!</v>
      </c>
      <c r="W97" s="51">
        <f t="shared" si="241"/>
        <v>-0.1</v>
      </c>
      <c r="X97" s="51">
        <f t="shared" si="242"/>
        <v>3.8771995977878304</v>
      </c>
      <c r="Y97" s="51">
        <f t="shared" si="243"/>
        <v>-2.3304110495409858</v>
      </c>
      <c r="Z97" s="51">
        <f t="shared" si="244"/>
        <v>2.0430996952546838</v>
      </c>
      <c r="AA97" s="51" t="e">
        <f t="shared" si="245"/>
        <v>#DIV/0!</v>
      </c>
      <c r="AB97" s="51">
        <f t="shared" si="246"/>
        <v>0.15918261368804398</v>
      </c>
      <c r="AC97" s="51">
        <f t="shared" si="247"/>
        <v>0.20355522923680405</v>
      </c>
      <c r="AD97" s="51">
        <f t="shared" si="248"/>
        <v>0.27670562866384396</v>
      </c>
      <c r="AE97" s="51">
        <f t="shared" si="249"/>
        <v>4.5757604375037675E-2</v>
      </c>
      <c r="AF97" s="51">
        <f t="shared" si="250"/>
        <v>4.7901054268746746E-2</v>
      </c>
      <c r="AG97" s="51">
        <f t="shared" si="251"/>
        <v>4.6204162728964559E-3</v>
      </c>
      <c r="AH97" s="51">
        <f t="shared" si="252"/>
        <v>6.072174618523816E-3</v>
      </c>
      <c r="AI97" s="51">
        <f t="shared" si="253"/>
        <v>8.6332835895494998E-3</v>
      </c>
      <c r="AJ97" s="51">
        <f t="shared" si="254"/>
        <v>7.8881171713356211E-3</v>
      </c>
      <c r="AK97" s="51">
        <f t="shared" si="255"/>
        <v>0</v>
      </c>
      <c r="AL97" s="51"/>
      <c r="AM97" s="63">
        <f t="shared" si="146"/>
        <v>-2.6635309549064408E-2</v>
      </c>
      <c r="AN97" s="51"/>
      <c r="AO97" s="51"/>
      <c r="AP97" s="63">
        <f t="shared" si="147"/>
        <v>-3.4659996134424255E-2</v>
      </c>
      <c r="AQ97" s="51"/>
      <c r="AR97" s="51" t="e">
        <f>LN(T43/V43)</f>
        <v>#DIV/0!</v>
      </c>
      <c r="AS97" s="62">
        <f t="shared" ref="AS97" si="274">AD97-AF97</f>
        <v>0.22880457439509722</v>
      </c>
      <c r="AT97" s="66">
        <v>177941.64485409899</v>
      </c>
      <c r="AU97" s="66">
        <v>180542.03990832</v>
      </c>
      <c r="AV97" s="66">
        <v>144711.43504053398</v>
      </c>
      <c r="AW97" s="66">
        <v>102725.878554761</v>
      </c>
      <c r="AX97" s="66">
        <v>73733.068367153406</v>
      </c>
    </row>
    <row r="98" spans="1:50">
      <c r="A98" s="17"/>
      <c r="B98" s="17"/>
      <c r="C98" s="17"/>
      <c r="D98" s="17"/>
      <c r="E98" s="17"/>
      <c r="F98" s="86"/>
      <c r="G98" s="17"/>
      <c r="H98" s="209"/>
      <c r="O98" s="298"/>
      <c r="P98" s="254">
        <v>2007</v>
      </c>
      <c r="Q98" s="51" t="s">
        <v>328</v>
      </c>
      <c r="R98" s="51">
        <f t="shared" ref="R98:V98" si="275">LN(R44)</f>
        <v>5.8292467538767774</v>
      </c>
      <c r="S98" s="51">
        <f t="shared" si="275"/>
        <v>6.0680410378643357</v>
      </c>
      <c r="T98" s="51">
        <f t="shared" si="275"/>
        <v>5.7647432191493708</v>
      </c>
      <c r="U98" s="51">
        <f t="shared" si="275"/>
        <v>6.579969792573535</v>
      </c>
      <c r="V98" s="51">
        <f t="shared" si="275"/>
        <v>6.4319842687858317</v>
      </c>
      <c r="W98" s="51">
        <f t="shared" si="241"/>
        <v>-65.321123933768121</v>
      </c>
      <c r="X98" s="51">
        <f t="shared" si="242"/>
        <v>-6.4919871794871824</v>
      </c>
      <c r="Y98" s="51">
        <f t="shared" si="243"/>
        <v>2.8405017921146931</v>
      </c>
      <c r="Z98" s="51">
        <f t="shared" si="244"/>
        <v>-8.9851205746536653</v>
      </c>
      <c r="AA98" s="51">
        <f t="shared" si="245"/>
        <v>-0.38431876606683807</v>
      </c>
      <c r="AB98" s="51">
        <f t="shared" si="246"/>
        <v>0.45728911406106781</v>
      </c>
      <c r="AC98" s="51">
        <f t="shared" si="247"/>
        <v>0.31398964787128941</v>
      </c>
      <c r="AD98" s="51">
        <f t="shared" si="248"/>
        <v>0.21066272823364215</v>
      </c>
      <c r="AE98" s="51">
        <f t="shared" si="249"/>
        <v>0.18928181661529042</v>
      </c>
      <c r="AF98" s="51">
        <f t="shared" si="250"/>
        <v>5.3743100074566764E-2</v>
      </c>
      <c r="AG98" s="51">
        <f t="shared" si="251"/>
        <v>1.4981132642783097E-2</v>
      </c>
      <c r="AH98" s="51">
        <f t="shared" si="252"/>
        <v>8.4828999554783773E-3</v>
      </c>
      <c r="AI98" s="51">
        <f t="shared" si="253"/>
        <v>8.0795795143564705E-3</v>
      </c>
      <c r="AJ98" s="51">
        <f t="shared" si="254"/>
        <v>1.4926573359627798E-2</v>
      </c>
      <c r="AK98" s="51">
        <f t="shared" si="255"/>
        <v>1.9467423343892808E-2</v>
      </c>
      <c r="AL98" s="51"/>
      <c r="AM98" s="63">
        <f t="shared" si="146"/>
        <v>3.043175620808836E-2</v>
      </c>
      <c r="AN98" s="51"/>
      <c r="AO98" s="51"/>
      <c r="AP98" s="63">
        <f t="shared" si="147"/>
        <v>3.698185583625755E-2</v>
      </c>
      <c r="AQ98" s="51"/>
      <c r="AR98" s="51">
        <f>LN(T44/V44)</f>
        <v>-0.66724104963646025</v>
      </c>
      <c r="AS98" s="62">
        <f t="shared" ref="AS98" si="276">AD98-AF98</f>
        <v>0.1569196281590754</v>
      </c>
      <c r="AT98" s="66">
        <v>12320.4782746732</v>
      </c>
      <c r="AU98" s="66">
        <v>34922.318026870496</v>
      </c>
      <c r="AV98" s="66">
        <v>31150.715678259701</v>
      </c>
      <c r="AW98" s="66">
        <v>39134.0113005042</v>
      </c>
      <c r="AX98" s="66">
        <v>30204.792854368701</v>
      </c>
    </row>
    <row r="99" spans="1:50">
      <c r="A99" s="17"/>
      <c r="B99" s="17"/>
      <c r="C99" s="17"/>
      <c r="D99" s="17"/>
      <c r="E99" s="17"/>
      <c r="F99" s="86"/>
      <c r="G99" s="17"/>
      <c r="H99" s="209"/>
      <c r="O99" s="276" t="s">
        <v>334</v>
      </c>
      <c r="P99" s="254">
        <v>2005</v>
      </c>
      <c r="Q99" s="51" t="s">
        <v>343</v>
      </c>
      <c r="R99" s="51">
        <f t="shared" ref="R99:V99" si="277">LN(R45)</f>
        <v>14.701248792229137</v>
      </c>
      <c r="S99" s="51">
        <f t="shared" si="277"/>
        <v>14.691200207581929</v>
      </c>
      <c r="T99" s="51">
        <f t="shared" si="277"/>
        <v>13.690914195319959</v>
      </c>
      <c r="U99" s="51">
        <f t="shared" si="277"/>
        <v>12.574075765936394</v>
      </c>
      <c r="V99" s="51">
        <f t="shared" si="277"/>
        <v>12.758023002321853</v>
      </c>
      <c r="W99" s="51">
        <f t="shared" si="241"/>
        <v>-0.21138874471713501</v>
      </c>
      <c r="X99" s="51">
        <f t="shared" si="242"/>
        <v>3.5640459049112556E-4</v>
      </c>
      <c r="Y99" s="51">
        <f t="shared" si="243"/>
        <v>0.32720939279272909</v>
      </c>
      <c r="Z99" s="51">
        <f t="shared" si="244"/>
        <v>0.20175737373248209</v>
      </c>
      <c r="AA99" s="51">
        <f t="shared" si="245"/>
        <v>-9.3835870903235641E-2</v>
      </c>
      <c r="AB99" s="51">
        <f t="shared" si="246"/>
        <v>0.57670654468684035</v>
      </c>
      <c r="AC99" s="51">
        <f t="shared" si="247"/>
        <v>0.46150196264504162</v>
      </c>
      <c r="AD99" s="51">
        <f t="shared" si="248"/>
        <v>0.50320979169256186</v>
      </c>
      <c r="AE99" s="51">
        <f t="shared" si="249"/>
        <v>0.57285525398980175</v>
      </c>
      <c r="AF99" s="51">
        <f t="shared" si="250"/>
        <v>0.88716815115481551</v>
      </c>
      <c r="AG99" s="51">
        <f t="shared" si="251"/>
        <v>0.5932002111189304</v>
      </c>
      <c r="AH99" s="51">
        <f t="shared" si="252"/>
        <v>0.60514169865849976</v>
      </c>
      <c r="AI99" s="51">
        <f t="shared" si="253"/>
        <v>0.20675006763228509</v>
      </c>
      <c r="AJ99" s="51">
        <f t="shared" si="254"/>
        <v>0.46197827941053282</v>
      </c>
      <c r="AK99" s="51">
        <f t="shared" si="255"/>
        <v>0.77674430820613705</v>
      </c>
      <c r="AL99" s="51"/>
      <c r="AM99" s="63">
        <f t="shared" si="146"/>
        <v>0.14053704271946982</v>
      </c>
      <c r="AN99" s="51"/>
      <c r="AO99" s="51"/>
      <c r="AP99" s="63">
        <f t="shared" si="147"/>
        <v>0.78215916989023737</v>
      </c>
      <c r="AQ99" s="51"/>
      <c r="AR99" s="51" t="e">
        <f>LN(#REF!/#REF!)</f>
        <v>#REF!</v>
      </c>
      <c r="AS99" s="62">
        <f t="shared" ref="AS99" si="278">AD99-AF99</f>
        <v>-0.38395835946225365</v>
      </c>
      <c r="AT99" s="262">
        <v>1730440.25</v>
      </c>
      <c r="AU99" s="262">
        <v>2136162.2079999996</v>
      </c>
      <c r="AV99" s="262">
        <v>2121367.2228000001</v>
      </c>
      <c r="AW99" s="262">
        <v>267180.79141399998</v>
      </c>
      <c r="AX99" s="262">
        <v>50452.909559999993</v>
      </c>
    </row>
    <row r="100" spans="1:50">
      <c r="A100" s="17"/>
      <c r="B100" s="17"/>
      <c r="C100" s="17"/>
      <c r="D100" s="17"/>
      <c r="E100" s="17"/>
      <c r="F100" s="86"/>
      <c r="G100" s="17"/>
      <c r="H100" s="209"/>
      <c r="O100" s="276" t="s">
        <v>199</v>
      </c>
      <c r="P100" s="254">
        <v>2007</v>
      </c>
      <c r="Q100" s="51" t="s">
        <v>335</v>
      </c>
      <c r="R100" s="51">
        <f t="shared" ref="R100:V100" si="279">LN(R46)</f>
        <v>8.03846705547266</v>
      </c>
      <c r="S100" s="51">
        <f t="shared" si="279"/>
        <v>8.2476137399769449</v>
      </c>
      <c r="T100" s="51">
        <f t="shared" si="279"/>
        <v>8.5521426418541786</v>
      </c>
      <c r="U100" s="51">
        <f t="shared" si="279"/>
        <v>8.3035650248947217</v>
      </c>
      <c r="V100" s="51">
        <f t="shared" si="279"/>
        <v>6.8423075446354771</v>
      </c>
      <c r="W100" s="51">
        <f t="shared" si="241"/>
        <v>-0.19786096256684491</v>
      </c>
      <c r="X100" s="51">
        <f t="shared" si="242"/>
        <v>-46.552301255230127</v>
      </c>
      <c r="Y100" s="51">
        <f t="shared" si="243"/>
        <v>-0.12100694444444444</v>
      </c>
      <c r="Z100" s="51">
        <f t="shared" si="244"/>
        <v>0.90182203389830506</v>
      </c>
      <c r="AA100" s="51">
        <f t="shared" si="245"/>
        <v>193.5</v>
      </c>
      <c r="AB100" s="51">
        <f t="shared" si="246"/>
        <v>0.37194983835430262</v>
      </c>
      <c r="AC100" s="51">
        <f t="shared" si="247"/>
        <v>0.32676552237795381</v>
      </c>
      <c r="AD100" s="51">
        <f t="shared" si="248"/>
        <v>0.21759500260281101</v>
      </c>
      <c r="AE100" s="51">
        <f t="shared" si="249"/>
        <v>0.17992298499535256</v>
      </c>
      <c r="AF100" s="51">
        <f t="shared" si="250"/>
        <v>0.17688691429457043</v>
      </c>
      <c r="AG100" s="51">
        <f t="shared" si="251"/>
        <v>3.8506682041883739E-3</v>
      </c>
      <c r="AH100" s="51">
        <f t="shared" si="252"/>
        <v>8.0912722594623874E-3</v>
      </c>
      <c r="AI100" s="51">
        <f t="shared" si="253"/>
        <v>7.4960957834461217E-3</v>
      </c>
      <c r="AJ100" s="51">
        <f t="shared" si="254"/>
        <v>6.2674279644137571E-3</v>
      </c>
      <c r="AK100" s="51">
        <f t="shared" si="255"/>
        <v>1.5498269359921477E-3</v>
      </c>
      <c r="AL100" s="51"/>
      <c r="AM100" s="63">
        <f t="shared" si="146"/>
        <v>-0.30079859176049828</v>
      </c>
      <c r="AN100" s="51"/>
      <c r="AO100" s="51"/>
      <c r="AP100" s="63">
        <f t="shared" si="147"/>
        <v>-0.36549747547463135</v>
      </c>
      <c r="AQ100" s="51"/>
      <c r="AR100" s="51" t="e">
        <f>LN(#REF!/#REF!)</f>
        <v>#REF!</v>
      </c>
      <c r="AS100" s="62">
        <f t="shared" ref="AS100" si="280">AD100-AF100</f>
        <v>4.0708088308240575E-2</v>
      </c>
      <c r="AT100" s="262">
        <v>505266.05</v>
      </c>
      <c r="AU100" s="262">
        <v>317718.62199999997</v>
      </c>
      <c r="AV100" s="262">
        <v>540454.69460000005</v>
      </c>
      <c r="AW100" s="262">
        <v>528393.85599999991</v>
      </c>
      <c r="AX100" s="262">
        <v>497453.75280000002</v>
      </c>
    </row>
    <row r="101" spans="1:50">
      <c r="A101" s="17"/>
      <c r="B101" s="17"/>
      <c r="C101" s="17"/>
      <c r="D101" s="17"/>
      <c r="E101" s="17"/>
      <c r="F101" s="86"/>
      <c r="G101" s="17"/>
      <c r="H101" s="209"/>
      <c r="O101" s="276" t="s">
        <v>338</v>
      </c>
      <c r="P101" s="254">
        <v>2003</v>
      </c>
      <c r="Q101" s="51" t="s">
        <v>344</v>
      </c>
      <c r="R101" s="51">
        <f t="shared" ref="R101:V101" si="281">LN(R47)</f>
        <v>10.450943576489607</v>
      </c>
      <c r="S101" s="51">
        <f t="shared" si="281"/>
        <v>10.334937975253958</v>
      </c>
      <c r="T101" s="51">
        <f t="shared" si="281"/>
        <v>10.347148134765753</v>
      </c>
      <c r="U101" s="51">
        <f t="shared" si="281"/>
        <v>10.257251886195386</v>
      </c>
      <c r="V101" s="51">
        <f t="shared" si="281"/>
        <v>10.574633203510292</v>
      </c>
      <c r="W101" s="51">
        <f>W47/R47</f>
        <v>-6.0904584322825899E-3</v>
      </c>
      <c r="X101" s="51">
        <f>X47/S47</f>
        <v>-9.6581641155646686E-2</v>
      </c>
      <c r="Y101" s="51">
        <f>Y47/T47</f>
        <v>2.2932694830127304E-2</v>
      </c>
      <c r="Z101" s="51">
        <f>Z47/U47</f>
        <v>-0.17746986996511258</v>
      </c>
      <c r="AA101" s="51">
        <f>AA47/V47</f>
        <v>-0.17453437073875031</v>
      </c>
      <c r="AB101" s="51">
        <f>AB47/AG47</f>
        <v>0.70832084961528896</v>
      </c>
      <c r="AC101" s="51">
        <f>AC47/AH47</f>
        <v>0.67886530818158886</v>
      </c>
      <c r="AD101" s="51">
        <f>AD47/AI47</f>
        <v>0.53425784628800077</v>
      </c>
      <c r="AE101" s="51">
        <f>AE47/AJ47</f>
        <v>0.60814561044230508</v>
      </c>
      <c r="AF101" s="51">
        <f>AF47/AK47</f>
        <v>0.48019309725429815</v>
      </c>
      <c r="AG101" s="51">
        <f>R47/AG47</f>
        <v>1.4119499461340845</v>
      </c>
      <c r="AH101" s="51">
        <f>S47/AH47</f>
        <v>1.3499792068610541</v>
      </c>
      <c r="AI101" s="51">
        <f>T47/AI47</f>
        <v>1.4743707850155767</v>
      </c>
      <c r="AJ101" s="51">
        <f>U47/AJ47</f>
        <v>1.2873739210319814</v>
      </c>
      <c r="AK101" s="51">
        <f>V47/AK47</f>
        <v>1.6662122572919338</v>
      </c>
      <c r="AL101" s="51"/>
      <c r="AM101" s="63">
        <f>AN47-AL47</f>
        <v>0.32462260312285784</v>
      </c>
      <c r="AN101" s="51"/>
      <c r="AO101" s="51"/>
      <c r="AP101" s="63">
        <f>AQ47-AO47</f>
        <v>0.63205576607616643</v>
      </c>
      <c r="AQ101" s="51"/>
      <c r="AR101" s="51" t="e">
        <f>LN(#REF!/#REF!)</f>
        <v>#REF!</v>
      </c>
      <c r="AS101" s="62">
        <f t="shared" ref="AS101" si="282">AD101-AF101</f>
        <v>5.4064749033702619E-2</v>
      </c>
      <c r="AT101" s="262">
        <v>7142.8776479999997</v>
      </c>
      <c r="AU101" s="262">
        <v>7324.3093449999997</v>
      </c>
      <c r="AV101" s="262">
        <v>9845.8842599999989</v>
      </c>
      <c r="AW101" s="262">
        <v>8671.3736939999999</v>
      </c>
      <c r="AX101" s="262">
        <v>12207.214217999999</v>
      </c>
    </row>
    <row r="102" spans="1:50">
      <c r="A102" s="17"/>
      <c r="B102" s="17"/>
      <c r="C102" s="17"/>
      <c r="D102" s="17"/>
      <c r="E102" s="17"/>
      <c r="F102" s="86"/>
      <c r="G102" s="17"/>
      <c r="H102" s="209"/>
      <c r="O102" s="268"/>
      <c r="P102" s="254">
        <v>2016</v>
      </c>
      <c r="Q102" s="51" t="s">
        <v>339</v>
      </c>
      <c r="R102" s="51">
        <f t="shared" ref="R102:V102" si="283">LN(R48)</f>
        <v>9.7218457668311729</v>
      </c>
      <c r="S102" s="51">
        <f t="shared" si="283"/>
        <v>9.5647928467207119</v>
      </c>
      <c r="T102" s="51">
        <f t="shared" si="283"/>
        <v>8.8738881395508145</v>
      </c>
      <c r="U102" s="51">
        <f t="shared" si="283"/>
        <v>9.1827635985435059</v>
      </c>
      <c r="V102" s="51">
        <f t="shared" si="283"/>
        <v>8.6084953453606481</v>
      </c>
      <c r="W102" s="51">
        <f t="shared" ref="W102:W103" si="284">W48/R48</f>
        <v>0.22502697857902731</v>
      </c>
      <c r="X102" s="51">
        <f t="shared" ref="X102:X103" si="285">X48/S48</f>
        <v>8.2503157008558897E-2</v>
      </c>
      <c r="Y102" s="51">
        <f t="shared" ref="Y102:Y103" si="286">Y48/T48</f>
        <v>-1.2385552288954229</v>
      </c>
      <c r="Z102" s="51">
        <f t="shared" ref="Z102:Z103" si="287">Z48/U48</f>
        <v>-0.99773848684210598</v>
      </c>
      <c r="AA102" s="51">
        <f t="shared" ref="AA102:AA103" si="288">AA48/V48</f>
        <v>-1.5155166219409342</v>
      </c>
      <c r="AB102" s="51">
        <f t="shared" ref="AB102:AB103" si="289">AB48/AG48</f>
        <v>0.25830638994589677</v>
      </c>
      <c r="AC102" s="51">
        <f t="shared" ref="AC102:AC103" si="290">AC48/AH48</f>
        <v>0.44819233054527113</v>
      </c>
      <c r="AD102" s="51">
        <f t="shared" ref="AD102:AD103" si="291">AD48/AI48</f>
        <v>0.14752749307997326</v>
      </c>
      <c r="AE102" s="51">
        <f t="shared" ref="AE102:AE103" si="292">AE48/AJ48</f>
        <v>0.30286775204128052</v>
      </c>
      <c r="AF102" s="51">
        <f t="shared" ref="AF102:AF103" si="293">AF48/AK48</f>
        <v>0.25994230531981682</v>
      </c>
      <c r="AG102" s="51">
        <f t="shared" ref="AG102:AG103" si="294">R48/AG48</f>
        <v>0.78157364683234498</v>
      </c>
      <c r="AH102" s="51">
        <f t="shared" ref="AH102:AH103" si="295">S48/AH48</f>
        <v>0.65149229855112145</v>
      </c>
      <c r="AI102" s="51">
        <f t="shared" ref="AI102:AI103" si="296">T48/AI48</f>
        <v>0.53437570135408174</v>
      </c>
      <c r="AJ102" s="51">
        <f t="shared" ref="AJ102:AJ103" si="297">U48/AJ48</f>
        <v>0.33450244003832602</v>
      </c>
      <c r="AK102" s="51">
        <f t="shared" ref="AK102:AK103" si="298">V48/AK48</f>
        <v>0.13506250093769737</v>
      </c>
      <c r="AL102" s="51"/>
      <c r="AM102" s="63">
        <f t="shared" si="146"/>
        <v>-0.45716435393476351</v>
      </c>
      <c r="AN102" s="51"/>
      <c r="AO102" s="51"/>
      <c r="AP102" s="63">
        <f t="shared" si="147"/>
        <v>-0.49979811883566977</v>
      </c>
      <c r="AQ102" s="51"/>
      <c r="AR102" s="51">
        <f t="shared" ref="AR102" si="299">LN(T48/V48)</f>
        <v>0.26539279419016609</v>
      </c>
      <c r="AS102" s="62">
        <f t="shared" ref="AS102" si="300">AD102-AF102</f>
        <v>-0.11241481223984356</v>
      </c>
      <c r="AT102" s="66">
        <v>15827.000046193101</v>
      </c>
      <c r="AU102" s="66">
        <v>12073.9999838075</v>
      </c>
      <c r="AV102" s="66">
        <v>11395.000050090599</v>
      </c>
      <c r="AW102" s="66">
        <v>20274.0000012089</v>
      </c>
      <c r="AX102" s="66">
        <v>30015.000038685001</v>
      </c>
    </row>
    <row r="103" spans="1:50">
      <c r="A103" s="17"/>
      <c r="B103" s="17"/>
      <c r="C103" s="17"/>
      <c r="D103" s="17"/>
      <c r="E103" s="17"/>
      <c r="F103" s="86"/>
      <c r="G103" s="17"/>
      <c r="H103" s="209"/>
      <c r="O103" s="276" t="s">
        <v>345</v>
      </c>
      <c r="P103" s="254">
        <v>2018</v>
      </c>
      <c r="Q103" s="51" t="s">
        <v>341</v>
      </c>
      <c r="R103" s="51">
        <f t="shared" ref="R103:V103" si="301">LN(R49)</f>
        <v>14.913303545440741</v>
      </c>
      <c r="S103" s="51">
        <f t="shared" si="301"/>
        <v>14.648299917376944</v>
      </c>
      <c r="T103" s="51">
        <f t="shared" si="301"/>
        <v>14.254428054547491</v>
      </c>
      <c r="U103" s="51">
        <f t="shared" si="301"/>
        <v>13.855828967519521</v>
      </c>
      <c r="V103" s="51">
        <f t="shared" si="301"/>
        <v>13.698266480102426</v>
      </c>
      <c r="W103" s="51">
        <f t="shared" si="284"/>
        <v>8.5832195685877251E-3</v>
      </c>
      <c r="X103" s="51">
        <f t="shared" si="285"/>
        <v>6.1424857892410072E-3</v>
      </c>
      <c r="Y103" s="51">
        <f t="shared" si="286"/>
        <v>-8.9844191740062534E-4</v>
      </c>
      <c r="Z103" s="51">
        <f t="shared" si="287"/>
        <v>1.69814377985761E-3</v>
      </c>
      <c r="AA103" s="51">
        <f t="shared" si="288"/>
        <v>-6.1121282241753732E-3</v>
      </c>
      <c r="AB103" s="51">
        <f t="shared" si="289"/>
        <v>0.80888944505374516</v>
      </c>
      <c r="AC103" s="51">
        <f t="shared" si="290"/>
        <v>0.82529860042384073</v>
      </c>
      <c r="AD103" s="51">
        <f t="shared" si="291"/>
        <v>0.85990332730584729</v>
      </c>
      <c r="AE103" s="51">
        <f t="shared" si="292"/>
        <v>0.82932502182527756</v>
      </c>
      <c r="AF103" s="51">
        <f t="shared" si="293"/>
        <v>0.81664440583668696</v>
      </c>
      <c r="AG103" s="51">
        <f t="shared" si="294"/>
        <v>2.3414125134967394</v>
      </c>
      <c r="AH103" s="51">
        <f t="shared" si="295"/>
        <v>3.1065420184821648</v>
      </c>
      <c r="AI103" s="51">
        <f t="shared" si="296"/>
        <v>3.2589629726063651</v>
      </c>
      <c r="AJ103" s="51">
        <f t="shared" si="297"/>
        <v>2.6337414274473545</v>
      </c>
      <c r="AK103" s="51">
        <f t="shared" si="298"/>
        <v>2.3653965953402207</v>
      </c>
      <c r="AL103" s="51"/>
      <c r="AM103" s="63">
        <f t="shared" si="146"/>
        <v>1.1529618349901195E-2</v>
      </c>
      <c r="AN103" s="51"/>
      <c r="AO103" s="51"/>
      <c r="AP103" s="63">
        <f t="shared" si="147"/>
        <v>5.795032691320362E-2</v>
      </c>
      <c r="AQ103" s="51"/>
      <c r="AR103" s="51">
        <f t="shared" ref="AR103" si="302">LN(T49/V49)</f>
        <v>0.55616157444506553</v>
      </c>
      <c r="AS103" s="62">
        <f t="shared" ref="AS103" si="303">AD103-AF103</f>
        <v>4.3258921469160327E-2</v>
      </c>
      <c r="AT103" s="80">
        <v>244665.18505113601</v>
      </c>
      <c r="AU103" s="80">
        <v>129328.718861669</v>
      </c>
      <c r="AV103" s="80">
        <v>66675.739553876207</v>
      </c>
      <c r="AW103" s="80">
        <v>67469.390013083801</v>
      </c>
      <c r="AX103" s="80">
        <v>68940.073384657502</v>
      </c>
    </row>
    <row r="104" spans="1:50">
      <c r="A104" s="17"/>
      <c r="B104" s="17"/>
      <c r="C104" s="17"/>
      <c r="D104" s="17"/>
      <c r="E104" s="17"/>
      <c r="F104" s="86"/>
      <c r="G104" s="17"/>
      <c r="H104" s="209"/>
      <c r="P104" s="254">
        <v>2006</v>
      </c>
      <c r="Q104" s="50" t="s">
        <v>349</v>
      </c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</row>
    <row r="105" spans="1:50">
      <c r="A105" s="17"/>
      <c r="B105" s="17"/>
      <c r="C105" s="17"/>
      <c r="D105" s="17"/>
      <c r="E105" s="17"/>
      <c r="F105" s="86"/>
      <c r="G105" s="17"/>
      <c r="H105" s="209"/>
      <c r="P105" s="254">
        <v>2012</v>
      </c>
      <c r="Q105" s="50" t="s">
        <v>350</v>
      </c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</row>
    <row r="106" spans="1:50">
      <c r="A106" s="17"/>
      <c r="B106" s="17"/>
      <c r="C106" s="17"/>
      <c r="D106" s="17"/>
      <c r="E106" s="17"/>
      <c r="F106" s="86"/>
      <c r="G106" s="17"/>
      <c r="H106" s="209"/>
    </row>
    <row r="107" spans="1:50">
      <c r="A107" s="17"/>
      <c r="B107" s="17"/>
      <c r="C107" s="17"/>
      <c r="D107" s="17"/>
      <c r="E107" s="17"/>
      <c r="F107" s="86"/>
      <c r="G107" s="17"/>
      <c r="H107" s="209"/>
    </row>
    <row r="108" spans="1:50">
      <c r="A108" s="17"/>
      <c r="B108" s="17"/>
      <c r="C108" s="17"/>
      <c r="D108" s="17"/>
      <c r="E108" s="17"/>
      <c r="F108" s="86"/>
      <c r="G108" s="17"/>
      <c r="H108" s="209"/>
    </row>
    <row r="109" spans="1:50">
      <c r="A109" s="17"/>
      <c r="B109" s="17"/>
      <c r="C109" s="17"/>
      <c r="D109" s="17"/>
      <c r="E109" s="17"/>
      <c r="F109" s="86"/>
      <c r="G109" s="17"/>
      <c r="H109" s="209"/>
    </row>
    <row r="110" spans="1:50">
      <c r="A110" s="17"/>
      <c r="B110" s="17"/>
      <c r="C110" s="17"/>
      <c r="D110" s="17"/>
      <c r="E110" s="17"/>
      <c r="F110" s="86"/>
      <c r="G110" s="17"/>
      <c r="H110" s="209"/>
    </row>
    <row r="111" spans="1:50">
      <c r="A111" s="51" t="s">
        <v>206</v>
      </c>
      <c r="B111" s="17"/>
      <c r="C111" s="17"/>
      <c r="D111" s="17"/>
      <c r="E111" s="17"/>
      <c r="F111" s="86"/>
      <c r="G111" s="17"/>
      <c r="H111" s="209"/>
      <c r="Q111" s="248" t="s">
        <v>347</v>
      </c>
      <c r="R111" s="49">
        <v>2002</v>
      </c>
      <c r="S111" s="49">
        <v>2003</v>
      </c>
      <c r="T111" s="49">
        <v>2004</v>
      </c>
      <c r="U111" s="49">
        <v>2005</v>
      </c>
      <c r="V111" s="49">
        <v>2006</v>
      </c>
      <c r="W111" s="49">
        <v>2007</v>
      </c>
      <c r="X111" s="49">
        <v>2008</v>
      </c>
      <c r="Y111" s="49">
        <v>2009</v>
      </c>
      <c r="Z111" s="49">
        <v>2010</v>
      </c>
      <c r="AA111" s="49">
        <v>2011</v>
      </c>
      <c r="AB111" s="49">
        <v>2012</v>
      </c>
      <c r="AC111" s="49">
        <v>2013</v>
      </c>
      <c r="AD111" s="49">
        <v>2014</v>
      </c>
      <c r="AE111" s="49">
        <v>2015</v>
      </c>
      <c r="AF111" s="49">
        <v>2016</v>
      </c>
      <c r="AG111" s="49">
        <v>2017</v>
      </c>
      <c r="AH111" s="49">
        <v>2018</v>
      </c>
      <c r="AI111" s="49">
        <v>2019</v>
      </c>
      <c r="AJ111" s="49">
        <v>2020</v>
      </c>
      <c r="AK111" s="49">
        <v>2021</v>
      </c>
      <c r="AL111" s="49">
        <v>2022</v>
      </c>
    </row>
    <row r="112" spans="1:50">
      <c r="A112" s="336" t="s">
        <v>425</v>
      </c>
      <c r="B112" s="17"/>
      <c r="C112" s="200">
        <v>2015</v>
      </c>
      <c r="D112" s="200">
        <v>2014</v>
      </c>
      <c r="E112" s="200">
        <v>2013</v>
      </c>
      <c r="F112" s="346" t="s">
        <v>420</v>
      </c>
      <c r="G112" s="200">
        <v>2011</v>
      </c>
      <c r="H112" s="209"/>
      <c r="Q112" s="246" t="s">
        <v>346</v>
      </c>
      <c r="R112" s="257">
        <v>0.12554599999999999</v>
      </c>
      <c r="S112" s="257">
        <v>0.141177</v>
      </c>
      <c r="T112" s="257">
        <v>0.14866199999999999</v>
      </c>
      <c r="U112" s="257">
        <v>0.15548899999999999</v>
      </c>
      <c r="V112" s="257">
        <v>0.156108</v>
      </c>
      <c r="W112" s="256">
        <v>0.17111199999999999</v>
      </c>
      <c r="X112" s="257">
        <v>0.179786</v>
      </c>
      <c r="Y112" s="258">
        <v>0.15977</v>
      </c>
      <c r="Z112" s="257">
        <v>0.165661</v>
      </c>
      <c r="AA112" s="257">
        <v>0.178596</v>
      </c>
      <c r="AB112" s="258">
        <v>0.17192399999999999</v>
      </c>
      <c r="AC112" s="257">
        <v>0.170267</v>
      </c>
      <c r="AD112" s="257">
        <v>0.159195</v>
      </c>
      <c r="AE112" s="257">
        <v>0.124226</v>
      </c>
      <c r="AF112" s="257">
        <v>0.11905300000000001</v>
      </c>
      <c r="AG112" s="257">
        <v>0.12106600000000001</v>
      </c>
      <c r="AH112" s="257">
        <v>0.122946</v>
      </c>
      <c r="AI112" s="257">
        <v>0.113701</v>
      </c>
      <c r="AJ112" s="257">
        <v>0.10663499999999999</v>
      </c>
      <c r="AK112" s="257">
        <v>0.116379</v>
      </c>
      <c r="AL112" s="257">
        <v>0.112745</v>
      </c>
    </row>
    <row r="113" spans="1:28" ht="28">
      <c r="A113" s="335" t="s">
        <v>421</v>
      </c>
      <c r="B113" s="211" t="s">
        <v>11</v>
      </c>
      <c r="C113" s="337">
        <v>12398000</v>
      </c>
      <c r="D113" s="337">
        <v>9935000</v>
      </c>
      <c r="E113" s="337">
        <v>10128000</v>
      </c>
      <c r="F113" s="347">
        <v>9830000</v>
      </c>
      <c r="G113" s="337">
        <v>7356000</v>
      </c>
      <c r="H113" s="209"/>
      <c r="Y113" s="255"/>
      <c r="AA113" s="209">
        <v>1644934</v>
      </c>
      <c r="AB113" s="255"/>
    </row>
    <row r="114" spans="1:28">
      <c r="A114" s="17"/>
      <c r="B114" s="208" t="s">
        <v>2</v>
      </c>
      <c r="C114" s="337"/>
      <c r="D114" s="337"/>
      <c r="E114" s="337"/>
      <c r="F114" s="347"/>
      <c r="G114" s="337"/>
      <c r="H114" s="209"/>
      <c r="AA114" s="267">
        <f>AA112*AA113</f>
        <v>293778.63266400003</v>
      </c>
    </row>
    <row r="115" spans="1:28">
      <c r="A115" s="17"/>
      <c r="B115" s="208" t="s">
        <v>3</v>
      </c>
      <c r="C115" s="337"/>
      <c r="D115" s="337"/>
      <c r="E115" s="337"/>
      <c r="F115" s="347"/>
      <c r="G115" s="337"/>
      <c r="H115" s="209"/>
      <c r="Q115" s="204"/>
    </row>
    <row r="116" spans="1:28">
      <c r="A116" s="335" t="s">
        <v>422</v>
      </c>
      <c r="B116" s="206" t="s">
        <v>8</v>
      </c>
      <c r="C116" s="337">
        <v>4423000</v>
      </c>
      <c r="D116" s="337">
        <v>3929000</v>
      </c>
      <c r="E116" s="337">
        <v>3902000</v>
      </c>
      <c r="F116" s="347">
        <v>3723000</v>
      </c>
      <c r="G116" s="337">
        <v>3260000</v>
      </c>
      <c r="H116" s="209"/>
    </row>
    <row r="117" spans="1:28" ht="16" thickBot="1">
      <c r="A117" s="335" t="s">
        <v>423</v>
      </c>
      <c r="B117" s="210" t="s">
        <v>12</v>
      </c>
      <c r="C117" s="338">
        <v>779000</v>
      </c>
      <c r="D117" s="339">
        <v>483000</v>
      </c>
      <c r="E117" s="338">
        <v>454000</v>
      </c>
      <c r="F117" s="348">
        <v>224000</v>
      </c>
      <c r="G117" s="338">
        <v>305000</v>
      </c>
      <c r="H117" s="209"/>
    </row>
    <row r="118" spans="1:28">
      <c r="A118" s="418" t="s">
        <v>138</v>
      </c>
      <c r="B118" s="417" t="s">
        <v>138</v>
      </c>
      <c r="C118" s="337">
        <v>6243000</v>
      </c>
      <c r="D118" s="337">
        <v>5428000</v>
      </c>
      <c r="E118" s="337">
        <v>5237000</v>
      </c>
      <c r="F118" s="347">
        <v>4941000</v>
      </c>
      <c r="G118" s="337">
        <v>4592000</v>
      </c>
      <c r="H118" s="209"/>
    </row>
    <row r="119" spans="1:28">
      <c r="A119" s="17"/>
      <c r="B119" s="208"/>
      <c r="C119" s="337"/>
      <c r="D119" s="337"/>
      <c r="E119" s="337"/>
      <c r="F119" s="347"/>
      <c r="G119" s="337"/>
      <c r="H119" s="209"/>
    </row>
    <row r="120" spans="1:28" ht="28">
      <c r="A120" s="17"/>
      <c r="B120" s="208" t="s">
        <v>15</v>
      </c>
      <c r="C120" s="337"/>
      <c r="D120" s="337"/>
      <c r="E120" s="337"/>
      <c r="F120" s="347"/>
      <c r="G120" s="337"/>
      <c r="H120" s="209"/>
    </row>
    <row r="121" spans="1:28">
      <c r="A121" s="335" t="s">
        <v>424</v>
      </c>
      <c r="B121" s="203" t="s">
        <v>23</v>
      </c>
      <c r="C121" s="337">
        <v>1820000</v>
      </c>
      <c r="D121" s="337">
        <v>1499000</v>
      </c>
      <c r="E121" s="337">
        <v>1334000</v>
      </c>
      <c r="F121" s="347">
        <v>1218000</v>
      </c>
      <c r="G121" s="337">
        <v>1331000</v>
      </c>
      <c r="H121" s="209"/>
    </row>
    <row r="122" spans="1:28">
      <c r="A122" s="17"/>
      <c r="B122" s="17"/>
      <c r="C122" s="17"/>
      <c r="D122" s="17"/>
      <c r="E122" s="17"/>
      <c r="F122" s="86"/>
      <c r="G122" s="17"/>
      <c r="H122" s="209"/>
    </row>
    <row r="123" spans="1:28">
      <c r="A123" s="17"/>
      <c r="B123" s="17"/>
      <c r="C123" s="17"/>
      <c r="D123" s="17"/>
      <c r="E123" s="17"/>
      <c r="F123" s="86"/>
      <c r="G123" s="17"/>
      <c r="H123" s="209"/>
    </row>
    <row r="124" spans="1:28">
      <c r="A124" s="17"/>
      <c r="B124" s="17"/>
      <c r="C124" s="17"/>
      <c r="D124" s="17"/>
      <c r="E124" s="17"/>
      <c r="F124" s="86"/>
      <c r="G124" s="17"/>
      <c r="H124" s="209"/>
    </row>
    <row r="125" spans="1:28">
      <c r="A125" s="336" t="s">
        <v>426</v>
      </c>
      <c r="B125" s="17"/>
      <c r="C125" s="200">
        <v>2015</v>
      </c>
      <c r="D125" s="200">
        <v>2014</v>
      </c>
      <c r="E125" s="200">
        <v>2013</v>
      </c>
      <c r="F125" s="346" t="s">
        <v>420</v>
      </c>
      <c r="G125" s="200">
        <v>2011</v>
      </c>
      <c r="H125" s="209"/>
    </row>
    <row r="126" spans="1:28" ht="28">
      <c r="A126" s="335" t="s">
        <v>421</v>
      </c>
      <c r="B126" s="211" t="s">
        <v>11</v>
      </c>
      <c r="C126" s="337">
        <v>24225000</v>
      </c>
      <c r="D126" s="337">
        <v>24244000</v>
      </c>
      <c r="E126" s="337">
        <v>21846100</v>
      </c>
      <c r="F126" s="347">
        <v>19839000</v>
      </c>
      <c r="G126" s="337">
        <v>17727300</v>
      </c>
      <c r="H126" s="68"/>
      <c r="I126" s="200"/>
      <c r="J126" s="200"/>
      <c r="K126" s="200"/>
      <c r="L126" s="200"/>
      <c r="M126" s="204"/>
      <c r="N126" s="200"/>
    </row>
    <row r="127" spans="1:28" s="209" customFormat="1">
      <c r="B127" s="208" t="s">
        <v>2</v>
      </c>
      <c r="C127" s="401"/>
      <c r="D127" s="401"/>
      <c r="E127" s="401"/>
      <c r="F127" s="402"/>
      <c r="G127" s="401"/>
      <c r="H127" s="68"/>
      <c r="I127" s="200"/>
      <c r="J127" s="200"/>
      <c r="K127" s="200"/>
      <c r="L127" s="200"/>
      <c r="M127" s="204"/>
      <c r="N127" s="200"/>
    </row>
    <row r="128" spans="1:28" s="209" customFormat="1">
      <c r="B128" s="208" t="s">
        <v>3</v>
      </c>
      <c r="C128" s="401"/>
      <c r="D128" s="401"/>
      <c r="E128" s="401"/>
      <c r="F128" s="402"/>
      <c r="G128" s="401"/>
      <c r="H128" s="68"/>
      <c r="I128" s="200"/>
      <c r="J128" s="200"/>
      <c r="K128" s="200"/>
      <c r="L128" s="200"/>
      <c r="M128" s="204"/>
      <c r="N128" s="200"/>
    </row>
    <row r="129" spans="1:14" s="209" customFormat="1">
      <c r="A129" s="335" t="s">
        <v>422</v>
      </c>
      <c r="B129" s="206" t="s">
        <v>8</v>
      </c>
      <c r="C129" s="401">
        <v>11570000</v>
      </c>
      <c r="D129" s="401">
        <v>9638000</v>
      </c>
      <c r="E129" s="401">
        <v>9200000</v>
      </c>
      <c r="F129" s="402">
        <v>8851000</v>
      </c>
      <c r="G129" s="401">
        <v>7630800</v>
      </c>
      <c r="H129" s="68"/>
      <c r="I129" s="200"/>
      <c r="J129" s="200"/>
      <c r="K129" s="200"/>
      <c r="L129" s="200"/>
      <c r="M129" s="204"/>
      <c r="N129" s="200"/>
    </row>
    <row r="130" spans="1:14" s="209" customFormat="1">
      <c r="A130" s="335" t="s">
        <v>423</v>
      </c>
      <c r="B130" s="210" t="s">
        <v>12</v>
      </c>
      <c r="C130" s="401">
        <v>782000</v>
      </c>
      <c r="D130" s="401">
        <v>859000</v>
      </c>
      <c r="E130" s="401">
        <v>555700</v>
      </c>
      <c r="F130" s="402">
        <v>457700</v>
      </c>
      <c r="G130" s="401">
        <v>637700</v>
      </c>
      <c r="H130" s="68"/>
      <c r="I130" s="200"/>
      <c r="J130" s="200"/>
      <c r="K130" s="200"/>
      <c r="L130" s="200"/>
      <c r="M130" s="204"/>
      <c r="N130" s="200"/>
    </row>
    <row r="131" spans="1:14" s="209" customFormat="1">
      <c r="A131" s="418" t="s">
        <v>138</v>
      </c>
      <c r="B131" s="417" t="s">
        <v>138</v>
      </c>
      <c r="C131" s="401">
        <v>14788000</v>
      </c>
      <c r="D131" s="401">
        <v>12382000</v>
      </c>
      <c r="E131" s="401">
        <v>11666400</v>
      </c>
      <c r="F131" s="402">
        <v>11184700</v>
      </c>
      <c r="G131" s="401">
        <v>9925200</v>
      </c>
      <c r="H131" s="68"/>
      <c r="I131" s="200"/>
      <c r="J131" s="200"/>
      <c r="K131" s="200"/>
      <c r="L131" s="200"/>
      <c r="M131" s="204"/>
      <c r="N131" s="200"/>
    </row>
    <row r="132" spans="1:14" s="209" customFormat="1">
      <c r="B132" s="208"/>
      <c r="C132" s="401"/>
      <c r="D132" s="401"/>
      <c r="E132" s="401"/>
      <c r="F132" s="402"/>
      <c r="G132" s="401"/>
      <c r="H132" s="68"/>
      <c r="I132" s="200"/>
      <c r="J132" s="200"/>
      <c r="K132" s="200"/>
      <c r="L132" s="200"/>
      <c r="M132" s="204"/>
      <c r="N132" s="200"/>
    </row>
    <row r="133" spans="1:14" s="209" customFormat="1" ht="28">
      <c r="B133" s="208" t="s">
        <v>15</v>
      </c>
      <c r="C133" s="401"/>
      <c r="D133" s="401"/>
      <c r="E133" s="401"/>
      <c r="F133" s="402"/>
      <c r="G133" s="401"/>
      <c r="H133" s="68"/>
      <c r="I133" s="200"/>
      <c r="J133" s="200"/>
      <c r="K133" s="200"/>
      <c r="L133" s="200"/>
      <c r="M133" s="204"/>
      <c r="N133" s="200"/>
    </row>
    <row r="134" spans="1:14" s="209" customFormat="1">
      <c r="A134" s="335" t="s">
        <v>424</v>
      </c>
      <c r="B134" s="203" t="s">
        <v>23</v>
      </c>
      <c r="C134" s="401">
        <v>3218000</v>
      </c>
      <c r="D134" s="401">
        <v>2744000</v>
      </c>
      <c r="E134" s="401">
        <v>2466400</v>
      </c>
      <c r="F134" s="402">
        <v>2334000</v>
      </c>
      <c r="G134" s="401">
        <v>2294400</v>
      </c>
      <c r="H134" s="68"/>
      <c r="I134" s="200"/>
      <c r="J134" s="200"/>
      <c r="K134" s="200"/>
      <c r="L134" s="200"/>
      <c r="M134" s="204"/>
      <c r="N134" s="200"/>
    </row>
    <row r="135" spans="1:14" s="165" customFormat="1">
      <c r="A135" s="163"/>
      <c r="B135" s="404"/>
      <c r="C135" s="405"/>
      <c r="D135" s="405"/>
      <c r="E135" s="405"/>
      <c r="F135" s="406"/>
      <c r="G135" s="405"/>
      <c r="H135" s="405"/>
      <c r="M135" s="407"/>
    </row>
    <row r="136" spans="1:14" s="209" customFormat="1">
      <c r="A136" s="16"/>
      <c r="B136" s="205"/>
      <c r="C136" s="68"/>
      <c r="D136" s="68"/>
      <c r="E136" s="68"/>
      <c r="F136" s="344"/>
      <c r="G136" s="68"/>
      <c r="H136" s="68"/>
      <c r="I136" s="200"/>
      <c r="J136" s="200"/>
      <c r="K136" s="200"/>
      <c r="L136" s="200"/>
      <c r="M136" s="204"/>
      <c r="N136" s="200"/>
    </row>
    <row r="137" spans="1:14" s="209" customFormat="1">
      <c r="A137" s="16"/>
      <c r="B137" s="205"/>
      <c r="C137" s="68"/>
      <c r="D137" s="68"/>
      <c r="E137" s="68"/>
      <c r="F137" s="344"/>
      <c r="G137" s="68"/>
      <c r="H137" s="68"/>
      <c r="I137" s="200"/>
      <c r="J137" s="200"/>
      <c r="K137" s="200"/>
      <c r="L137" s="200"/>
      <c r="M137" s="204"/>
      <c r="N137" s="200"/>
    </row>
    <row r="138" spans="1:14" s="209" customFormat="1">
      <c r="A138" s="50" t="s">
        <v>207</v>
      </c>
      <c r="B138" s="205"/>
      <c r="C138" s="68"/>
      <c r="D138" s="68"/>
      <c r="E138" s="68"/>
      <c r="F138" s="344"/>
      <c r="G138" s="68"/>
      <c r="H138" s="68"/>
      <c r="I138" s="200"/>
      <c r="J138" s="200"/>
      <c r="K138" s="200"/>
      <c r="L138" s="200"/>
      <c r="M138" s="204"/>
      <c r="N138" s="200"/>
    </row>
    <row r="139" spans="1:14" s="209" customFormat="1">
      <c r="A139" s="336" t="s">
        <v>427</v>
      </c>
      <c r="B139" s="205"/>
      <c r="C139" s="403">
        <v>2019</v>
      </c>
      <c r="D139" s="403">
        <v>2018</v>
      </c>
      <c r="E139" s="403">
        <v>2017</v>
      </c>
      <c r="F139" s="346" t="s">
        <v>428</v>
      </c>
      <c r="G139" s="403">
        <v>2015</v>
      </c>
      <c r="H139" s="68"/>
      <c r="I139" s="200"/>
      <c r="J139" s="200"/>
      <c r="K139" s="200"/>
      <c r="L139" s="200"/>
      <c r="M139" s="204"/>
      <c r="N139" s="200"/>
    </row>
    <row r="140" spans="1:14" s="209" customFormat="1" ht="28">
      <c r="A140" s="335" t="s">
        <v>421</v>
      </c>
      <c r="B140" s="211" t="s">
        <v>11</v>
      </c>
      <c r="C140" s="401">
        <v>228129</v>
      </c>
      <c r="D140" s="401">
        <v>200513</v>
      </c>
      <c r="E140" s="401">
        <v>185859</v>
      </c>
      <c r="F140" s="402">
        <v>394773</v>
      </c>
      <c r="G140" s="401">
        <v>227892</v>
      </c>
      <c r="H140" s="68"/>
      <c r="I140" s="200"/>
      <c r="J140" s="200"/>
      <c r="K140" s="200"/>
      <c r="L140" s="200"/>
      <c r="M140" s="204"/>
      <c r="N140" s="200"/>
    </row>
    <row r="141" spans="1:14" s="209" customFormat="1">
      <c r="B141" s="208" t="s">
        <v>2</v>
      </c>
      <c r="C141" s="68"/>
      <c r="D141" s="68"/>
      <c r="E141" s="68"/>
      <c r="F141" s="344"/>
      <c r="G141" s="68"/>
      <c r="H141" s="68"/>
      <c r="I141" s="200"/>
      <c r="J141" s="200"/>
      <c r="K141" s="200"/>
      <c r="L141" s="200"/>
      <c r="M141" s="204"/>
      <c r="N141" s="200"/>
    </row>
    <row r="142" spans="1:14" s="209" customFormat="1">
      <c r="B142" s="208" t="s">
        <v>3</v>
      </c>
      <c r="C142" s="68"/>
      <c r="D142" s="68"/>
      <c r="E142" s="68"/>
      <c r="F142" s="344"/>
      <c r="G142" s="68"/>
      <c r="H142" s="68"/>
      <c r="I142" s="200"/>
      <c r="J142" s="200"/>
      <c r="K142" s="200"/>
      <c r="L142" s="200"/>
      <c r="M142" s="204"/>
      <c r="N142" s="200"/>
    </row>
    <row r="143" spans="1:14" s="209" customFormat="1">
      <c r="A143" s="335" t="s">
        <v>422</v>
      </c>
      <c r="B143" s="206" t="s">
        <v>8</v>
      </c>
      <c r="C143" s="401">
        <v>90769</v>
      </c>
      <c r="D143" s="401">
        <v>151210</v>
      </c>
      <c r="E143" s="401">
        <v>111592</v>
      </c>
      <c r="F143" s="402">
        <v>92907</v>
      </c>
      <c r="G143" s="401">
        <v>75084</v>
      </c>
      <c r="H143" s="68"/>
      <c r="I143" s="200"/>
      <c r="J143" s="200"/>
      <c r="K143" s="200"/>
      <c r="L143" s="200"/>
      <c r="M143" s="204"/>
      <c r="N143" s="200"/>
    </row>
    <row r="144" spans="1:14" s="209" customFormat="1">
      <c r="A144" s="335" t="s">
        <v>423</v>
      </c>
      <c r="B144" s="210" t="s">
        <v>12</v>
      </c>
      <c r="C144" s="401">
        <v>66074</v>
      </c>
      <c r="D144" s="401">
        <v>-67694</v>
      </c>
      <c r="E144" s="401">
        <v>5452</v>
      </c>
      <c r="F144" s="402">
        <v>12918</v>
      </c>
      <c r="G144" s="401">
        <v>19122</v>
      </c>
      <c r="H144" s="68"/>
      <c r="I144" s="200"/>
      <c r="J144" s="200"/>
      <c r="K144" s="200"/>
      <c r="L144" s="200"/>
      <c r="M144" s="204"/>
      <c r="N144" s="200"/>
    </row>
    <row r="145" spans="1:14" s="209" customFormat="1">
      <c r="A145" s="418" t="s">
        <v>138</v>
      </c>
      <c r="B145" s="417" t="s">
        <v>138</v>
      </c>
      <c r="C145" s="401">
        <v>504162</v>
      </c>
      <c r="D145" s="401">
        <v>500062</v>
      </c>
      <c r="E145" s="401">
        <v>231749</v>
      </c>
      <c r="F145" s="402">
        <v>279517</v>
      </c>
      <c r="G145" s="401">
        <v>259008</v>
      </c>
      <c r="H145" s="68"/>
      <c r="I145" s="200"/>
      <c r="J145" s="200"/>
      <c r="K145" s="200"/>
      <c r="L145" s="200"/>
      <c r="M145" s="204"/>
      <c r="N145" s="200"/>
    </row>
    <row r="146" spans="1:14" s="209" customFormat="1">
      <c r="B146" s="208"/>
      <c r="C146" s="68"/>
      <c r="D146" s="68"/>
      <c r="E146" s="68"/>
      <c r="F146" s="344"/>
      <c r="G146" s="68"/>
      <c r="H146" s="68"/>
      <c r="I146" s="200"/>
      <c r="J146" s="200"/>
      <c r="K146" s="200"/>
      <c r="L146" s="200"/>
      <c r="M146" s="204"/>
      <c r="N146" s="200"/>
    </row>
    <row r="147" spans="1:14" s="209" customFormat="1" ht="28">
      <c r="B147" s="208" t="s">
        <v>15</v>
      </c>
      <c r="C147" s="68"/>
      <c r="D147" s="68"/>
      <c r="E147" s="68"/>
      <c r="F147" s="344"/>
      <c r="G147" s="68"/>
      <c r="H147" s="68"/>
      <c r="I147" s="200"/>
      <c r="J147" s="200"/>
      <c r="K147" s="200"/>
      <c r="L147" s="200"/>
      <c r="M147" s="204"/>
      <c r="N147" s="200"/>
    </row>
    <row r="148" spans="1:14" s="209" customFormat="1">
      <c r="A148" s="335" t="s">
        <v>424</v>
      </c>
      <c r="B148" s="203" t="s">
        <v>23</v>
      </c>
      <c r="C148" s="401">
        <v>413395</v>
      </c>
      <c r="D148" s="401">
        <v>348852</v>
      </c>
      <c r="E148" s="401">
        <v>120157</v>
      </c>
      <c r="F148" s="402">
        <v>186611</v>
      </c>
      <c r="G148" s="401">
        <v>183924</v>
      </c>
      <c r="H148" s="68"/>
      <c r="I148" s="200"/>
      <c r="J148" s="200"/>
      <c r="K148" s="200"/>
      <c r="L148" s="200"/>
      <c r="M148" s="204"/>
      <c r="N148" s="200"/>
    </row>
    <row r="149" spans="1:14" s="209" customFormat="1">
      <c r="A149" s="16"/>
      <c r="B149" s="205"/>
      <c r="C149" s="68"/>
      <c r="D149" s="68"/>
      <c r="E149" s="68"/>
      <c r="F149" s="344"/>
      <c r="G149" s="68"/>
      <c r="H149" s="68"/>
      <c r="I149" s="200"/>
      <c r="J149" s="200"/>
      <c r="K149" s="200"/>
      <c r="L149" s="200"/>
      <c r="M149" s="204"/>
      <c r="N149" s="200"/>
    </row>
    <row r="150" spans="1:14" s="209" customFormat="1">
      <c r="A150" s="16"/>
      <c r="B150" s="205"/>
      <c r="C150" s="68"/>
      <c r="D150" s="68"/>
      <c r="E150" s="68"/>
      <c r="F150" s="344"/>
      <c r="G150" s="68"/>
      <c r="H150" s="68"/>
      <c r="I150" s="200"/>
      <c r="J150" s="200"/>
      <c r="K150" s="200"/>
      <c r="L150" s="200"/>
      <c r="M150" s="204"/>
      <c r="N150" s="200"/>
    </row>
    <row r="151" spans="1:14" s="209" customFormat="1">
      <c r="A151" s="336" t="s">
        <v>429</v>
      </c>
      <c r="B151" s="205"/>
      <c r="C151" s="403">
        <v>2019</v>
      </c>
      <c r="D151" s="403">
        <v>2018</v>
      </c>
      <c r="E151" s="403">
        <v>2017</v>
      </c>
      <c r="F151" s="346" t="s">
        <v>428</v>
      </c>
      <c r="G151" s="403">
        <v>2015</v>
      </c>
      <c r="H151" s="68"/>
      <c r="I151" s="200"/>
      <c r="J151" s="200"/>
      <c r="K151" s="200"/>
      <c r="L151" s="200"/>
      <c r="M151" s="204"/>
      <c r="N151" s="200"/>
    </row>
    <row r="152" spans="1:14" s="209" customFormat="1" ht="28">
      <c r="A152" s="335" t="s">
        <v>421</v>
      </c>
      <c r="B152" s="211" t="s">
        <v>11</v>
      </c>
      <c r="C152" s="401">
        <v>281556</v>
      </c>
      <c r="D152" s="401">
        <v>181510</v>
      </c>
      <c r="E152" s="401">
        <v>150911</v>
      </c>
      <c r="F152" s="402">
        <v>143627</v>
      </c>
      <c r="G152" s="401">
        <v>134717</v>
      </c>
      <c r="H152" s="68"/>
      <c r="I152" s="200"/>
      <c r="J152" s="200"/>
      <c r="K152" s="200"/>
      <c r="L152" s="200"/>
      <c r="M152" s="204"/>
      <c r="N152" s="200"/>
    </row>
    <row r="153" spans="1:14" s="209" customFormat="1">
      <c r="B153" s="208" t="s">
        <v>2</v>
      </c>
      <c r="C153" s="401"/>
      <c r="D153" s="401"/>
      <c r="E153" s="401"/>
      <c r="F153" s="402"/>
      <c r="G153" s="401"/>
      <c r="H153" s="68"/>
      <c r="I153" s="200"/>
      <c r="J153" s="200"/>
      <c r="K153" s="200"/>
      <c r="L153" s="200"/>
      <c r="M153" s="204"/>
      <c r="N153" s="200"/>
    </row>
    <row r="154" spans="1:14" s="209" customFormat="1">
      <c r="B154" s="208" t="s">
        <v>3</v>
      </c>
      <c r="C154" s="401"/>
      <c r="D154" s="401"/>
      <c r="E154" s="401"/>
      <c r="F154" s="402"/>
      <c r="G154" s="401"/>
      <c r="H154" s="68"/>
      <c r="I154" s="200"/>
      <c r="J154" s="200"/>
      <c r="K154" s="200"/>
      <c r="L154" s="200"/>
      <c r="M154" s="204"/>
      <c r="N154" s="200"/>
    </row>
    <row r="155" spans="1:14" s="209" customFormat="1">
      <c r="A155" s="335" t="s">
        <v>422</v>
      </c>
      <c r="B155" s="206" t="s">
        <v>8</v>
      </c>
      <c r="C155" s="401">
        <v>48762</v>
      </c>
      <c r="D155" s="401">
        <v>54854</v>
      </c>
      <c r="E155" s="401">
        <v>45019</v>
      </c>
      <c r="F155" s="402">
        <v>33907</v>
      </c>
      <c r="G155" s="401">
        <v>37998</v>
      </c>
      <c r="H155" s="68"/>
      <c r="I155" s="200"/>
      <c r="J155" s="200"/>
      <c r="K155" s="200"/>
      <c r="L155" s="200"/>
      <c r="M155" s="204"/>
      <c r="N155" s="200"/>
    </row>
    <row r="156" spans="1:14" s="209" customFormat="1">
      <c r="A156" s="335" t="s">
        <v>423</v>
      </c>
      <c r="B156" s="210" t="s">
        <v>12</v>
      </c>
      <c r="C156" s="401">
        <v>31832</v>
      </c>
      <c r="D156" s="401">
        <v>-36708</v>
      </c>
      <c r="E156" s="401">
        <v>-34697</v>
      </c>
      <c r="F156" s="402">
        <v>35309</v>
      </c>
      <c r="G156" s="401">
        <v>-36178</v>
      </c>
      <c r="H156" s="68"/>
      <c r="I156" s="200"/>
      <c r="J156" s="200"/>
      <c r="K156" s="200"/>
      <c r="L156" s="200"/>
      <c r="M156" s="204"/>
      <c r="N156" s="200"/>
    </row>
    <row r="157" spans="1:14" s="209" customFormat="1">
      <c r="A157" s="418" t="s">
        <v>138</v>
      </c>
      <c r="B157" s="417" t="s">
        <v>138</v>
      </c>
      <c r="C157" s="401">
        <v>257352</v>
      </c>
      <c r="D157" s="401">
        <v>231196</v>
      </c>
      <c r="E157" s="401">
        <v>263099</v>
      </c>
      <c r="F157" s="402">
        <v>285851</v>
      </c>
      <c r="G157" s="401">
        <v>248058</v>
      </c>
      <c r="H157" s="68"/>
      <c r="I157" s="200"/>
      <c r="J157" s="200"/>
      <c r="K157" s="200"/>
      <c r="L157" s="200"/>
      <c r="M157" s="204"/>
      <c r="N157" s="200"/>
    </row>
    <row r="158" spans="1:14" s="209" customFormat="1">
      <c r="B158" s="208"/>
      <c r="C158" s="401"/>
      <c r="D158" s="401"/>
      <c r="E158" s="401"/>
      <c r="F158" s="402"/>
      <c r="G158" s="401"/>
      <c r="H158" s="68"/>
      <c r="I158" s="200"/>
      <c r="J158" s="200"/>
      <c r="K158" s="200"/>
      <c r="L158" s="200"/>
      <c r="M158" s="204"/>
      <c r="N158" s="200"/>
    </row>
    <row r="159" spans="1:14" s="209" customFormat="1" ht="28">
      <c r="B159" s="208" t="s">
        <v>15</v>
      </c>
      <c r="C159" s="401"/>
      <c r="D159" s="401"/>
      <c r="E159" s="401"/>
      <c r="F159" s="402"/>
      <c r="G159" s="401"/>
      <c r="H159" s="68"/>
      <c r="I159" s="200"/>
      <c r="J159" s="200"/>
      <c r="K159" s="200"/>
      <c r="L159" s="200"/>
      <c r="M159" s="204"/>
      <c r="N159" s="200"/>
    </row>
    <row r="160" spans="1:14" s="209" customFormat="1">
      <c r="A160" s="335" t="s">
        <v>424</v>
      </c>
      <c r="B160" s="203" t="s">
        <v>23</v>
      </c>
      <c r="C160" s="401">
        <v>208590</v>
      </c>
      <c r="D160" s="401">
        <v>176342</v>
      </c>
      <c r="E160" s="401">
        <v>218080</v>
      </c>
      <c r="F160" s="402">
        <v>251943</v>
      </c>
      <c r="G160" s="401">
        <v>210060</v>
      </c>
      <c r="H160" s="68"/>
      <c r="I160" s="200"/>
      <c r="J160" s="200"/>
      <c r="K160" s="200"/>
      <c r="L160" s="200"/>
      <c r="M160" s="204"/>
      <c r="N160" s="200"/>
    </row>
    <row r="161" spans="1:14" s="209" customFormat="1">
      <c r="A161" s="16"/>
      <c r="B161" s="205"/>
      <c r="C161" s="68"/>
      <c r="D161" s="68"/>
      <c r="E161" s="68"/>
      <c r="F161" s="344"/>
      <c r="G161" s="68"/>
      <c r="H161" s="68"/>
      <c r="I161" s="200"/>
      <c r="J161" s="200"/>
      <c r="K161" s="200"/>
      <c r="L161" s="200"/>
      <c r="M161" s="204"/>
      <c r="N161" s="200"/>
    </row>
    <row r="162" spans="1:14" s="165" customFormat="1">
      <c r="A162" s="163"/>
      <c r="B162" s="404"/>
      <c r="C162" s="405"/>
      <c r="D162" s="405"/>
      <c r="E162" s="405"/>
      <c r="F162" s="406"/>
      <c r="G162" s="405"/>
      <c r="H162" s="405"/>
      <c r="M162" s="407"/>
    </row>
    <row r="163" spans="1:14" s="209" customFormat="1">
      <c r="A163" s="16"/>
      <c r="B163" s="205"/>
      <c r="C163" s="68"/>
      <c r="D163" s="68"/>
      <c r="E163" s="68"/>
      <c r="F163" s="344"/>
      <c r="G163" s="68"/>
      <c r="H163" s="68"/>
      <c r="I163" s="200"/>
      <c r="J163" s="200"/>
      <c r="K163" s="200"/>
      <c r="L163" s="200"/>
      <c r="M163" s="204"/>
      <c r="N163" s="200"/>
    </row>
    <row r="164" spans="1:14" s="209" customFormat="1">
      <c r="A164" s="16"/>
      <c r="B164" s="205"/>
      <c r="C164" s="68"/>
      <c r="D164" s="68"/>
      <c r="E164" s="68"/>
      <c r="F164" s="344"/>
      <c r="G164" s="68"/>
      <c r="H164" s="68"/>
      <c r="I164" s="200"/>
      <c r="J164" s="200"/>
      <c r="K164" s="200"/>
      <c r="L164" s="200"/>
      <c r="M164" s="204"/>
      <c r="N164" s="200"/>
    </row>
    <row r="165" spans="1:14" s="209" customFormat="1">
      <c r="A165" s="411" t="s">
        <v>210</v>
      </c>
      <c r="B165" s="205"/>
      <c r="C165" s="68"/>
      <c r="D165" s="68"/>
      <c r="E165" s="68"/>
      <c r="F165" s="344"/>
      <c r="G165" s="68"/>
      <c r="H165" s="68"/>
      <c r="I165" s="200"/>
      <c r="J165" s="200"/>
      <c r="K165" s="200"/>
      <c r="L165" s="200"/>
      <c r="M165" s="204"/>
      <c r="N165" s="200"/>
    </row>
    <row r="166" spans="1:14" s="209" customFormat="1">
      <c r="A166" s="336" t="s">
        <v>430</v>
      </c>
      <c r="B166" s="205"/>
      <c r="C166" s="403">
        <v>2015</v>
      </c>
      <c r="D166" s="403">
        <v>2014</v>
      </c>
      <c r="E166" s="403">
        <v>2013</v>
      </c>
      <c r="F166" s="346" t="s">
        <v>420</v>
      </c>
      <c r="G166" s="403">
        <v>2011</v>
      </c>
      <c r="H166" s="68"/>
      <c r="I166" s="200"/>
      <c r="J166" s="200"/>
      <c r="K166" s="200"/>
      <c r="L166" s="200"/>
      <c r="M166" s="204"/>
      <c r="N166" s="200"/>
    </row>
    <row r="167" spans="1:14" s="209" customFormat="1" ht="28">
      <c r="A167" s="335" t="s">
        <v>421</v>
      </c>
      <c r="B167" s="211" t="s">
        <v>11</v>
      </c>
      <c r="C167" s="401">
        <v>248348</v>
      </c>
      <c r="D167" s="401">
        <v>223068</v>
      </c>
      <c r="E167" s="401">
        <v>154405.05867331428</v>
      </c>
      <c r="F167" s="402">
        <v>88684</v>
      </c>
      <c r="G167" s="401">
        <v>71299</v>
      </c>
      <c r="H167" s="68"/>
      <c r="I167" s="200"/>
      <c r="J167" s="200"/>
      <c r="K167" s="200"/>
      <c r="L167" s="200"/>
      <c r="M167" s="204"/>
      <c r="N167" s="200"/>
    </row>
    <row r="168" spans="1:14" s="209" customFormat="1">
      <c r="B168" s="208" t="s">
        <v>2</v>
      </c>
      <c r="C168" s="68"/>
      <c r="D168" s="68"/>
      <c r="E168" s="68"/>
      <c r="F168" s="344"/>
      <c r="G168" s="68"/>
      <c r="H168" s="68"/>
      <c r="I168" s="200"/>
      <c r="J168" s="200"/>
      <c r="K168" s="200"/>
      <c r="L168" s="200"/>
      <c r="M168" s="204"/>
      <c r="N168" s="200"/>
    </row>
    <row r="169" spans="1:14" s="209" customFormat="1">
      <c r="B169" s="208" t="s">
        <v>3</v>
      </c>
      <c r="C169" s="68"/>
      <c r="D169" s="68"/>
      <c r="E169" s="419"/>
      <c r="F169" s="344"/>
      <c r="G169" s="419"/>
      <c r="H169" s="68"/>
      <c r="I169" s="200"/>
      <c r="J169" s="200"/>
      <c r="K169" s="200"/>
      <c r="L169" s="200"/>
      <c r="M169" s="204"/>
      <c r="N169" s="200"/>
    </row>
    <row r="170" spans="1:14" s="209" customFormat="1">
      <c r="A170" s="335" t="s">
        <v>422</v>
      </c>
      <c r="B170" s="206" t="s">
        <v>8</v>
      </c>
      <c r="C170" s="401">
        <v>157273</v>
      </c>
      <c r="D170" s="401">
        <v>101970</v>
      </c>
      <c r="E170" s="401">
        <v>72219.857724813031</v>
      </c>
      <c r="F170" s="402">
        <v>36634</v>
      </c>
      <c r="G170" s="401">
        <v>45835</v>
      </c>
      <c r="H170" s="68"/>
      <c r="I170" s="200"/>
      <c r="J170" s="200"/>
      <c r="K170" s="200"/>
      <c r="L170" s="200"/>
      <c r="M170" s="204"/>
      <c r="N170" s="200"/>
    </row>
    <row r="171" spans="1:14" s="209" customFormat="1">
      <c r="A171" s="335" t="s">
        <v>423</v>
      </c>
      <c r="B171" s="210" t="s">
        <v>12</v>
      </c>
      <c r="C171" s="401">
        <v>-10932</v>
      </c>
      <c r="D171" s="401">
        <v>1306</v>
      </c>
      <c r="E171" s="401">
        <v>-1672.0374536389616</v>
      </c>
      <c r="F171" s="402">
        <v>-3255</v>
      </c>
      <c r="G171" s="401">
        <v>-7159</v>
      </c>
      <c r="H171" s="68"/>
      <c r="I171" s="200"/>
      <c r="J171" s="200"/>
      <c r="K171" s="200"/>
      <c r="L171" s="200"/>
      <c r="M171" s="204"/>
      <c r="N171" s="200"/>
    </row>
    <row r="172" spans="1:14" s="209" customFormat="1">
      <c r="A172" s="418" t="s">
        <v>138</v>
      </c>
      <c r="B172" s="417" t="s">
        <v>138</v>
      </c>
      <c r="C172" s="401">
        <v>275552</v>
      </c>
      <c r="D172" s="401">
        <v>213202</v>
      </c>
      <c r="E172" s="401">
        <v>179479.54034170401</v>
      </c>
      <c r="F172" s="402">
        <v>133751</v>
      </c>
      <c r="G172" s="401">
        <v>139072</v>
      </c>
      <c r="H172" s="68"/>
      <c r="I172" s="200"/>
      <c r="J172" s="200"/>
      <c r="K172" s="200"/>
      <c r="L172" s="200"/>
      <c r="M172" s="204"/>
      <c r="N172" s="200"/>
    </row>
    <row r="173" spans="1:14" s="209" customFormat="1">
      <c r="B173" s="208"/>
      <c r="C173" s="68"/>
      <c r="D173" s="68"/>
      <c r="E173" s="68"/>
      <c r="F173" s="344"/>
      <c r="G173" s="68"/>
      <c r="H173" s="68"/>
      <c r="I173" s="200"/>
      <c r="J173" s="200"/>
      <c r="K173" s="200"/>
      <c r="L173" s="200"/>
      <c r="M173" s="204"/>
      <c r="N173" s="200"/>
    </row>
    <row r="174" spans="1:14" s="209" customFormat="1" ht="28">
      <c r="B174" s="208" t="s">
        <v>15</v>
      </c>
      <c r="C174" s="68"/>
      <c r="D174" s="68"/>
      <c r="E174" s="68"/>
      <c r="F174" s="344"/>
      <c r="G174" s="68"/>
      <c r="H174" s="68"/>
      <c r="I174" s="200"/>
      <c r="J174" s="200"/>
      <c r="K174" s="200"/>
      <c r="L174" s="200"/>
      <c r="M174" s="204"/>
      <c r="N174" s="200"/>
    </row>
    <row r="175" spans="1:14" s="209" customFormat="1">
      <c r="A175" s="335" t="s">
        <v>424</v>
      </c>
      <c r="B175" s="203" t="s">
        <v>23</v>
      </c>
      <c r="C175" s="401">
        <v>118280</v>
      </c>
      <c r="D175" s="401">
        <v>111232</v>
      </c>
      <c r="E175" s="401">
        <v>107259.68261689061</v>
      </c>
      <c r="F175" s="402">
        <v>97116</v>
      </c>
      <c r="G175" s="401">
        <v>93237</v>
      </c>
      <c r="H175" s="68"/>
      <c r="I175" s="200"/>
      <c r="J175" s="200"/>
      <c r="K175" s="200"/>
      <c r="L175" s="200"/>
      <c r="M175" s="204"/>
      <c r="N175" s="200"/>
    </row>
    <row r="176" spans="1:14" s="209" customFormat="1">
      <c r="A176" s="16"/>
      <c r="B176" s="205"/>
      <c r="C176" s="68"/>
      <c r="D176" s="68"/>
      <c r="E176" s="68"/>
      <c r="F176" s="344"/>
      <c r="G176" s="68"/>
      <c r="H176" s="68"/>
      <c r="I176" s="200"/>
      <c r="J176" s="200"/>
      <c r="K176" s="200"/>
      <c r="L176" s="200"/>
      <c r="M176" s="204"/>
      <c r="N176" s="200"/>
    </row>
    <row r="177" spans="1:14" s="209" customFormat="1">
      <c r="A177" s="16"/>
      <c r="B177" s="205"/>
      <c r="C177" s="68"/>
      <c r="D177" s="68"/>
      <c r="E177" s="68"/>
      <c r="F177" s="344"/>
      <c r="G177" s="68"/>
      <c r="H177" s="68"/>
      <c r="I177" s="200"/>
      <c r="J177" s="200"/>
      <c r="K177" s="200"/>
      <c r="L177" s="200"/>
      <c r="M177" s="204"/>
      <c r="N177" s="200"/>
    </row>
    <row r="178" spans="1:14" s="209" customFormat="1">
      <c r="A178" s="336" t="s">
        <v>431</v>
      </c>
      <c r="B178" s="205"/>
      <c r="C178" s="403">
        <v>2015</v>
      </c>
      <c r="D178" s="403">
        <v>2014</v>
      </c>
      <c r="E178" s="403">
        <v>2013</v>
      </c>
      <c r="F178" s="346" t="s">
        <v>420</v>
      </c>
      <c r="G178" s="403">
        <v>2011</v>
      </c>
      <c r="H178" s="68"/>
      <c r="I178" s="200"/>
      <c r="J178" s="200"/>
      <c r="K178" s="200"/>
      <c r="L178" s="200"/>
      <c r="M178" s="204"/>
      <c r="N178" s="200"/>
    </row>
    <row r="179" spans="1:14" s="209" customFormat="1" ht="28">
      <c r="A179" s="335" t="s">
        <v>421</v>
      </c>
      <c r="B179" s="211" t="s">
        <v>11</v>
      </c>
      <c r="C179" s="401">
        <v>134717</v>
      </c>
      <c r="D179" s="401">
        <v>128952</v>
      </c>
      <c r="E179" s="401">
        <v>85207</v>
      </c>
      <c r="F179" s="402">
        <v>136065</v>
      </c>
      <c r="G179" s="401">
        <v>118147</v>
      </c>
      <c r="H179" s="68"/>
      <c r="I179" s="200"/>
      <c r="J179" s="200"/>
      <c r="K179" s="200"/>
      <c r="L179" s="200"/>
      <c r="M179" s="204"/>
      <c r="N179" s="200"/>
    </row>
    <row r="180" spans="1:14" s="209" customFormat="1">
      <c r="B180" s="208" t="s">
        <v>2</v>
      </c>
      <c r="C180" s="68"/>
      <c r="D180" s="68"/>
      <c r="E180" s="68"/>
      <c r="F180" s="344"/>
      <c r="G180" s="68"/>
      <c r="H180" s="68"/>
      <c r="I180" s="200"/>
      <c r="J180" s="200"/>
      <c r="K180" s="200"/>
      <c r="L180" s="200"/>
      <c r="M180" s="204"/>
      <c r="N180" s="200"/>
    </row>
    <row r="181" spans="1:14" s="209" customFormat="1">
      <c r="B181" s="208" t="s">
        <v>3</v>
      </c>
      <c r="C181" s="68"/>
      <c r="D181" s="68"/>
      <c r="E181" s="68"/>
      <c r="F181" s="344"/>
      <c r="G181" s="68"/>
      <c r="H181" s="68"/>
      <c r="I181" s="200"/>
      <c r="J181" s="200"/>
      <c r="K181" s="200"/>
      <c r="L181" s="200"/>
      <c r="M181" s="204"/>
      <c r="N181" s="200"/>
    </row>
    <row r="182" spans="1:14" s="209" customFormat="1">
      <c r="A182" s="335" t="s">
        <v>422</v>
      </c>
      <c r="B182" s="206" t="s">
        <v>8</v>
      </c>
      <c r="C182" s="401">
        <v>37998</v>
      </c>
      <c r="D182" s="401">
        <v>30521</v>
      </c>
      <c r="E182" s="401">
        <v>32603</v>
      </c>
      <c r="F182" s="402">
        <v>52711</v>
      </c>
      <c r="G182" s="401">
        <v>69845</v>
      </c>
      <c r="H182" s="68"/>
      <c r="I182" s="200"/>
      <c r="J182" s="200"/>
      <c r="K182" s="200"/>
      <c r="L182" s="200"/>
      <c r="M182" s="204"/>
      <c r="N182" s="200"/>
    </row>
    <row r="183" spans="1:14" s="209" customFormat="1">
      <c r="A183" s="335" t="s">
        <v>423</v>
      </c>
      <c r="B183" s="210" t="s">
        <v>12</v>
      </c>
      <c r="C183" s="401">
        <v>-36178</v>
      </c>
      <c r="D183" s="401">
        <v>-24700</v>
      </c>
      <c r="E183" s="401">
        <v>-72966</v>
      </c>
      <c r="F183" s="402">
        <v>-59256</v>
      </c>
      <c r="G183" s="401">
        <v>-19757</v>
      </c>
      <c r="H183" s="68"/>
      <c r="I183" s="200"/>
      <c r="J183" s="200"/>
      <c r="K183" s="200"/>
      <c r="L183" s="200"/>
      <c r="M183" s="204"/>
      <c r="N183" s="200"/>
    </row>
    <row r="184" spans="1:14" s="209" customFormat="1">
      <c r="A184" s="418" t="s">
        <v>138</v>
      </c>
      <c r="B184" s="417" t="s">
        <v>138</v>
      </c>
      <c r="C184" s="401">
        <v>248058</v>
      </c>
      <c r="D184" s="401">
        <v>270579</v>
      </c>
      <c r="E184" s="401">
        <v>301726</v>
      </c>
      <c r="F184" s="402">
        <v>432978</v>
      </c>
      <c r="G184" s="401">
        <v>509183</v>
      </c>
      <c r="H184" s="68"/>
      <c r="I184" s="200"/>
      <c r="J184" s="200"/>
      <c r="K184" s="200"/>
      <c r="L184" s="200"/>
      <c r="M184" s="204"/>
      <c r="N184" s="200"/>
    </row>
    <row r="185" spans="1:14" s="209" customFormat="1">
      <c r="B185" s="208"/>
      <c r="C185" s="68"/>
      <c r="D185" s="68"/>
      <c r="E185" s="68"/>
      <c r="F185" s="344"/>
      <c r="G185" s="68"/>
      <c r="H185" s="68"/>
      <c r="I185" s="200"/>
      <c r="J185" s="200"/>
      <c r="K185" s="200"/>
      <c r="L185" s="200"/>
      <c r="M185" s="204"/>
      <c r="N185" s="200"/>
    </row>
    <row r="186" spans="1:14" s="209" customFormat="1" ht="28">
      <c r="B186" s="208" t="s">
        <v>15</v>
      </c>
      <c r="C186" s="68"/>
      <c r="D186" s="68"/>
      <c r="E186" s="68"/>
      <c r="F186" s="344"/>
      <c r="G186" s="68"/>
      <c r="H186" s="68"/>
      <c r="I186" s="200"/>
      <c r="J186" s="200"/>
      <c r="K186" s="200"/>
      <c r="L186" s="200"/>
      <c r="M186" s="204"/>
      <c r="N186" s="200"/>
    </row>
    <row r="187" spans="1:14" s="209" customFormat="1">
      <c r="A187" s="335" t="s">
        <v>424</v>
      </c>
      <c r="B187" s="203" t="s">
        <v>23</v>
      </c>
      <c r="C187" s="401">
        <v>210060</v>
      </c>
      <c r="D187" s="401">
        <v>240058</v>
      </c>
      <c r="E187" s="401">
        <v>269123</v>
      </c>
      <c r="F187" s="402">
        <v>380268</v>
      </c>
      <c r="G187" s="401">
        <v>439337</v>
      </c>
      <c r="H187" s="68"/>
      <c r="I187" s="200"/>
      <c r="J187" s="200"/>
      <c r="K187" s="200"/>
      <c r="L187" s="200"/>
      <c r="M187" s="204"/>
      <c r="N187" s="200"/>
    </row>
    <row r="188" spans="1:14" s="209" customFormat="1">
      <c r="A188" s="16"/>
      <c r="B188" s="205"/>
      <c r="C188" s="68"/>
      <c r="D188" s="68"/>
      <c r="E188" s="68"/>
      <c r="F188" s="344"/>
      <c r="G188" s="68"/>
      <c r="H188" s="68"/>
      <c r="I188" s="200"/>
      <c r="J188" s="200"/>
      <c r="K188" s="200"/>
      <c r="L188" s="200"/>
      <c r="M188" s="204"/>
      <c r="N188" s="200"/>
    </row>
    <row r="189" spans="1:14" s="209" customFormat="1">
      <c r="A189" s="16"/>
      <c r="B189" s="205"/>
      <c r="C189" s="68"/>
      <c r="D189" s="68"/>
      <c r="E189" s="68"/>
      <c r="F189" s="344"/>
      <c r="G189" s="68"/>
      <c r="H189" s="68"/>
      <c r="I189" s="200"/>
      <c r="J189" s="200"/>
      <c r="K189" s="200"/>
      <c r="L189" s="200"/>
      <c r="M189" s="204"/>
      <c r="N189" s="200"/>
    </row>
    <row r="190" spans="1:14" s="165" customFormat="1">
      <c r="A190" s="163"/>
      <c r="B190" s="404"/>
      <c r="C190" s="405"/>
      <c r="D190" s="405"/>
      <c r="E190" s="405"/>
      <c r="F190" s="406"/>
      <c r="G190" s="405"/>
      <c r="H190" s="405"/>
      <c r="M190" s="407"/>
    </row>
    <row r="191" spans="1:14" s="209" customFormat="1">
      <c r="A191" s="16"/>
      <c r="B191" s="205"/>
      <c r="C191" s="68"/>
      <c r="D191" s="68"/>
      <c r="E191" s="68"/>
      <c r="F191" s="344"/>
      <c r="G191" s="68"/>
      <c r="H191" s="68"/>
      <c r="I191" s="200"/>
      <c r="J191" s="200"/>
      <c r="K191" s="200"/>
      <c r="L191" s="200"/>
      <c r="M191" s="204"/>
      <c r="N191" s="200"/>
    </row>
    <row r="192" spans="1:14" s="209" customFormat="1">
      <c r="A192" s="50" t="s">
        <v>211</v>
      </c>
      <c r="B192" s="205"/>
      <c r="C192" s="68"/>
      <c r="D192" s="68"/>
      <c r="E192" s="68"/>
      <c r="F192" s="344"/>
      <c r="G192" s="68"/>
      <c r="H192" s="68"/>
      <c r="I192" s="200"/>
      <c r="J192" s="200"/>
      <c r="K192" s="200"/>
      <c r="L192" s="200"/>
      <c r="M192" s="204"/>
      <c r="N192" s="200"/>
    </row>
    <row r="193" spans="1:14" s="209" customFormat="1">
      <c r="A193" s="336" t="s">
        <v>432</v>
      </c>
      <c r="B193" s="205"/>
      <c r="C193" s="403">
        <v>2010</v>
      </c>
      <c r="D193" s="403">
        <v>2009</v>
      </c>
      <c r="E193" s="403">
        <v>2008</v>
      </c>
      <c r="F193" s="346" t="s">
        <v>433</v>
      </c>
      <c r="G193" s="403">
        <v>2006</v>
      </c>
      <c r="H193" s="68"/>
      <c r="I193" s="200"/>
      <c r="J193" s="200"/>
      <c r="K193" s="200"/>
      <c r="L193" s="200"/>
      <c r="M193" s="204"/>
      <c r="N193" s="200"/>
    </row>
    <row r="194" spans="1:14" s="209" customFormat="1" ht="28">
      <c r="A194" s="335" t="s">
        <v>421</v>
      </c>
      <c r="B194" s="211" t="s">
        <v>11</v>
      </c>
      <c r="C194" s="401">
        <v>5462045</v>
      </c>
      <c r="D194" s="401">
        <v>4327276</v>
      </c>
      <c r="E194" s="401">
        <v>4339722</v>
      </c>
      <c r="F194" s="402">
        <v>3454381</v>
      </c>
      <c r="G194" s="401">
        <v>3010878</v>
      </c>
      <c r="H194" s="68"/>
      <c r="I194" s="200"/>
      <c r="J194" s="200"/>
      <c r="K194" s="200"/>
      <c r="L194" s="200"/>
      <c r="M194" s="204"/>
      <c r="N194" s="200"/>
    </row>
    <row r="195" spans="1:14" s="209" customFormat="1">
      <c r="B195" s="208" t="s">
        <v>2</v>
      </c>
      <c r="C195" s="68"/>
      <c r="D195" s="68"/>
      <c r="E195" s="68"/>
      <c r="F195" s="344"/>
      <c r="G195" s="68"/>
      <c r="H195" s="68"/>
      <c r="I195" s="200"/>
      <c r="J195" s="200"/>
      <c r="K195" s="200"/>
      <c r="L195" s="200"/>
      <c r="M195" s="204"/>
      <c r="N195" s="200"/>
    </row>
    <row r="196" spans="1:14" s="209" customFormat="1">
      <c r="B196" s="208" t="s">
        <v>3</v>
      </c>
      <c r="C196" s="68"/>
      <c r="D196" s="68"/>
      <c r="E196" s="68"/>
      <c r="F196" s="344"/>
      <c r="G196" s="68"/>
      <c r="H196" s="68"/>
      <c r="I196" s="200"/>
      <c r="J196" s="200"/>
      <c r="K196" s="200"/>
      <c r="L196" s="200"/>
      <c r="M196" s="204"/>
      <c r="N196" s="200"/>
    </row>
    <row r="197" spans="1:14" s="209" customFormat="1">
      <c r="A197" s="335" t="s">
        <v>422</v>
      </c>
      <c r="B197" s="206" t="s">
        <v>8</v>
      </c>
      <c r="C197" s="401">
        <v>20324534</v>
      </c>
      <c r="D197" s="401">
        <v>14975610</v>
      </c>
      <c r="E197" s="401">
        <v>14331946</v>
      </c>
      <c r="F197" s="402">
        <v>12186945</v>
      </c>
      <c r="G197" s="401">
        <v>7349902</v>
      </c>
      <c r="H197" s="401"/>
      <c r="I197" s="200"/>
      <c r="J197" s="200"/>
      <c r="K197" s="200"/>
      <c r="L197" s="200"/>
      <c r="M197" s="204"/>
      <c r="N197" s="200"/>
    </row>
    <row r="198" spans="1:14" s="209" customFormat="1">
      <c r="A198" s="335" t="s">
        <v>423</v>
      </c>
      <c r="B198" s="210" t="s">
        <v>12</v>
      </c>
      <c r="C198" s="401">
        <v>-139648</v>
      </c>
      <c r="D198" s="401">
        <v>721580</v>
      </c>
      <c r="E198" s="401">
        <v>65151</v>
      </c>
      <c r="F198" s="402">
        <v>173941</v>
      </c>
      <c r="G198" s="401">
        <v>449470</v>
      </c>
      <c r="H198" s="68"/>
      <c r="I198" s="200"/>
      <c r="J198" s="200"/>
      <c r="K198" s="200"/>
      <c r="L198" s="200"/>
      <c r="M198" s="204"/>
      <c r="N198" s="200"/>
    </row>
    <row r="199" spans="1:14" s="209" customFormat="1">
      <c r="A199" s="418" t="s">
        <v>138</v>
      </c>
      <c r="B199" s="417" t="s">
        <v>138</v>
      </c>
      <c r="C199" s="401">
        <v>27052503</v>
      </c>
      <c r="D199" s="401">
        <v>21784685</v>
      </c>
      <c r="E199" s="401">
        <v>19830767</v>
      </c>
      <c r="F199" s="402">
        <v>16741731</v>
      </c>
      <c r="G199" s="401">
        <v>10640763</v>
      </c>
      <c r="H199" s="68"/>
      <c r="I199" s="200"/>
      <c r="J199" s="200"/>
      <c r="K199" s="200"/>
      <c r="L199" s="200"/>
      <c r="M199" s="204"/>
      <c r="N199" s="200"/>
    </row>
    <row r="200" spans="1:14" s="209" customFormat="1">
      <c r="B200" s="208"/>
      <c r="C200" s="68"/>
      <c r="D200" s="68"/>
      <c r="E200" s="68"/>
      <c r="F200" s="344"/>
      <c r="G200" s="68"/>
      <c r="H200" s="68"/>
      <c r="I200" s="200"/>
      <c r="J200" s="200"/>
      <c r="K200" s="200"/>
      <c r="L200" s="200"/>
      <c r="M200" s="204"/>
      <c r="N200" s="200"/>
    </row>
    <row r="201" spans="1:14" s="209" customFormat="1" ht="28">
      <c r="B201" s="208" t="s">
        <v>15</v>
      </c>
      <c r="C201" s="68"/>
      <c r="D201" s="68"/>
      <c r="E201" s="68"/>
      <c r="F201" s="344"/>
      <c r="G201" s="68"/>
      <c r="H201" s="68"/>
      <c r="I201" s="200"/>
      <c r="J201" s="200"/>
      <c r="K201" s="200"/>
      <c r="L201" s="200"/>
      <c r="M201" s="204"/>
      <c r="N201" s="200"/>
    </row>
    <row r="202" spans="1:14" s="209" customFormat="1">
      <c r="A202" s="335" t="s">
        <v>424</v>
      </c>
      <c r="B202" s="203" t="s">
        <v>23</v>
      </c>
      <c r="C202" s="401">
        <v>6727969</v>
      </c>
      <c r="D202" s="401">
        <v>6809076</v>
      </c>
      <c r="E202" s="401">
        <v>5498819</v>
      </c>
      <c r="F202" s="402">
        <v>4554785</v>
      </c>
      <c r="G202" s="401">
        <v>3290861</v>
      </c>
      <c r="H202" s="68"/>
      <c r="I202" s="200"/>
      <c r="J202" s="200"/>
      <c r="K202" s="200"/>
      <c r="L202" s="200"/>
      <c r="M202" s="204"/>
      <c r="N202" s="200"/>
    </row>
    <row r="203" spans="1:14" s="209" customFormat="1">
      <c r="A203" s="16"/>
      <c r="B203" s="205"/>
      <c r="C203" s="68"/>
      <c r="D203" s="68"/>
      <c r="E203" s="68"/>
      <c r="F203" s="344"/>
      <c r="G203" s="68"/>
      <c r="H203" s="68"/>
      <c r="I203" s="200"/>
      <c r="J203" s="200"/>
      <c r="K203" s="200"/>
      <c r="L203" s="200"/>
      <c r="M203" s="204"/>
      <c r="N203" s="200"/>
    </row>
    <row r="204" spans="1:14" s="209" customFormat="1">
      <c r="A204" s="16"/>
      <c r="B204" s="205"/>
      <c r="C204" s="68"/>
      <c r="D204" s="68"/>
      <c r="E204" s="68"/>
      <c r="F204" s="344"/>
      <c r="G204" s="68"/>
      <c r="H204" s="68"/>
      <c r="I204" s="200"/>
      <c r="J204" s="200"/>
      <c r="K204" s="200"/>
      <c r="L204" s="200"/>
      <c r="M204" s="204"/>
      <c r="N204" s="200"/>
    </row>
    <row r="205" spans="1:14" s="209" customFormat="1">
      <c r="A205" s="336" t="s">
        <v>434</v>
      </c>
      <c r="B205" s="408" t="s">
        <v>435</v>
      </c>
      <c r="C205" s="403">
        <v>2010</v>
      </c>
      <c r="D205" s="403">
        <v>2009</v>
      </c>
      <c r="E205" s="403">
        <v>2008</v>
      </c>
      <c r="F205" s="346" t="s">
        <v>433</v>
      </c>
      <c r="G205" s="403">
        <v>2006</v>
      </c>
      <c r="H205" s="68"/>
      <c r="I205" s="200"/>
      <c r="J205" s="200"/>
      <c r="K205" s="200"/>
      <c r="L205" s="200"/>
      <c r="M205" s="204"/>
      <c r="N205" s="200"/>
    </row>
    <row r="206" spans="1:14" s="209" customFormat="1" ht="28">
      <c r="A206" s="335" t="s">
        <v>421</v>
      </c>
      <c r="B206" s="211" t="s">
        <v>11</v>
      </c>
      <c r="C206" s="401">
        <v>1135100</v>
      </c>
      <c r="D206" s="401">
        <v>1350202</v>
      </c>
      <c r="E206" s="401">
        <v>1917502</v>
      </c>
      <c r="F206" s="402">
        <v>1519867</v>
      </c>
      <c r="G206" s="401">
        <v>1308419</v>
      </c>
      <c r="H206" s="68"/>
      <c r="I206" s="200"/>
      <c r="J206" s="200"/>
      <c r="K206" s="200"/>
      <c r="L206" s="200"/>
      <c r="M206" s="204"/>
      <c r="N206" s="200"/>
    </row>
    <row r="207" spans="1:14" s="209" customFormat="1">
      <c r="B207" s="208" t="s">
        <v>2</v>
      </c>
      <c r="C207" s="68"/>
      <c r="D207" s="68"/>
      <c r="E207" s="68"/>
      <c r="F207" s="344"/>
      <c r="G207" s="68"/>
      <c r="H207" s="68"/>
      <c r="I207" s="200"/>
      <c r="J207" s="200"/>
      <c r="K207" s="200"/>
      <c r="L207" s="200"/>
      <c r="M207" s="204"/>
      <c r="N207" s="200"/>
    </row>
    <row r="208" spans="1:14" s="209" customFormat="1">
      <c r="B208" s="208" t="s">
        <v>3</v>
      </c>
      <c r="C208" s="68"/>
      <c r="D208" s="68"/>
      <c r="E208" s="68"/>
      <c r="F208" s="344"/>
      <c r="G208" s="68"/>
      <c r="H208" s="68"/>
      <c r="I208" s="200"/>
      <c r="J208" s="200"/>
      <c r="K208" s="200"/>
      <c r="L208" s="200"/>
      <c r="M208" s="204"/>
      <c r="N208" s="200"/>
    </row>
    <row r="209" spans="1:14" s="209" customFormat="1">
      <c r="A209" s="335" t="s">
        <v>422</v>
      </c>
      <c r="B209" s="206" t="s">
        <v>8</v>
      </c>
      <c r="C209" s="401">
        <v>1279699</v>
      </c>
      <c r="D209" s="401">
        <v>1480371</v>
      </c>
      <c r="E209" s="401">
        <v>1925125</v>
      </c>
      <c r="F209" s="402">
        <v>2134234</v>
      </c>
      <c r="G209" s="401">
        <v>754191</v>
      </c>
      <c r="H209" s="68"/>
      <c r="I209" s="200"/>
      <c r="J209" s="200"/>
      <c r="K209" s="200"/>
      <c r="L209" s="200"/>
      <c r="M209" s="204"/>
      <c r="N209" s="200"/>
    </row>
    <row r="210" spans="1:14" s="209" customFormat="1">
      <c r="A210" s="335" t="s">
        <v>423</v>
      </c>
      <c r="B210" s="210" t="s">
        <v>12</v>
      </c>
      <c r="C210" s="401">
        <v>-7600</v>
      </c>
      <c r="D210" s="401">
        <v>165825</v>
      </c>
      <c r="E210" s="401">
        <v>417384</v>
      </c>
      <c r="F210" s="402">
        <v>470009</v>
      </c>
      <c r="G210" s="401">
        <v>372386</v>
      </c>
      <c r="H210" s="68"/>
      <c r="I210" s="200"/>
      <c r="J210" s="200"/>
      <c r="K210" s="200"/>
      <c r="L210" s="200"/>
      <c r="M210" s="204"/>
      <c r="N210" s="200"/>
    </row>
    <row r="211" spans="1:14" s="209" customFormat="1">
      <c r="A211" s="418" t="s">
        <v>138</v>
      </c>
      <c r="B211" s="417" t="s">
        <v>138</v>
      </c>
      <c r="C211" s="401">
        <v>3001507</v>
      </c>
      <c r="D211" s="401">
        <v>2929408</v>
      </c>
      <c r="E211" s="401">
        <v>3064805</v>
      </c>
      <c r="F211" s="402">
        <v>2874968</v>
      </c>
      <c r="G211" s="401">
        <v>1369336</v>
      </c>
      <c r="H211" s="68"/>
      <c r="I211" s="200"/>
      <c r="J211" s="200"/>
      <c r="K211" s="200"/>
      <c r="L211" s="200"/>
      <c r="M211" s="204"/>
      <c r="N211" s="200"/>
    </row>
    <row r="212" spans="1:14" s="209" customFormat="1">
      <c r="B212" s="208"/>
      <c r="C212" s="68"/>
      <c r="D212" s="68"/>
      <c r="E212" s="68"/>
      <c r="F212" s="344"/>
      <c r="G212" s="68"/>
      <c r="H212" s="68"/>
      <c r="I212" s="200"/>
      <c r="J212" s="200"/>
      <c r="K212" s="200"/>
      <c r="L212" s="200"/>
      <c r="M212" s="204"/>
      <c r="N212" s="200"/>
    </row>
    <row r="213" spans="1:14" s="209" customFormat="1" ht="28">
      <c r="B213" s="208" t="s">
        <v>15</v>
      </c>
      <c r="C213" s="68"/>
      <c r="D213" s="68"/>
      <c r="E213" s="68"/>
      <c r="F213" s="344"/>
      <c r="G213" s="68"/>
      <c r="H213" s="68"/>
      <c r="I213" s="200"/>
      <c r="J213" s="200"/>
      <c r="K213" s="200"/>
      <c r="L213" s="200"/>
      <c r="M213" s="204"/>
      <c r="N213" s="200"/>
    </row>
    <row r="214" spans="1:14" s="209" customFormat="1">
      <c r="A214" s="335" t="s">
        <v>424</v>
      </c>
      <c r="B214" s="203" t="s">
        <v>23</v>
      </c>
      <c r="C214" s="401">
        <v>1721800</v>
      </c>
      <c r="D214" s="401">
        <v>1449037</v>
      </c>
      <c r="E214" s="401">
        <v>1139680</v>
      </c>
      <c r="F214" s="402">
        <v>740734</v>
      </c>
      <c r="G214" s="401">
        <v>615145</v>
      </c>
      <c r="H214" s="68"/>
      <c r="I214" s="200"/>
      <c r="J214" s="200"/>
      <c r="K214" s="200"/>
      <c r="L214" s="200"/>
      <c r="M214" s="204"/>
      <c r="N214" s="200"/>
    </row>
    <row r="215" spans="1:14" s="209" customFormat="1">
      <c r="A215" s="16"/>
      <c r="B215" s="205"/>
      <c r="C215" s="68"/>
      <c r="D215" s="68"/>
      <c r="E215" s="68"/>
      <c r="F215" s="344"/>
      <c r="G215" s="68"/>
      <c r="H215" s="68"/>
      <c r="I215" s="200"/>
      <c r="J215" s="200"/>
      <c r="K215" s="200"/>
      <c r="L215" s="200"/>
      <c r="M215" s="204"/>
      <c r="N215" s="200"/>
    </row>
    <row r="216" spans="1:14" s="209" customFormat="1">
      <c r="A216" s="16"/>
      <c r="B216" s="205"/>
      <c r="C216" s="68"/>
      <c r="D216" s="68"/>
      <c r="E216" s="68"/>
      <c r="F216" s="344"/>
      <c r="G216" s="68"/>
      <c r="H216" s="68"/>
      <c r="I216" s="200"/>
      <c r="J216" s="200"/>
      <c r="K216" s="200"/>
      <c r="L216" s="200"/>
      <c r="M216" s="204"/>
      <c r="N216" s="200"/>
    </row>
    <row r="217" spans="1:14" s="209" customFormat="1">
      <c r="A217" s="336" t="s">
        <v>436</v>
      </c>
      <c r="B217" s="205"/>
      <c r="C217" s="403">
        <v>2010</v>
      </c>
      <c r="D217" s="403">
        <v>2009</v>
      </c>
      <c r="E217" s="403">
        <v>2008</v>
      </c>
      <c r="F217" s="346" t="s">
        <v>433</v>
      </c>
      <c r="G217" s="403">
        <v>2006</v>
      </c>
      <c r="H217" s="68"/>
      <c r="I217" s="200"/>
      <c r="J217" s="200"/>
      <c r="K217" s="200"/>
      <c r="L217" s="200"/>
      <c r="M217" s="204"/>
      <c r="N217" s="200"/>
    </row>
    <row r="218" spans="1:14" s="209" customFormat="1" ht="28">
      <c r="A218" s="335" t="s">
        <v>421</v>
      </c>
      <c r="B218" s="211" t="s">
        <v>11</v>
      </c>
      <c r="C218" s="401">
        <v>2616866</v>
      </c>
      <c r="D218" s="401">
        <v>2529383</v>
      </c>
      <c r="E218" s="401">
        <v>2249679</v>
      </c>
      <c r="F218" s="402">
        <v>2230328</v>
      </c>
      <c r="G218" s="401">
        <v>1883038</v>
      </c>
      <c r="H218" s="68"/>
      <c r="I218" s="200"/>
      <c r="J218" s="200"/>
      <c r="K218" s="200"/>
      <c r="L218" s="200"/>
      <c r="M218" s="204"/>
      <c r="N218" s="200"/>
    </row>
    <row r="219" spans="1:14" s="209" customFormat="1">
      <c r="B219" s="208" t="s">
        <v>2</v>
      </c>
      <c r="C219" s="68"/>
      <c r="D219" s="68"/>
      <c r="E219" s="68"/>
      <c r="F219" s="344"/>
      <c r="G219" s="68"/>
      <c r="H219" s="68"/>
      <c r="I219" s="200"/>
      <c r="J219" s="200"/>
      <c r="K219" s="200"/>
      <c r="L219" s="200"/>
      <c r="M219" s="204"/>
      <c r="N219" s="200"/>
    </row>
    <row r="220" spans="1:14" s="209" customFormat="1">
      <c r="B220" s="208" t="s">
        <v>3</v>
      </c>
      <c r="C220" s="68"/>
      <c r="D220" s="68"/>
      <c r="E220" s="68"/>
      <c r="F220" s="344"/>
      <c r="G220" s="68"/>
      <c r="H220" s="68"/>
      <c r="I220" s="200"/>
      <c r="J220" s="200"/>
      <c r="K220" s="200"/>
      <c r="L220" s="200"/>
      <c r="M220" s="204"/>
      <c r="N220" s="200"/>
    </row>
    <row r="221" spans="1:14" s="209" customFormat="1">
      <c r="A221" s="335" t="s">
        <v>422</v>
      </c>
      <c r="B221" s="206" t="s">
        <v>8</v>
      </c>
      <c r="C221" s="401">
        <v>10576960</v>
      </c>
      <c r="D221" s="401">
        <v>7636225</v>
      </c>
      <c r="E221" s="401">
        <v>6515734</v>
      </c>
      <c r="F221" s="402">
        <v>6597210</v>
      </c>
      <c r="G221" s="401">
        <v>5119931</v>
      </c>
      <c r="H221" s="68"/>
      <c r="I221" s="200"/>
      <c r="J221" s="200"/>
      <c r="K221" s="200"/>
      <c r="L221" s="200"/>
      <c r="M221" s="204"/>
      <c r="N221" s="200"/>
    </row>
    <row r="222" spans="1:14" s="209" customFormat="1">
      <c r="A222" s="335" t="s">
        <v>423</v>
      </c>
      <c r="B222" s="210" t="s">
        <v>12</v>
      </c>
      <c r="C222" s="401">
        <v>48419</v>
      </c>
      <c r="D222" s="401">
        <v>1027458</v>
      </c>
      <c r="E222" s="401">
        <v>45561</v>
      </c>
      <c r="F222" s="402">
        <v>680329</v>
      </c>
      <c r="G222" s="401">
        <v>865958</v>
      </c>
      <c r="H222" s="68"/>
      <c r="I222" s="200"/>
      <c r="J222" s="200"/>
      <c r="K222" s="200"/>
      <c r="L222" s="200"/>
      <c r="M222" s="204"/>
      <c r="N222" s="200"/>
    </row>
    <row r="223" spans="1:14" s="209" customFormat="1">
      <c r="A223" s="418" t="s">
        <v>138</v>
      </c>
      <c r="B223" s="417" t="s">
        <v>138</v>
      </c>
      <c r="C223" s="401">
        <v>15566404</v>
      </c>
      <c r="D223" s="401">
        <v>12266546</v>
      </c>
      <c r="E223" s="401">
        <v>10213357</v>
      </c>
      <c r="F223" s="402">
        <v>10314671</v>
      </c>
      <c r="G223" s="401">
        <v>8293720</v>
      </c>
      <c r="H223" s="68"/>
      <c r="I223" s="200"/>
      <c r="J223" s="200"/>
      <c r="K223" s="200"/>
      <c r="L223" s="200"/>
      <c r="M223" s="204"/>
      <c r="N223" s="200"/>
    </row>
    <row r="224" spans="1:14" s="209" customFormat="1">
      <c r="B224" s="208"/>
      <c r="C224" s="68"/>
      <c r="D224" s="68"/>
      <c r="E224" s="68"/>
      <c r="F224" s="344"/>
      <c r="G224" s="68"/>
      <c r="H224" s="68"/>
      <c r="I224" s="200"/>
      <c r="J224" s="200"/>
      <c r="K224" s="200"/>
      <c r="L224" s="200"/>
      <c r="M224" s="204"/>
      <c r="N224" s="200"/>
    </row>
    <row r="225" spans="1:14" s="209" customFormat="1" ht="28">
      <c r="B225" s="208" t="s">
        <v>15</v>
      </c>
      <c r="C225" s="68"/>
      <c r="D225" s="68"/>
      <c r="E225" s="68"/>
      <c r="F225" s="344"/>
      <c r="G225" s="68"/>
      <c r="H225" s="68"/>
      <c r="I225" s="200"/>
      <c r="J225" s="200"/>
      <c r="K225" s="200"/>
      <c r="L225" s="200"/>
      <c r="M225" s="204"/>
      <c r="N225" s="200"/>
    </row>
    <row r="226" spans="1:14" s="209" customFormat="1">
      <c r="A226" s="335" t="s">
        <v>424</v>
      </c>
      <c r="B226" s="203" t="s">
        <v>23</v>
      </c>
      <c r="C226" s="401">
        <v>4989443</v>
      </c>
      <c r="D226" s="401">
        <v>4630320</v>
      </c>
      <c r="E226" s="401">
        <v>3697624</v>
      </c>
      <c r="F226" s="402">
        <v>3717458</v>
      </c>
      <c r="G226" s="401">
        <v>3173789</v>
      </c>
      <c r="H226" s="68"/>
      <c r="I226" s="200"/>
      <c r="J226" s="200"/>
      <c r="K226" s="200"/>
      <c r="L226" s="200"/>
      <c r="M226" s="204"/>
      <c r="N226" s="200"/>
    </row>
    <row r="227" spans="1:14" s="209" customFormat="1">
      <c r="A227" s="16"/>
      <c r="B227" s="205"/>
      <c r="C227" s="68"/>
      <c r="D227" s="68"/>
      <c r="E227" s="68"/>
      <c r="F227" s="344"/>
      <c r="G227" s="68"/>
      <c r="H227" s="68"/>
      <c r="I227" s="200"/>
      <c r="J227" s="200"/>
      <c r="K227" s="200"/>
      <c r="L227" s="200"/>
      <c r="M227" s="204"/>
      <c r="N227" s="200"/>
    </row>
    <row r="228" spans="1:14" s="209" customFormat="1">
      <c r="A228" s="16"/>
      <c r="B228" s="205"/>
      <c r="C228" s="68"/>
      <c r="D228" s="68"/>
      <c r="E228" s="68"/>
      <c r="F228" s="344"/>
      <c r="G228" s="68"/>
      <c r="H228" s="68"/>
      <c r="I228" s="200"/>
      <c r="J228" s="200"/>
      <c r="K228" s="200"/>
      <c r="L228" s="200"/>
      <c r="M228" s="204"/>
      <c r="N228" s="200"/>
    </row>
    <row r="229" spans="1:14" s="209" customFormat="1">
      <c r="A229" s="336" t="s">
        <v>437</v>
      </c>
      <c r="B229" s="408" t="s">
        <v>435</v>
      </c>
      <c r="C229" s="403">
        <v>2010</v>
      </c>
      <c r="D229" s="403">
        <v>2009</v>
      </c>
      <c r="E229" s="403">
        <v>2008</v>
      </c>
      <c r="F229" s="346" t="s">
        <v>433</v>
      </c>
      <c r="G229" s="403">
        <v>2006</v>
      </c>
      <c r="H229" s="68"/>
      <c r="I229" s="200"/>
      <c r="J229" s="200"/>
      <c r="K229" s="200"/>
      <c r="L229" s="200"/>
      <c r="M229" s="204"/>
      <c r="N229" s="200"/>
    </row>
    <row r="230" spans="1:14" s="209" customFormat="1" ht="28">
      <c r="A230" s="335" t="s">
        <v>421</v>
      </c>
      <c r="B230" s="211" t="s">
        <v>11</v>
      </c>
      <c r="C230" s="401">
        <v>568263</v>
      </c>
      <c r="D230" s="401">
        <v>477695</v>
      </c>
      <c r="E230" s="401">
        <v>582431</v>
      </c>
      <c r="F230" s="402">
        <v>452754</v>
      </c>
      <c r="G230" s="401">
        <v>395852</v>
      </c>
      <c r="H230" s="68"/>
      <c r="I230" s="200"/>
      <c r="J230" s="200"/>
      <c r="K230" s="200"/>
      <c r="L230" s="200"/>
      <c r="M230" s="204"/>
      <c r="N230" s="200"/>
    </row>
    <row r="231" spans="1:14" s="209" customFormat="1">
      <c r="B231" s="208" t="s">
        <v>2</v>
      </c>
      <c r="C231" s="68"/>
      <c r="D231" s="68"/>
      <c r="E231" s="68"/>
      <c r="F231" s="344"/>
      <c r="G231" s="68"/>
      <c r="H231" s="68"/>
      <c r="I231" s="200"/>
      <c r="J231" s="200"/>
      <c r="K231" s="200"/>
      <c r="L231" s="200"/>
      <c r="M231" s="204"/>
      <c r="N231" s="200"/>
    </row>
    <row r="232" spans="1:14" s="209" customFormat="1">
      <c r="B232" s="208" t="s">
        <v>3</v>
      </c>
      <c r="C232" s="68"/>
      <c r="D232" s="68"/>
      <c r="E232" s="68"/>
      <c r="F232" s="344"/>
      <c r="G232" s="68"/>
      <c r="H232" s="68"/>
      <c r="I232" s="200"/>
      <c r="J232" s="200"/>
      <c r="K232" s="200"/>
      <c r="L232" s="200"/>
      <c r="M232" s="204"/>
      <c r="N232" s="200"/>
    </row>
    <row r="233" spans="1:14" s="209" customFormat="1">
      <c r="A233" s="335" t="s">
        <v>422</v>
      </c>
      <c r="B233" s="206" t="s">
        <v>8</v>
      </c>
      <c r="C233" s="401">
        <v>308145</v>
      </c>
      <c r="D233" s="401">
        <v>304423</v>
      </c>
      <c r="E233" s="401">
        <v>293254</v>
      </c>
      <c r="F233" s="402">
        <v>284808</v>
      </c>
      <c r="G233" s="401">
        <v>199193</v>
      </c>
      <c r="H233" s="68"/>
      <c r="I233" s="200"/>
      <c r="J233" s="200"/>
      <c r="K233" s="200"/>
      <c r="L233" s="200"/>
      <c r="M233" s="204"/>
      <c r="N233" s="200"/>
    </row>
    <row r="234" spans="1:14" s="209" customFormat="1">
      <c r="A234" s="335" t="s">
        <v>423</v>
      </c>
      <c r="B234" s="210" t="s">
        <v>12</v>
      </c>
      <c r="C234" s="401">
        <v>155783</v>
      </c>
      <c r="D234" s="401">
        <v>162470</v>
      </c>
      <c r="E234" s="401">
        <v>113791</v>
      </c>
      <c r="F234" s="402">
        <v>135014</v>
      </c>
      <c r="G234" s="401">
        <v>150890</v>
      </c>
      <c r="H234" s="68"/>
      <c r="I234" s="200"/>
      <c r="J234" s="200"/>
      <c r="K234" s="200"/>
      <c r="L234" s="200"/>
      <c r="M234" s="204"/>
      <c r="N234" s="200"/>
    </row>
    <row r="235" spans="1:14" s="209" customFormat="1">
      <c r="A235" s="418" t="s">
        <v>138</v>
      </c>
      <c r="B235" s="417" t="s">
        <v>138</v>
      </c>
      <c r="C235" s="401">
        <v>1216917</v>
      </c>
      <c r="D235" s="401">
        <v>1144278</v>
      </c>
      <c r="E235" s="401">
        <v>954317</v>
      </c>
      <c r="F235" s="402">
        <v>852640</v>
      </c>
      <c r="G235" s="401">
        <v>676234</v>
      </c>
      <c r="H235" s="68"/>
      <c r="I235" s="200">
        <v>0</v>
      </c>
      <c r="J235" s="200"/>
      <c r="K235" s="200"/>
      <c r="L235" s="200"/>
      <c r="M235" s="204"/>
      <c r="N235" s="200"/>
    </row>
    <row r="236" spans="1:14" s="209" customFormat="1">
      <c r="B236" s="208"/>
      <c r="C236" s="68"/>
      <c r="D236" s="68"/>
      <c r="E236" s="68"/>
      <c r="F236" s="344"/>
      <c r="G236" s="68"/>
      <c r="H236" s="68"/>
      <c r="I236" s="200"/>
      <c r="J236" s="200"/>
      <c r="K236" s="200"/>
      <c r="L236" s="200"/>
      <c r="M236" s="204"/>
      <c r="N236" s="200"/>
    </row>
    <row r="237" spans="1:14" s="209" customFormat="1" ht="28">
      <c r="B237" s="208" t="s">
        <v>15</v>
      </c>
      <c r="C237" s="68"/>
      <c r="D237" s="68"/>
      <c r="E237" s="68"/>
      <c r="F237" s="344"/>
      <c r="G237" s="68"/>
      <c r="H237" s="68"/>
      <c r="I237" s="200"/>
      <c r="J237" s="200"/>
      <c r="K237" s="200"/>
      <c r="L237" s="200"/>
      <c r="M237" s="204"/>
      <c r="N237" s="200"/>
    </row>
    <row r="238" spans="1:14" s="209" customFormat="1">
      <c r="A238" s="335" t="s">
        <v>424</v>
      </c>
      <c r="B238" s="203" t="s">
        <v>23</v>
      </c>
      <c r="C238" s="401">
        <v>908771</v>
      </c>
      <c r="D238" s="401">
        <v>839856</v>
      </c>
      <c r="E238" s="401">
        <v>661063</v>
      </c>
      <c r="F238" s="402">
        <v>567834</v>
      </c>
      <c r="G238" s="401">
        <v>477038</v>
      </c>
      <c r="H238" s="68"/>
      <c r="I238" s="200"/>
      <c r="J238" s="200"/>
      <c r="K238" s="200"/>
      <c r="L238" s="200"/>
      <c r="M238" s="204"/>
      <c r="N238" s="200"/>
    </row>
    <row r="239" spans="1:14" s="209" customFormat="1">
      <c r="A239" s="16"/>
      <c r="B239" s="205"/>
      <c r="C239" s="68"/>
      <c r="D239" s="68"/>
      <c r="E239" s="68"/>
      <c r="F239" s="344"/>
      <c r="G239" s="68"/>
      <c r="H239" s="68"/>
      <c r="I239" s="200"/>
      <c r="J239" s="200"/>
      <c r="K239" s="200"/>
      <c r="L239" s="200"/>
      <c r="M239" s="204"/>
      <c r="N239" s="200"/>
    </row>
    <row r="240" spans="1:14" s="209" customFormat="1">
      <c r="A240" s="16"/>
      <c r="B240" s="205"/>
      <c r="C240" s="68"/>
      <c r="D240" s="68"/>
      <c r="E240" s="68"/>
      <c r="F240" s="344"/>
      <c r="G240" s="68"/>
      <c r="H240" s="68"/>
      <c r="I240" s="200"/>
      <c r="J240" s="200"/>
      <c r="K240" s="200"/>
      <c r="L240" s="200"/>
      <c r="M240" s="204"/>
      <c r="N240" s="200"/>
    </row>
    <row r="241" spans="1:14" s="165" customFormat="1">
      <c r="A241" s="163"/>
      <c r="B241" s="404"/>
      <c r="C241" s="405"/>
      <c r="D241" s="405"/>
      <c r="E241" s="405"/>
      <c r="F241" s="406"/>
      <c r="G241" s="405"/>
      <c r="H241" s="405"/>
      <c r="M241" s="407"/>
    </row>
    <row r="242" spans="1:14" s="209" customFormat="1">
      <c r="A242" s="16"/>
      <c r="B242" s="205"/>
      <c r="C242" s="68"/>
      <c r="D242" s="68"/>
      <c r="E242" s="68"/>
      <c r="F242" s="344"/>
      <c r="G242" s="68"/>
      <c r="H242" s="68"/>
      <c r="I242" s="200"/>
      <c r="J242" s="200"/>
      <c r="K242" s="200"/>
      <c r="L242" s="200"/>
      <c r="M242" s="204"/>
      <c r="N242" s="200"/>
    </row>
    <row r="243" spans="1:14" s="209" customFormat="1">
      <c r="A243" s="50" t="s">
        <v>212</v>
      </c>
      <c r="B243" s="205"/>
      <c r="C243" s="68"/>
      <c r="D243" s="68"/>
      <c r="E243" s="68"/>
      <c r="F243" s="344"/>
      <c r="G243" s="68"/>
      <c r="H243" s="68"/>
      <c r="I243" s="200"/>
      <c r="J243" s="200"/>
      <c r="K243" s="200"/>
      <c r="L243" s="200"/>
      <c r="M243" s="204"/>
      <c r="N243" s="200"/>
    </row>
    <row r="244" spans="1:14" s="209" customFormat="1">
      <c r="A244" s="336" t="s">
        <v>439</v>
      </c>
      <c r="B244" s="205"/>
      <c r="C244" s="403">
        <v>2007</v>
      </c>
      <c r="D244" s="403">
        <v>2006</v>
      </c>
      <c r="E244" s="403">
        <v>2005</v>
      </c>
      <c r="F244" s="346" t="s">
        <v>438</v>
      </c>
      <c r="G244" s="403">
        <v>2003</v>
      </c>
      <c r="H244" s="68"/>
      <c r="I244" s="409">
        <v>2003</v>
      </c>
      <c r="J244" s="200">
        <v>2004</v>
      </c>
      <c r="K244" s="200">
        <v>2005</v>
      </c>
      <c r="L244" s="200"/>
      <c r="M244" s="204"/>
      <c r="N244" s="200"/>
    </row>
    <row r="245" spans="1:14" s="209" customFormat="1" ht="28">
      <c r="A245" s="335" t="s">
        <v>421</v>
      </c>
      <c r="B245" s="211" t="s">
        <v>11</v>
      </c>
      <c r="C245" s="401">
        <v>114181</v>
      </c>
      <c r="D245" s="401">
        <v>109851</v>
      </c>
      <c r="E245" s="401">
        <v>100834</v>
      </c>
      <c r="F245" s="402">
        <v>91555</v>
      </c>
      <c r="G245" s="401">
        <v>192220</v>
      </c>
      <c r="H245" s="68" t="s">
        <v>5</v>
      </c>
      <c r="I245" s="200">
        <f>13789+8279</f>
        <v>22068</v>
      </c>
      <c r="J245" s="200">
        <f>13214+9151+1002</f>
        <v>23367</v>
      </c>
      <c r="K245" s="200">
        <f>13610+11721</f>
        <v>25331</v>
      </c>
      <c r="L245" s="200"/>
      <c r="M245" s="204"/>
      <c r="N245" s="200"/>
    </row>
    <row r="246" spans="1:14" s="209" customFormat="1">
      <c r="B246" s="208" t="s">
        <v>2</v>
      </c>
      <c r="C246" s="68"/>
      <c r="D246" s="68"/>
      <c r="E246" s="68"/>
      <c r="F246" s="344"/>
      <c r="G246" s="68"/>
      <c r="H246" s="68"/>
      <c r="I246" s="200"/>
      <c r="J246" s="200">
        <f>13214+9151</f>
        <v>22365</v>
      </c>
      <c r="K246" s="200"/>
      <c r="L246" s="200"/>
      <c r="M246" s="204"/>
      <c r="N246" s="200"/>
    </row>
    <row r="247" spans="1:14" s="209" customFormat="1">
      <c r="B247" s="208" t="s">
        <v>3</v>
      </c>
      <c r="C247" s="68"/>
      <c r="D247" s="68"/>
      <c r="E247" s="68"/>
      <c r="F247" s="344"/>
      <c r="G247" s="68"/>
      <c r="H247" s="68"/>
      <c r="I247" s="200"/>
      <c r="J247" s="200"/>
      <c r="K247" s="200"/>
      <c r="L247" s="200"/>
      <c r="M247" s="204"/>
      <c r="N247" s="200"/>
    </row>
    <row r="248" spans="1:14" s="209" customFormat="1">
      <c r="A248" s="335" t="s">
        <v>422</v>
      </c>
      <c r="B248" s="206" t="s">
        <v>8</v>
      </c>
      <c r="C248" s="401">
        <v>5010006</v>
      </c>
      <c r="D248" s="401">
        <v>4392926</v>
      </c>
      <c r="E248" s="401">
        <v>3638286</v>
      </c>
      <c r="F248" s="402">
        <v>3145725</v>
      </c>
      <c r="G248" s="401">
        <v>2557197</v>
      </c>
      <c r="H248" s="68"/>
      <c r="I248" s="200"/>
      <c r="J248" s="200"/>
      <c r="K248" s="200"/>
      <c r="L248" s="200"/>
      <c r="M248" s="204"/>
      <c r="N248" s="200"/>
    </row>
    <row r="249" spans="1:14" s="209" customFormat="1">
      <c r="A249" s="335" t="s">
        <v>423</v>
      </c>
      <c r="B249" s="210" t="s">
        <v>12</v>
      </c>
      <c r="C249" s="401">
        <v>34893</v>
      </c>
      <c r="D249" s="401">
        <v>38056</v>
      </c>
      <c r="E249" s="401">
        <v>34507</v>
      </c>
      <c r="F249" s="402">
        <v>31736</v>
      </c>
      <c r="G249" s="401">
        <v>24146</v>
      </c>
      <c r="H249" s="68"/>
      <c r="I249" s="200"/>
      <c r="J249" s="200"/>
      <c r="K249" s="200"/>
      <c r="L249" s="200"/>
      <c r="M249" s="204"/>
      <c r="N249" s="200"/>
    </row>
    <row r="250" spans="1:14" s="209" customFormat="1" ht="17">
      <c r="A250" s="418" t="s">
        <v>138</v>
      </c>
      <c r="B250" s="417" t="s">
        <v>138</v>
      </c>
      <c r="C250" s="401">
        <v>5340399</v>
      </c>
      <c r="D250" s="401">
        <v>4696834</v>
      </c>
      <c r="E250" s="401">
        <v>3917881</v>
      </c>
      <c r="F250" s="402">
        <v>3401453</v>
      </c>
      <c r="G250" s="401">
        <v>2791058</v>
      </c>
      <c r="H250" s="410"/>
      <c r="I250" s="200"/>
      <c r="J250" s="200"/>
      <c r="K250" s="200"/>
      <c r="L250" s="200"/>
      <c r="M250" s="204"/>
      <c r="N250" s="200"/>
    </row>
    <row r="251" spans="1:14" s="209" customFormat="1">
      <c r="B251" s="208"/>
      <c r="C251" s="68"/>
      <c r="D251" s="68"/>
      <c r="E251" s="68"/>
      <c r="F251" s="344"/>
      <c r="G251" s="68"/>
      <c r="H251" s="68"/>
      <c r="I251" s="200"/>
      <c r="J251" s="200"/>
      <c r="K251" s="200"/>
      <c r="L251" s="200"/>
      <c r="M251" s="204"/>
      <c r="N251" s="200"/>
    </row>
    <row r="252" spans="1:14" s="209" customFormat="1" ht="28">
      <c r="B252" s="208" t="s">
        <v>15</v>
      </c>
      <c r="C252" s="68"/>
      <c r="D252" s="68"/>
      <c r="E252" s="68"/>
      <c r="F252" s="344"/>
      <c r="G252" s="68"/>
      <c r="H252" s="68"/>
      <c r="I252" s="200"/>
      <c r="J252" s="200"/>
      <c r="K252" s="200"/>
      <c r="L252" s="200"/>
      <c r="M252" s="204"/>
      <c r="N252" s="200"/>
    </row>
    <row r="253" spans="1:14" s="209" customFormat="1">
      <c r="A253" s="335" t="s">
        <v>424</v>
      </c>
      <c r="B253" s="203" t="s">
        <v>23</v>
      </c>
      <c r="C253" s="401">
        <v>330393</v>
      </c>
      <c r="D253" s="401">
        <v>303908</v>
      </c>
      <c r="E253" s="401">
        <v>279595</v>
      </c>
      <c r="F253" s="402">
        <v>255728</v>
      </c>
      <c r="G253" s="401">
        <v>233861</v>
      </c>
      <c r="H253" s="68"/>
      <c r="I253" s="200"/>
      <c r="J253" s="200"/>
      <c r="K253" s="200"/>
      <c r="L253" s="200"/>
      <c r="M253" s="204"/>
      <c r="N253" s="200"/>
    </row>
    <row r="254" spans="1:14" s="209" customFormat="1">
      <c r="A254" s="16"/>
      <c r="B254" s="205"/>
      <c r="C254" s="68"/>
      <c r="D254" s="68"/>
      <c r="E254" s="68"/>
      <c r="F254" s="344"/>
      <c r="G254" s="68"/>
      <c r="H254" s="68"/>
      <c r="I254" s="200"/>
      <c r="J254" s="200"/>
      <c r="K254" s="200"/>
      <c r="L254" s="200"/>
      <c r="M254" s="204"/>
      <c r="N254" s="200"/>
    </row>
    <row r="255" spans="1:14" s="209" customFormat="1">
      <c r="A255" s="16"/>
      <c r="B255" s="205"/>
      <c r="C255" s="68"/>
      <c r="D255" s="68"/>
      <c r="E255" s="68"/>
      <c r="F255" s="344"/>
      <c r="G255" s="68"/>
      <c r="H255" s="68"/>
      <c r="I255" s="200"/>
      <c r="J255" s="200"/>
      <c r="K255" s="200"/>
      <c r="L255" s="200"/>
      <c r="M255" s="204"/>
      <c r="N255" s="200"/>
    </row>
    <row r="256" spans="1:14" s="209" customFormat="1">
      <c r="A256" s="336" t="s">
        <v>440</v>
      </c>
      <c r="B256" s="205"/>
      <c r="C256" s="403">
        <v>2007</v>
      </c>
      <c r="D256" s="403">
        <v>2006</v>
      </c>
      <c r="E256" s="403">
        <v>2005</v>
      </c>
      <c r="F256" s="346" t="s">
        <v>438</v>
      </c>
      <c r="G256" s="403">
        <v>2003</v>
      </c>
      <c r="H256" s="68"/>
      <c r="I256" s="200"/>
      <c r="J256" s="200"/>
      <c r="K256" s="200"/>
      <c r="L256" s="200"/>
      <c r="M256" s="204"/>
      <c r="N256" s="200"/>
    </row>
    <row r="257" spans="1:14" s="209" customFormat="1" ht="28">
      <c r="A257" s="335" t="s">
        <v>421</v>
      </c>
      <c r="B257" s="211" t="s">
        <v>11</v>
      </c>
      <c r="C257" s="401">
        <v>95</v>
      </c>
      <c r="D257" s="401">
        <v>88467</v>
      </c>
      <c r="E257" s="401">
        <v>84505</v>
      </c>
      <c r="F257" s="402">
        <v>70892</v>
      </c>
      <c r="G257" s="401">
        <v>64013</v>
      </c>
      <c r="H257" s="68"/>
      <c r="I257" s="200"/>
      <c r="J257" s="200"/>
      <c r="K257" s="200"/>
      <c r="L257" s="200"/>
      <c r="M257" s="204"/>
      <c r="N257" s="200"/>
    </row>
    <row r="258" spans="1:14" s="209" customFormat="1">
      <c r="B258" s="208" t="s">
        <v>2</v>
      </c>
      <c r="C258" s="68"/>
      <c r="D258" s="68"/>
      <c r="E258" s="68"/>
      <c r="F258" s="344"/>
      <c r="G258" s="68"/>
      <c r="H258" s="68"/>
      <c r="I258" s="200"/>
      <c r="J258" s="200"/>
      <c r="K258" s="200"/>
      <c r="L258" s="200"/>
      <c r="M258" s="204"/>
      <c r="N258" s="200"/>
    </row>
    <row r="259" spans="1:14" s="209" customFormat="1">
      <c r="B259" s="208" t="s">
        <v>3</v>
      </c>
      <c r="C259" s="68"/>
      <c r="D259" s="68"/>
      <c r="E259" s="68"/>
      <c r="F259" s="344"/>
      <c r="G259" s="68"/>
      <c r="H259" s="68"/>
      <c r="I259" s="200"/>
      <c r="J259" s="200"/>
      <c r="K259" s="200"/>
      <c r="L259" s="200"/>
      <c r="M259" s="204"/>
      <c r="N259" s="200"/>
    </row>
    <row r="260" spans="1:14" s="209" customFormat="1">
      <c r="A260" s="335" t="s">
        <v>422</v>
      </c>
      <c r="B260" s="206" t="s">
        <v>8</v>
      </c>
      <c r="C260" s="401">
        <v>3135</v>
      </c>
      <c r="D260" s="401">
        <v>2935317</v>
      </c>
      <c r="E260" s="401">
        <v>2665103</v>
      </c>
      <c r="F260" s="402">
        <v>2396727</v>
      </c>
      <c r="G260" s="401">
        <v>0</v>
      </c>
      <c r="H260" s="68"/>
      <c r="I260" s="200"/>
      <c r="J260" s="200"/>
      <c r="K260" s="200"/>
      <c r="L260" s="200"/>
      <c r="M260" s="204"/>
      <c r="N260" s="200"/>
    </row>
    <row r="261" spans="1:14" s="209" customFormat="1">
      <c r="A261" s="335" t="s">
        <v>423</v>
      </c>
      <c r="B261" s="210" t="s">
        <v>12</v>
      </c>
      <c r="C261" s="401">
        <v>24</v>
      </c>
      <c r="D261" s="401">
        <v>26540</v>
      </c>
      <c r="E261" s="401">
        <v>23482</v>
      </c>
      <c r="F261" s="402">
        <v>18436</v>
      </c>
      <c r="G261" s="401">
        <v>18055</v>
      </c>
      <c r="H261" s="68"/>
      <c r="I261" s="200"/>
      <c r="J261" s="200"/>
      <c r="K261" s="200"/>
      <c r="L261" s="200"/>
      <c r="M261" s="204"/>
      <c r="N261" s="200"/>
    </row>
    <row r="262" spans="1:14" s="209" customFormat="1">
      <c r="A262" s="418" t="s">
        <v>138</v>
      </c>
      <c r="B262" s="417" t="s">
        <v>138</v>
      </c>
      <c r="C262" s="401">
        <v>3414</v>
      </c>
      <c r="D262" s="401">
        <v>3200064</v>
      </c>
      <c r="E262" s="401">
        <v>2908593</v>
      </c>
      <c r="F262" s="402">
        <v>2609443</v>
      </c>
      <c r="G262" s="401">
        <v>0</v>
      </c>
      <c r="H262" s="68"/>
      <c r="I262" s="200"/>
      <c r="J262" s="200"/>
      <c r="K262" s="200"/>
      <c r="L262" s="200"/>
      <c r="M262" s="204"/>
      <c r="N262" s="200"/>
    </row>
    <row r="263" spans="1:14" s="209" customFormat="1">
      <c r="B263" s="208"/>
      <c r="C263" s="68"/>
      <c r="D263" s="68"/>
      <c r="E263" s="68"/>
      <c r="F263" s="344"/>
      <c r="G263" s="68"/>
      <c r="H263" s="68"/>
      <c r="I263" s="200"/>
      <c r="J263" s="200"/>
      <c r="K263" s="200"/>
      <c r="L263" s="200"/>
      <c r="M263" s="204"/>
      <c r="N263" s="200"/>
    </row>
    <row r="264" spans="1:14" s="209" customFormat="1" ht="28">
      <c r="B264" s="208" t="s">
        <v>15</v>
      </c>
      <c r="C264" s="68"/>
      <c r="D264" s="68"/>
      <c r="E264" s="68"/>
      <c r="F264" s="344"/>
      <c r="G264" s="68"/>
      <c r="H264" s="68"/>
      <c r="I264" s="200"/>
      <c r="J264" s="200"/>
      <c r="K264" s="200"/>
      <c r="L264" s="200"/>
      <c r="M264" s="204"/>
      <c r="N264" s="200"/>
    </row>
    <row r="265" spans="1:14" s="209" customFormat="1">
      <c r="A265" s="335" t="s">
        <v>424</v>
      </c>
      <c r="B265" s="203" t="s">
        <v>23</v>
      </c>
      <c r="C265" s="401">
        <v>279</v>
      </c>
      <c r="D265" s="401">
        <v>264747</v>
      </c>
      <c r="E265" s="401">
        <v>243489</v>
      </c>
      <c r="F265" s="402">
        <v>212470</v>
      </c>
      <c r="G265" s="401">
        <v>0</v>
      </c>
      <c r="H265" s="68"/>
      <c r="I265" s="200"/>
      <c r="J265" s="200"/>
      <c r="K265" s="200"/>
      <c r="L265" s="200"/>
      <c r="M265" s="204"/>
      <c r="N265" s="200"/>
    </row>
    <row r="266" spans="1:14" s="209" customFormat="1">
      <c r="A266" s="16"/>
      <c r="B266" s="205"/>
      <c r="C266" s="68"/>
      <c r="D266" s="68"/>
      <c r="E266" s="68"/>
      <c r="F266" s="344"/>
      <c r="G266" s="68"/>
      <c r="H266" s="68"/>
      <c r="I266" s="200"/>
      <c r="J266" s="200"/>
      <c r="K266" s="200"/>
      <c r="L266" s="200"/>
      <c r="M266" s="204"/>
      <c r="N266" s="200"/>
    </row>
    <row r="267" spans="1:14" s="209" customFormat="1">
      <c r="A267" s="16"/>
      <c r="B267" s="205"/>
      <c r="C267" s="68"/>
      <c r="D267" s="68"/>
      <c r="E267" s="68"/>
      <c r="F267" s="344"/>
      <c r="G267" s="68"/>
      <c r="H267" s="68"/>
      <c r="I267" s="200"/>
      <c r="J267" s="200"/>
      <c r="K267" s="200"/>
      <c r="L267" s="200"/>
      <c r="M267" s="204"/>
      <c r="N267" s="200"/>
    </row>
    <row r="268" spans="1:14" s="209" customFormat="1">
      <c r="A268" s="336" t="s">
        <v>442</v>
      </c>
      <c r="B268" s="205"/>
      <c r="C268" s="403">
        <v>2007</v>
      </c>
      <c r="D268" s="403">
        <v>2006</v>
      </c>
      <c r="E268" s="403">
        <v>2005</v>
      </c>
      <c r="F268" s="346" t="s">
        <v>438</v>
      </c>
      <c r="G268" s="403">
        <v>2003</v>
      </c>
      <c r="H268" s="68"/>
      <c r="I268" s="200"/>
      <c r="J268" s="200"/>
      <c r="K268" s="200"/>
      <c r="L268" s="200"/>
      <c r="M268" s="204"/>
      <c r="N268" s="200"/>
    </row>
    <row r="269" spans="1:14" s="209" customFormat="1" ht="28">
      <c r="A269" s="335" t="s">
        <v>421</v>
      </c>
      <c r="B269" s="211" t="s">
        <v>11</v>
      </c>
      <c r="C269" s="401">
        <v>1041000</v>
      </c>
      <c r="D269" s="401">
        <v>936000</v>
      </c>
      <c r="E269" s="401">
        <v>921000</v>
      </c>
      <c r="F269" s="402">
        <v>857000</v>
      </c>
      <c r="G269" s="401">
        <v>803000</v>
      </c>
      <c r="H269" s="68"/>
      <c r="I269" s="200"/>
      <c r="J269" s="200"/>
      <c r="K269" s="200"/>
      <c r="L269" s="200"/>
      <c r="M269" s="204"/>
      <c r="N269" s="200"/>
    </row>
    <row r="270" spans="1:14" s="209" customFormat="1">
      <c r="B270" s="208" t="s">
        <v>2</v>
      </c>
      <c r="C270" s="68"/>
      <c r="D270" s="68"/>
      <c r="E270" s="68"/>
      <c r="F270" s="344"/>
      <c r="G270" s="68"/>
      <c r="H270" s="68"/>
      <c r="I270" s="200"/>
      <c r="J270" s="200"/>
      <c r="K270" s="200"/>
      <c r="L270" s="200"/>
      <c r="M270" s="204"/>
      <c r="N270" s="200"/>
    </row>
    <row r="271" spans="1:14" s="209" customFormat="1">
      <c r="B271" s="208" t="s">
        <v>3</v>
      </c>
      <c r="C271" s="68"/>
      <c r="D271" s="68"/>
      <c r="E271" s="68"/>
      <c r="F271" s="344"/>
      <c r="G271" s="68"/>
      <c r="H271" s="68"/>
      <c r="I271" s="200"/>
      <c r="J271" s="200"/>
      <c r="K271" s="200"/>
      <c r="L271" s="200"/>
      <c r="M271" s="204"/>
      <c r="N271" s="200"/>
    </row>
    <row r="272" spans="1:14" s="209" customFormat="1">
      <c r="A272" s="335" t="s">
        <v>422</v>
      </c>
      <c r="B272" s="206" t="s">
        <v>8</v>
      </c>
      <c r="C272" s="401">
        <v>34169000</v>
      </c>
      <c r="D272" s="401">
        <v>31818000</v>
      </c>
      <c r="E272" s="401">
        <v>27029000</v>
      </c>
      <c r="F272" s="402">
        <v>23786000</v>
      </c>
      <c r="G272" s="401">
        <v>20757000</v>
      </c>
      <c r="H272" s="68"/>
      <c r="I272" s="200"/>
      <c r="J272" s="200"/>
      <c r="K272" s="200"/>
      <c r="L272" s="200"/>
      <c r="M272" s="204"/>
      <c r="N272" s="200"/>
    </row>
    <row r="273" spans="1:14" s="209" customFormat="1">
      <c r="A273" s="335" t="s">
        <v>423</v>
      </c>
      <c r="B273" s="210" t="s">
        <v>12</v>
      </c>
      <c r="C273" s="401">
        <v>349000</v>
      </c>
      <c r="D273" s="401">
        <v>309000</v>
      </c>
      <c r="E273" s="401">
        <v>321000</v>
      </c>
      <c r="F273" s="402">
        <v>270000</v>
      </c>
      <c r="G273" s="401">
        <v>214000</v>
      </c>
      <c r="H273" s="68"/>
      <c r="I273" s="200"/>
      <c r="J273" s="200"/>
      <c r="K273" s="200"/>
      <c r="L273" s="200"/>
      <c r="M273" s="204"/>
      <c r="N273" s="200"/>
    </row>
    <row r="274" spans="1:14" s="209" customFormat="1">
      <c r="A274" s="418" t="s">
        <v>138</v>
      </c>
      <c r="B274" s="417" t="s">
        <v>138</v>
      </c>
      <c r="C274" s="401">
        <v>38009000</v>
      </c>
      <c r="D274" s="401">
        <v>35478000</v>
      </c>
      <c r="E274" s="401">
        <v>30292000</v>
      </c>
      <c r="F274" s="402">
        <v>26733000</v>
      </c>
      <c r="G274" s="401">
        <v>23438000</v>
      </c>
      <c r="H274" s="68"/>
      <c r="I274" s="200"/>
      <c r="J274" s="200"/>
      <c r="K274" s="200"/>
      <c r="L274" s="200"/>
      <c r="M274" s="204"/>
      <c r="N274" s="200"/>
    </row>
    <row r="275" spans="1:14" s="209" customFormat="1">
      <c r="B275" s="208"/>
      <c r="C275" s="68"/>
      <c r="D275" s="68"/>
      <c r="E275" s="68"/>
      <c r="F275" s="344"/>
      <c r="G275" s="68"/>
      <c r="H275" s="68"/>
      <c r="I275" s="200"/>
      <c r="J275" s="200"/>
      <c r="K275" s="200"/>
      <c r="L275" s="200"/>
      <c r="M275" s="204"/>
      <c r="N275" s="200"/>
    </row>
    <row r="276" spans="1:14" s="209" customFormat="1" ht="28">
      <c r="B276" s="208" t="s">
        <v>15</v>
      </c>
      <c r="C276" s="68"/>
      <c r="D276" s="68"/>
      <c r="E276" s="68"/>
      <c r="F276" s="344"/>
      <c r="G276" s="68"/>
      <c r="H276" s="68"/>
      <c r="I276" s="200"/>
      <c r="J276" s="200"/>
      <c r="K276" s="200"/>
      <c r="L276" s="200"/>
      <c r="M276" s="204"/>
      <c r="N276" s="200"/>
    </row>
    <row r="277" spans="1:14" s="209" customFormat="1">
      <c r="A277" s="335" t="s">
        <v>424</v>
      </c>
      <c r="B277" s="203" t="s">
        <v>23</v>
      </c>
      <c r="C277" s="401">
        <v>3840000</v>
      </c>
      <c r="D277" s="401">
        <v>3660000</v>
      </c>
      <c r="E277" s="401">
        <v>3263000</v>
      </c>
      <c r="F277" s="402">
        <v>2947000</v>
      </c>
      <c r="G277" s="401">
        <v>2681000</v>
      </c>
      <c r="H277" s="68"/>
      <c r="I277" s="200"/>
      <c r="J277" s="200"/>
      <c r="K277" s="200"/>
      <c r="L277" s="200"/>
      <c r="M277" s="204"/>
      <c r="N277" s="200"/>
    </row>
    <row r="278" spans="1:14" s="209" customFormat="1">
      <c r="A278" s="16"/>
      <c r="B278" s="205"/>
      <c r="C278" s="68"/>
      <c r="D278" s="68"/>
      <c r="E278" s="68"/>
      <c r="F278" s="344"/>
      <c r="G278" s="68"/>
      <c r="H278" s="68"/>
      <c r="I278" s="200"/>
      <c r="J278" s="200"/>
      <c r="K278" s="200"/>
      <c r="L278" s="200"/>
      <c r="M278" s="204"/>
      <c r="N278" s="200"/>
    </row>
    <row r="279" spans="1:14" s="209" customFormat="1">
      <c r="A279" s="16"/>
      <c r="B279" s="205"/>
      <c r="C279" s="68"/>
      <c r="D279" s="68"/>
      <c r="E279" s="68"/>
      <c r="F279" s="344"/>
      <c r="G279" s="68"/>
      <c r="H279" s="68"/>
      <c r="I279" s="200"/>
      <c r="J279" s="200"/>
      <c r="K279" s="200"/>
      <c r="L279" s="200"/>
      <c r="M279" s="204"/>
      <c r="N279" s="200"/>
    </row>
    <row r="280" spans="1:14" s="209" customFormat="1">
      <c r="A280" s="336" t="s">
        <v>443</v>
      </c>
      <c r="B280" s="205"/>
      <c r="C280" s="403">
        <v>2007</v>
      </c>
      <c r="D280" s="403">
        <v>2006</v>
      </c>
      <c r="E280" s="403">
        <v>2005</v>
      </c>
      <c r="F280" s="346" t="s">
        <v>438</v>
      </c>
      <c r="G280" s="403">
        <v>2003</v>
      </c>
      <c r="H280" s="68"/>
      <c r="I280" s="200"/>
      <c r="J280" s="200"/>
      <c r="K280" s="200"/>
      <c r="L280" s="200"/>
      <c r="M280" s="204"/>
      <c r="N280" s="200"/>
    </row>
    <row r="281" spans="1:14" s="209" customFormat="1" ht="28">
      <c r="A281" s="335" t="s">
        <v>421</v>
      </c>
      <c r="B281" s="211" t="s">
        <v>11</v>
      </c>
      <c r="C281" s="401">
        <v>1872000</v>
      </c>
      <c r="D281" s="401">
        <v>1807000</v>
      </c>
      <c r="E281" s="401">
        <v>1667000</v>
      </c>
      <c r="F281" s="402">
        <v>1524000</v>
      </c>
      <c r="G281" s="401">
        <v>1405000</v>
      </c>
      <c r="H281" s="68"/>
      <c r="I281" s="200"/>
      <c r="J281" s="200"/>
      <c r="K281" s="200"/>
      <c r="L281" s="200"/>
      <c r="M281" s="204"/>
      <c r="N281" s="200"/>
    </row>
    <row r="282" spans="1:14" s="209" customFormat="1">
      <c r="B282" s="208" t="s">
        <v>2</v>
      </c>
      <c r="C282" s="68"/>
      <c r="D282" s="68"/>
      <c r="E282" s="68"/>
      <c r="F282" s="344"/>
      <c r="G282" s="68"/>
      <c r="H282" s="68"/>
      <c r="I282" s="200"/>
      <c r="J282" s="200"/>
      <c r="K282" s="200"/>
      <c r="L282" s="200"/>
      <c r="M282" s="204"/>
      <c r="N282" s="200"/>
    </row>
    <row r="283" spans="1:14" s="209" customFormat="1">
      <c r="B283" s="208" t="s">
        <v>3</v>
      </c>
      <c r="C283" s="68"/>
      <c r="D283" s="68"/>
      <c r="E283" s="68"/>
      <c r="F283" s="344"/>
      <c r="G283" s="68"/>
      <c r="H283" s="68"/>
      <c r="I283" s="200"/>
      <c r="J283" s="200"/>
      <c r="K283" s="200"/>
      <c r="L283" s="200"/>
      <c r="M283" s="204"/>
      <c r="N283" s="200"/>
    </row>
    <row r="284" spans="1:14" s="209" customFormat="1">
      <c r="A284" s="335" t="s">
        <v>422</v>
      </c>
      <c r="B284" s="206" t="s">
        <v>8</v>
      </c>
      <c r="C284" s="401">
        <v>56715000</v>
      </c>
      <c r="D284" s="401">
        <v>51438000</v>
      </c>
      <c r="E284" s="401">
        <v>45683000</v>
      </c>
      <c r="F284" s="402">
        <v>39653000</v>
      </c>
      <c r="G284" s="401">
        <v>38534000</v>
      </c>
      <c r="H284" s="68"/>
      <c r="I284" s="200"/>
      <c r="J284" s="200"/>
      <c r="K284" s="200"/>
      <c r="L284" s="200"/>
      <c r="M284" s="204"/>
      <c r="N284" s="200"/>
    </row>
    <row r="285" spans="1:14" s="209" customFormat="1">
      <c r="A285" s="335" t="s">
        <v>423</v>
      </c>
      <c r="B285" s="210" t="s">
        <v>12</v>
      </c>
      <c r="C285" s="401">
        <v>703000</v>
      </c>
      <c r="D285" s="401">
        <v>762000</v>
      </c>
      <c r="E285" s="401">
        <v>555000</v>
      </c>
      <c r="F285" s="402">
        <v>364000</v>
      </c>
      <c r="G285" s="401">
        <v>210000</v>
      </c>
      <c r="H285" s="401"/>
      <c r="I285" s="200"/>
      <c r="J285" s="200"/>
      <c r="K285" s="200"/>
      <c r="L285" s="200"/>
      <c r="M285" s="204"/>
      <c r="N285" s="200"/>
    </row>
    <row r="286" spans="1:14" s="209" customFormat="1">
      <c r="A286" s="418" t="s">
        <v>138</v>
      </c>
      <c r="B286" s="417" t="s">
        <v>138</v>
      </c>
      <c r="C286" s="401">
        <v>60819000</v>
      </c>
      <c r="D286" s="401">
        <v>54962000</v>
      </c>
      <c r="E286" s="401">
        <v>48630000</v>
      </c>
      <c r="F286" s="402">
        <v>42245000</v>
      </c>
      <c r="G286" s="401">
        <v>40892000</v>
      </c>
      <c r="H286" s="68"/>
      <c r="I286" s="200"/>
      <c r="J286" s="200"/>
      <c r="K286" s="200"/>
      <c r="L286" s="200"/>
      <c r="M286" s="204"/>
      <c r="N286" s="200"/>
    </row>
    <row r="287" spans="1:14" s="209" customFormat="1">
      <c r="B287" s="208"/>
      <c r="C287" s="68"/>
      <c r="D287" s="68"/>
      <c r="E287" s="68"/>
      <c r="F287" s="344"/>
      <c r="G287" s="68"/>
      <c r="H287" s="68"/>
      <c r="I287" s="200"/>
      <c r="J287" s="200"/>
      <c r="K287" s="200"/>
      <c r="L287" s="200"/>
      <c r="M287" s="204"/>
      <c r="N287" s="200"/>
    </row>
    <row r="288" spans="1:14" s="209" customFormat="1" ht="28">
      <c r="B288" s="208" t="s">
        <v>15</v>
      </c>
      <c r="C288" s="68"/>
      <c r="D288" s="68"/>
      <c r="E288" s="68"/>
      <c r="F288" s="344"/>
      <c r="G288" s="68"/>
      <c r="H288" s="68"/>
      <c r="I288" s="200"/>
      <c r="J288" s="200"/>
      <c r="K288" s="200"/>
      <c r="L288" s="200"/>
      <c r="M288" s="204"/>
      <c r="N288" s="200"/>
    </row>
    <row r="289" spans="1:14" s="209" customFormat="1">
      <c r="A289" s="335" t="s">
        <v>424</v>
      </c>
      <c r="B289" s="203" t="s">
        <v>23</v>
      </c>
      <c r="C289" s="401">
        <v>4104000</v>
      </c>
      <c r="D289" s="401">
        <v>3524000</v>
      </c>
      <c r="E289" s="401">
        <v>2947000</v>
      </c>
      <c r="F289" s="402">
        <v>2587000</v>
      </c>
      <c r="G289" s="401">
        <v>2355000</v>
      </c>
      <c r="H289" s="68"/>
      <c r="I289" s="200"/>
      <c r="J289" s="200"/>
      <c r="K289" s="200"/>
      <c r="L289" s="200"/>
      <c r="M289" s="204"/>
      <c r="N289" s="200"/>
    </row>
    <row r="290" spans="1:14" s="209" customFormat="1">
      <c r="A290" s="16"/>
      <c r="B290" s="205"/>
      <c r="C290" s="68"/>
      <c r="D290" s="68"/>
      <c r="E290" s="68"/>
      <c r="F290" s="344"/>
      <c r="G290" s="68"/>
      <c r="H290" s="68"/>
      <c r="I290" s="200"/>
      <c r="J290" s="200"/>
      <c r="K290" s="200"/>
      <c r="L290" s="200"/>
      <c r="M290" s="204"/>
      <c r="N290" s="200"/>
    </row>
    <row r="291" spans="1:14" s="209" customFormat="1">
      <c r="A291" s="16"/>
      <c r="B291" s="205"/>
      <c r="C291" s="68"/>
      <c r="D291" s="68"/>
      <c r="E291" s="68"/>
      <c r="F291" s="344"/>
      <c r="G291" s="68"/>
      <c r="H291" s="68"/>
      <c r="I291" s="200"/>
      <c r="J291" s="200"/>
      <c r="K291" s="200"/>
      <c r="L291" s="200"/>
      <c r="M291" s="204"/>
      <c r="N291" s="200"/>
    </row>
    <row r="292" spans="1:14" s="165" customFormat="1">
      <c r="A292" s="163"/>
      <c r="B292" s="404"/>
      <c r="C292" s="405"/>
      <c r="D292" s="405"/>
      <c r="E292" s="405"/>
      <c r="F292" s="406"/>
      <c r="G292" s="405"/>
      <c r="H292" s="405"/>
      <c r="M292" s="407"/>
    </row>
    <row r="293" spans="1:14" s="209" customFormat="1">
      <c r="A293" s="16"/>
      <c r="B293" s="205"/>
      <c r="C293" s="68"/>
      <c r="D293" s="68"/>
      <c r="E293" s="68"/>
      <c r="F293" s="344"/>
      <c r="G293" s="68"/>
      <c r="H293" s="68"/>
      <c r="I293" s="200"/>
      <c r="J293" s="200"/>
      <c r="K293" s="200"/>
      <c r="L293" s="200"/>
      <c r="M293" s="204"/>
      <c r="N293" s="200"/>
    </row>
    <row r="294" spans="1:14" s="209" customFormat="1">
      <c r="A294" s="50" t="s">
        <v>244</v>
      </c>
      <c r="B294" s="205"/>
      <c r="C294" s="68"/>
      <c r="D294" s="68"/>
      <c r="E294" s="68"/>
      <c r="F294" s="344"/>
      <c r="G294" s="68"/>
      <c r="H294" s="68"/>
      <c r="I294" s="200"/>
      <c r="J294" s="200"/>
      <c r="K294" s="200"/>
      <c r="L294" s="200"/>
      <c r="M294" s="204"/>
      <c r="N294" s="200"/>
    </row>
    <row r="295" spans="1:14" s="209" customFormat="1">
      <c r="A295" s="336" t="s">
        <v>437</v>
      </c>
      <c r="B295" s="408" t="s">
        <v>435</v>
      </c>
      <c r="C295" s="403">
        <v>2012</v>
      </c>
      <c r="D295" s="403">
        <v>2011</v>
      </c>
      <c r="E295" s="403">
        <v>2010</v>
      </c>
      <c r="F295" s="346" t="s">
        <v>444</v>
      </c>
      <c r="G295" s="403">
        <v>2008</v>
      </c>
      <c r="H295" s="68"/>
      <c r="I295" s="200"/>
      <c r="J295" s="200"/>
      <c r="K295" s="200"/>
      <c r="L295" s="200"/>
      <c r="M295" s="204"/>
      <c r="N295" s="200"/>
    </row>
    <row r="296" spans="1:14" s="209" customFormat="1" ht="28">
      <c r="A296" s="335" t="s">
        <v>421</v>
      </c>
      <c r="B296" s="211" t="s">
        <v>11</v>
      </c>
      <c r="C296" s="401">
        <v>932239</v>
      </c>
      <c r="D296" s="401">
        <v>608568</v>
      </c>
      <c r="E296" s="401">
        <v>568263</v>
      </c>
      <c r="F296" s="402">
        <v>477695</v>
      </c>
      <c r="G296" s="401">
        <v>582431</v>
      </c>
      <c r="H296" s="68"/>
      <c r="I296" s="200"/>
      <c r="J296" s="200"/>
      <c r="K296" s="200"/>
      <c r="L296" s="200"/>
      <c r="M296" s="204"/>
      <c r="N296" s="200"/>
    </row>
    <row r="297" spans="1:14" s="209" customFormat="1">
      <c r="B297" s="208" t="s">
        <v>2</v>
      </c>
      <c r="C297" s="68"/>
      <c r="D297" s="68"/>
      <c r="E297" s="68"/>
      <c r="F297" s="344"/>
      <c r="G297" s="68"/>
      <c r="H297" s="68"/>
      <c r="I297" s="200"/>
      <c r="J297" s="200"/>
      <c r="K297" s="200"/>
      <c r="L297" s="200"/>
      <c r="M297" s="204"/>
      <c r="N297" s="200"/>
    </row>
    <row r="298" spans="1:14" s="209" customFormat="1">
      <c r="B298" s="208" t="s">
        <v>3</v>
      </c>
      <c r="C298" s="68"/>
      <c r="D298" s="68"/>
      <c r="E298" s="68"/>
      <c r="F298" s="344"/>
      <c r="G298" s="68"/>
      <c r="H298" s="68"/>
      <c r="I298" s="200"/>
      <c r="J298" s="200"/>
      <c r="K298" s="200"/>
      <c r="L298" s="200"/>
      <c r="M298" s="204"/>
      <c r="N298" s="200"/>
    </row>
    <row r="299" spans="1:14" s="209" customFormat="1">
      <c r="A299" s="335" t="s">
        <v>422</v>
      </c>
      <c r="B299" s="206" t="s">
        <v>8</v>
      </c>
      <c r="C299" s="401">
        <v>492361</v>
      </c>
      <c r="D299" s="401">
        <v>360161</v>
      </c>
      <c r="E299" s="401">
        <v>308145</v>
      </c>
      <c r="F299" s="402">
        <v>304423</v>
      </c>
      <c r="G299" s="401">
        <v>293254</v>
      </c>
      <c r="H299" s="68"/>
      <c r="I299" s="200"/>
      <c r="J299" s="200"/>
      <c r="K299" s="200"/>
      <c r="L299" s="200"/>
      <c r="M299" s="204"/>
      <c r="N299" s="200"/>
    </row>
    <row r="300" spans="1:14" s="209" customFormat="1">
      <c r="A300" s="335" t="s">
        <v>423</v>
      </c>
      <c r="B300" s="210" t="s">
        <v>12</v>
      </c>
      <c r="C300" s="401">
        <v>284534</v>
      </c>
      <c r="D300" s="401">
        <v>170688</v>
      </c>
      <c r="E300" s="401">
        <v>155783</v>
      </c>
      <c r="F300" s="402">
        <v>162470</v>
      </c>
      <c r="G300" s="401">
        <v>113791</v>
      </c>
      <c r="H300" s="68"/>
      <c r="I300" s="200"/>
      <c r="J300" s="200"/>
      <c r="K300" s="200"/>
      <c r="L300" s="200"/>
      <c r="M300" s="204"/>
      <c r="N300" s="200"/>
    </row>
    <row r="301" spans="1:14" s="209" customFormat="1">
      <c r="A301" s="418" t="s">
        <v>138</v>
      </c>
      <c r="B301" s="417" t="s">
        <v>138</v>
      </c>
      <c r="C301" s="401">
        <v>1660722</v>
      </c>
      <c r="D301" s="401">
        <v>1333183</v>
      </c>
      <c r="E301" s="401">
        <v>1216917</v>
      </c>
      <c r="F301" s="402">
        <v>1144278</v>
      </c>
      <c r="G301" s="401">
        <v>954317</v>
      </c>
      <c r="H301" s="68"/>
      <c r="I301" s="200"/>
      <c r="J301" s="200"/>
      <c r="K301" s="200"/>
      <c r="L301" s="200"/>
      <c r="M301" s="204"/>
      <c r="N301" s="200"/>
    </row>
    <row r="302" spans="1:14" s="209" customFormat="1">
      <c r="B302" s="208"/>
      <c r="C302" s="68"/>
      <c r="D302" s="68"/>
      <c r="E302" s="68"/>
      <c r="F302" s="344"/>
      <c r="G302" s="68"/>
      <c r="H302" s="68"/>
      <c r="I302" s="200"/>
      <c r="J302" s="200"/>
      <c r="K302" s="200"/>
      <c r="L302" s="200"/>
      <c r="M302" s="204"/>
      <c r="N302" s="200"/>
    </row>
    <row r="303" spans="1:14" s="209" customFormat="1" ht="28">
      <c r="B303" s="208" t="s">
        <v>15</v>
      </c>
      <c r="C303" s="68"/>
      <c r="D303" s="68"/>
      <c r="E303" s="68"/>
      <c r="F303" s="344"/>
      <c r="G303" s="68"/>
      <c r="H303" s="68"/>
      <c r="I303" s="200"/>
      <c r="J303" s="200"/>
      <c r="K303" s="200"/>
      <c r="L303" s="200"/>
      <c r="M303" s="204"/>
      <c r="N303" s="200"/>
    </row>
    <row r="304" spans="1:14" s="209" customFormat="1">
      <c r="A304" s="335" t="s">
        <v>424</v>
      </c>
      <c r="B304" s="203" t="s">
        <v>23</v>
      </c>
      <c r="C304" s="401">
        <v>1168361</v>
      </c>
      <c r="D304" s="401">
        <v>973021</v>
      </c>
      <c r="E304" s="401">
        <v>908771</v>
      </c>
      <c r="F304" s="402">
        <v>839856</v>
      </c>
      <c r="G304" s="401">
        <v>661063</v>
      </c>
      <c r="H304" s="68"/>
      <c r="I304" s="200"/>
      <c r="J304" s="200"/>
      <c r="K304" s="200"/>
      <c r="L304" s="200"/>
      <c r="M304" s="204"/>
      <c r="N304" s="200"/>
    </row>
    <row r="305" spans="1:14" s="209" customFormat="1">
      <c r="A305" s="16"/>
      <c r="B305" s="205"/>
      <c r="C305" s="68"/>
      <c r="D305" s="68"/>
      <c r="E305" s="68"/>
      <c r="F305" s="344"/>
      <c r="G305" s="68"/>
      <c r="H305" s="68"/>
      <c r="I305" s="200"/>
      <c r="J305" s="200"/>
      <c r="K305" s="200"/>
      <c r="L305" s="200"/>
      <c r="M305" s="204"/>
      <c r="N305" s="200"/>
    </row>
    <row r="306" spans="1:14" s="209" customFormat="1">
      <c r="A306" s="16"/>
      <c r="B306" s="205"/>
      <c r="C306" s="68"/>
      <c r="D306" s="68"/>
      <c r="E306" s="68"/>
      <c r="F306" s="344"/>
      <c r="G306" s="68"/>
      <c r="H306" s="68"/>
      <c r="I306" s="200"/>
      <c r="J306" s="200"/>
      <c r="K306" s="200"/>
      <c r="L306" s="200"/>
      <c r="M306" s="204"/>
      <c r="N306" s="200"/>
    </row>
    <row r="307" spans="1:14" s="209" customFormat="1">
      <c r="A307" s="336" t="s">
        <v>434</v>
      </c>
      <c r="B307" s="408" t="s">
        <v>435</v>
      </c>
      <c r="C307" s="403">
        <v>2012</v>
      </c>
      <c r="D307" s="403">
        <v>2011</v>
      </c>
      <c r="E307" s="403">
        <v>2010</v>
      </c>
      <c r="F307" s="346" t="s">
        <v>444</v>
      </c>
      <c r="G307" s="403">
        <v>2008</v>
      </c>
      <c r="H307" s="68"/>
      <c r="I307" s="200"/>
      <c r="J307" s="200"/>
      <c r="K307" s="200"/>
      <c r="L307" s="200"/>
      <c r="M307" s="204"/>
      <c r="N307" s="200"/>
    </row>
    <row r="308" spans="1:14" s="209" customFormat="1" ht="28">
      <c r="A308" s="335" t="s">
        <v>421</v>
      </c>
      <c r="B308" s="211" t="s">
        <v>11</v>
      </c>
      <c r="C308" s="401">
        <v>1519368</v>
      </c>
      <c r="D308" s="401">
        <v>1253300</v>
      </c>
      <c r="E308" s="401">
        <v>1135100</v>
      </c>
      <c r="F308" s="402">
        <v>1350202</v>
      </c>
      <c r="G308" s="401">
        <v>1917502</v>
      </c>
      <c r="H308" s="68"/>
      <c r="I308" s="200"/>
      <c r="J308" s="200"/>
      <c r="K308" s="200"/>
      <c r="L308" s="200"/>
      <c r="M308" s="204"/>
      <c r="N308" s="200"/>
    </row>
    <row r="309" spans="1:14" s="209" customFormat="1">
      <c r="B309" s="208" t="s">
        <v>2</v>
      </c>
      <c r="C309" s="68"/>
      <c r="D309" s="68"/>
      <c r="E309" s="68"/>
      <c r="F309" s="344"/>
      <c r="G309" s="68"/>
      <c r="H309" s="68"/>
      <c r="I309" s="200"/>
      <c r="J309" s="200"/>
      <c r="K309" s="200"/>
      <c r="L309" s="200"/>
      <c r="M309" s="204"/>
      <c r="N309" s="200"/>
    </row>
    <row r="310" spans="1:14" s="209" customFormat="1">
      <c r="B310" s="208" t="s">
        <v>3</v>
      </c>
      <c r="C310" s="68"/>
      <c r="D310" s="68"/>
      <c r="E310" s="68"/>
      <c r="F310" s="344"/>
      <c r="G310" s="68"/>
      <c r="H310" s="68"/>
      <c r="I310" s="200"/>
      <c r="J310" s="200"/>
      <c r="K310" s="200"/>
      <c r="L310" s="200"/>
      <c r="M310" s="204"/>
      <c r="N310" s="200"/>
    </row>
    <row r="311" spans="1:14" s="209" customFormat="1">
      <c r="A311" s="335" t="s">
        <v>422</v>
      </c>
      <c r="B311" s="206" t="s">
        <v>8</v>
      </c>
      <c r="C311" s="401">
        <v>1352224</v>
      </c>
      <c r="D311" s="401">
        <f>532141+833348</f>
        <v>1365489</v>
      </c>
      <c r="E311" s="401">
        <v>1279699</v>
      </c>
      <c r="F311" s="402">
        <v>1480371</v>
      </c>
      <c r="G311" s="401">
        <v>1925125</v>
      </c>
      <c r="H311" s="68"/>
      <c r="I311" s="200"/>
      <c r="J311" s="200"/>
      <c r="K311" s="200"/>
      <c r="L311" s="200"/>
      <c r="M311" s="204"/>
      <c r="N311" s="200"/>
    </row>
    <row r="312" spans="1:14" s="209" customFormat="1">
      <c r="A312" s="335" t="s">
        <v>423</v>
      </c>
      <c r="B312" s="210" t="s">
        <v>12</v>
      </c>
      <c r="C312" s="401">
        <v>185539</v>
      </c>
      <c r="D312" s="401">
        <v>33700</v>
      </c>
      <c r="E312" s="401">
        <v>-7600</v>
      </c>
      <c r="F312" s="402">
        <v>165825</v>
      </c>
      <c r="G312" s="401">
        <v>417384</v>
      </c>
      <c r="H312" s="68"/>
      <c r="I312" s="200"/>
      <c r="J312" s="200"/>
      <c r="K312" s="200"/>
      <c r="L312" s="200"/>
      <c r="M312" s="204"/>
      <c r="N312" s="200"/>
    </row>
    <row r="313" spans="1:14" s="209" customFormat="1">
      <c r="A313" s="418" t="s">
        <v>138</v>
      </c>
      <c r="B313" s="417" t="s">
        <v>138</v>
      </c>
      <c r="C313" s="401">
        <v>3273983</v>
      </c>
      <c r="D313" s="401">
        <v>3137179</v>
      </c>
      <c r="E313" s="401">
        <v>3001507</v>
      </c>
      <c r="F313" s="402">
        <v>2929408</v>
      </c>
      <c r="G313" s="401">
        <v>3064805</v>
      </c>
      <c r="H313" s="68"/>
      <c r="I313" s="200"/>
      <c r="J313" s="200"/>
      <c r="K313" s="200"/>
      <c r="L313" s="200"/>
      <c r="M313" s="204"/>
      <c r="N313" s="200"/>
    </row>
    <row r="314" spans="1:14" s="209" customFormat="1">
      <c r="B314" s="208"/>
      <c r="C314" s="68"/>
      <c r="D314" s="68"/>
      <c r="E314" s="68"/>
      <c r="F314" s="344"/>
      <c r="G314" s="68"/>
      <c r="H314" s="68"/>
      <c r="I314" s="200"/>
      <c r="J314" s="200"/>
      <c r="K314" s="200"/>
      <c r="L314" s="200"/>
      <c r="M314" s="204"/>
      <c r="N314" s="200"/>
    </row>
    <row r="315" spans="1:14" s="209" customFormat="1" ht="28">
      <c r="B315" s="208" t="s">
        <v>15</v>
      </c>
      <c r="C315" s="68"/>
      <c r="D315" s="68"/>
      <c r="E315" s="68"/>
      <c r="F315" s="344"/>
      <c r="G315" s="68"/>
      <c r="H315" s="68"/>
      <c r="I315" s="200"/>
      <c r="J315" s="200"/>
      <c r="K315" s="200"/>
      <c r="L315" s="200"/>
      <c r="M315" s="204"/>
      <c r="N315" s="200"/>
    </row>
    <row r="316" spans="1:14" s="209" customFormat="1">
      <c r="A316" s="335" t="s">
        <v>424</v>
      </c>
      <c r="B316" s="203" t="s">
        <v>23</v>
      </c>
      <c r="C316" s="401">
        <v>1921759</v>
      </c>
      <c r="D316" s="401">
        <v>1771690</v>
      </c>
      <c r="E316" s="401">
        <v>1721800</v>
      </c>
      <c r="F316" s="402">
        <v>1449037</v>
      </c>
      <c r="G316" s="401">
        <v>1139680</v>
      </c>
      <c r="H316" s="68"/>
      <c r="I316" s="200"/>
      <c r="J316" s="200"/>
      <c r="K316" s="200"/>
      <c r="L316" s="200"/>
      <c r="M316" s="204"/>
      <c r="N316" s="200"/>
    </row>
    <row r="317" spans="1:14" s="209" customFormat="1">
      <c r="A317" s="335"/>
      <c r="B317" s="203"/>
      <c r="C317" s="401"/>
      <c r="D317" s="401"/>
      <c r="E317" s="401"/>
      <c r="F317" s="402"/>
      <c r="G317" s="401"/>
      <c r="H317" s="68"/>
      <c r="I317" s="200"/>
      <c r="J317" s="200"/>
      <c r="K317" s="200"/>
      <c r="L317" s="200"/>
      <c r="M317" s="204"/>
      <c r="N317" s="200"/>
    </row>
    <row r="318" spans="1:14" s="165" customFormat="1">
      <c r="A318" s="420"/>
      <c r="B318" s="421"/>
      <c r="C318" s="422"/>
      <c r="D318" s="422"/>
      <c r="E318" s="422"/>
      <c r="F318" s="423"/>
      <c r="G318" s="422"/>
      <c r="H318" s="405"/>
      <c r="M318" s="407"/>
    </row>
    <row r="319" spans="1:14" s="209" customFormat="1">
      <c r="A319" s="335"/>
      <c r="B319" s="203"/>
      <c r="C319" s="401"/>
      <c r="D319" s="401"/>
      <c r="E319" s="401"/>
      <c r="F319" s="402"/>
      <c r="G319" s="401"/>
      <c r="H319" s="68"/>
      <c r="I319" s="200"/>
      <c r="J319" s="200"/>
      <c r="K319" s="200"/>
      <c r="L319" s="200"/>
      <c r="M319" s="204"/>
      <c r="N319" s="200"/>
    </row>
    <row r="320" spans="1:14" s="209" customFormat="1">
      <c r="A320" s="16"/>
      <c r="B320" s="205"/>
      <c r="C320" s="68"/>
      <c r="D320" s="68"/>
      <c r="E320" s="68"/>
      <c r="F320" s="344"/>
      <c r="G320" s="68"/>
      <c r="H320" s="68"/>
      <c r="I320" s="200"/>
      <c r="J320" s="200"/>
      <c r="K320" s="200"/>
      <c r="L320" s="200"/>
      <c r="M320" s="204"/>
      <c r="N320" s="200"/>
    </row>
    <row r="321" spans="1:14" s="209" customFormat="1">
      <c r="A321" s="16"/>
      <c r="B321" s="205"/>
      <c r="C321" s="68"/>
      <c r="D321" s="68"/>
      <c r="E321" s="68"/>
      <c r="F321" s="344"/>
      <c r="G321" s="68"/>
      <c r="H321" s="68"/>
      <c r="I321" s="200"/>
      <c r="J321" s="200"/>
      <c r="K321" s="200"/>
      <c r="L321" s="200"/>
      <c r="M321" s="204"/>
      <c r="N321" s="200"/>
    </row>
    <row r="322" spans="1:14" s="209" customFormat="1">
      <c r="A322" s="50" t="s">
        <v>245</v>
      </c>
      <c r="B322" s="205"/>
      <c r="C322" s="68"/>
      <c r="D322" s="68"/>
      <c r="E322" s="68"/>
      <c r="F322" s="344"/>
      <c r="G322" s="68"/>
      <c r="H322" s="68"/>
      <c r="I322" s="200"/>
      <c r="J322" s="200"/>
      <c r="K322" s="200"/>
      <c r="L322" s="200"/>
      <c r="M322" s="204"/>
      <c r="N322" s="200"/>
    </row>
    <row r="323" spans="1:14" s="209" customFormat="1">
      <c r="A323" s="336" t="s">
        <v>437</v>
      </c>
      <c r="B323" s="408" t="s">
        <v>435</v>
      </c>
      <c r="C323" s="403">
        <v>2011</v>
      </c>
      <c r="D323" s="403">
        <v>2010</v>
      </c>
      <c r="E323" s="425">
        <v>2009</v>
      </c>
      <c r="F323" s="424" t="s">
        <v>475</v>
      </c>
      <c r="G323" s="403">
        <v>2007</v>
      </c>
      <c r="H323" s="68"/>
      <c r="I323" s="200"/>
      <c r="J323" s="200"/>
      <c r="K323" s="200"/>
      <c r="L323" s="200"/>
      <c r="M323" s="204"/>
      <c r="N323" s="200"/>
    </row>
    <row r="324" spans="1:14" s="209" customFormat="1" ht="28">
      <c r="A324" s="335" t="s">
        <v>421</v>
      </c>
      <c r="B324" s="211" t="s">
        <v>11</v>
      </c>
      <c r="C324" s="401">
        <v>608568</v>
      </c>
      <c r="D324" s="401">
        <v>568263</v>
      </c>
      <c r="E324" s="415">
        <v>477695</v>
      </c>
      <c r="F324" s="99">
        <v>582431</v>
      </c>
      <c r="G324" s="401">
        <v>452754</v>
      </c>
      <c r="H324" s="68"/>
      <c r="I324" s="200"/>
      <c r="J324" s="200"/>
      <c r="K324" s="200"/>
      <c r="L324" s="200"/>
      <c r="M324" s="204"/>
      <c r="N324" s="200"/>
    </row>
    <row r="325" spans="1:14" s="209" customFormat="1">
      <c r="B325" s="208" t="s">
        <v>2</v>
      </c>
      <c r="C325" s="68"/>
      <c r="D325" s="68"/>
      <c r="E325" s="416"/>
      <c r="F325" s="94"/>
      <c r="G325" s="68"/>
      <c r="H325" s="68"/>
      <c r="I325" s="200"/>
      <c r="J325" s="200"/>
      <c r="K325" s="200"/>
      <c r="L325" s="200"/>
      <c r="M325" s="204"/>
      <c r="N325" s="200"/>
    </row>
    <row r="326" spans="1:14" s="209" customFormat="1">
      <c r="B326" s="208" t="s">
        <v>3</v>
      </c>
      <c r="C326" s="68"/>
      <c r="D326" s="68"/>
      <c r="E326" s="416"/>
      <c r="F326" s="94"/>
      <c r="G326" s="68"/>
      <c r="H326" s="68"/>
      <c r="I326" s="200"/>
      <c r="J326" s="200"/>
      <c r="K326" s="200"/>
      <c r="L326" s="200"/>
      <c r="M326" s="204"/>
      <c r="N326" s="200"/>
    </row>
    <row r="327" spans="1:14" s="209" customFormat="1">
      <c r="A327" s="335" t="s">
        <v>422</v>
      </c>
      <c r="B327" s="206" t="s">
        <v>8</v>
      </c>
      <c r="C327" s="401">
        <v>360161</v>
      </c>
      <c r="D327" s="401">
        <v>308145</v>
      </c>
      <c r="E327" s="415">
        <v>304423</v>
      </c>
      <c r="F327" s="99">
        <v>293254</v>
      </c>
      <c r="G327" s="401">
        <v>284808</v>
      </c>
      <c r="H327" s="68"/>
      <c r="I327" s="200"/>
      <c r="J327" s="200"/>
      <c r="K327" s="200"/>
      <c r="L327" s="200"/>
      <c r="M327" s="204"/>
      <c r="N327" s="200"/>
    </row>
    <row r="328" spans="1:14" s="209" customFormat="1">
      <c r="A328" s="335" t="s">
        <v>423</v>
      </c>
      <c r="B328" s="210" t="s">
        <v>12</v>
      </c>
      <c r="C328" s="401">
        <v>170688</v>
      </c>
      <c r="D328" s="401">
        <v>155783</v>
      </c>
      <c r="E328" s="415">
        <v>162470</v>
      </c>
      <c r="F328" s="99">
        <v>113791</v>
      </c>
      <c r="G328" s="401">
        <v>135014</v>
      </c>
      <c r="H328" s="68"/>
      <c r="I328" s="200"/>
      <c r="J328" s="200"/>
      <c r="K328" s="200"/>
      <c r="L328" s="200"/>
      <c r="M328" s="204"/>
      <c r="N328" s="200"/>
    </row>
    <row r="329" spans="1:14" s="209" customFormat="1">
      <c r="A329" s="418" t="s">
        <v>138</v>
      </c>
      <c r="B329" s="417" t="s">
        <v>138</v>
      </c>
      <c r="C329" s="401">
        <v>1333183</v>
      </c>
      <c r="D329" s="401">
        <v>1216917</v>
      </c>
      <c r="E329" s="415">
        <v>1144278</v>
      </c>
      <c r="F329" s="99">
        <v>954317</v>
      </c>
      <c r="G329" s="401">
        <v>852640</v>
      </c>
      <c r="H329" s="68"/>
      <c r="I329" s="200"/>
      <c r="J329" s="200"/>
      <c r="K329" s="200"/>
      <c r="L329" s="200"/>
      <c r="M329" s="204"/>
      <c r="N329" s="200"/>
    </row>
    <row r="330" spans="1:14" s="209" customFormat="1">
      <c r="B330" s="208"/>
      <c r="C330" s="68"/>
      <c r="D330" s="68"/>
      <c r="E330" s="416"/>
      <c r="F330" s="94"/>
      <c r="G330" s="68"/>
      <c r="H330" s="68"/>
      <c r="I330" s="200"/>
      <c r="J330" s="200"/>
      <c r="K330" s="200"/>
      <c r="L330" s="200"/>
      <c r="M330" s="204"/>
      <c r="N330" s="200"/>
    </row>
    <row r="331" spans="1:14" s="209" customFormat="1" ht="28">
      <c r="B331" s="208" t="s">
        <v>15</v>
      </c>
      <c r="C331" s="68"/>
      <c r="D331" s="68"/>
      <c r="E331" s="416"/>
      <c r="F331" s="94"/>
      <c r="G331" s="68"/>
      <c r="H331" s="68"/>
      <c r="I331" s="200"/>
      <c r="J331" s="200"/>
      <c r="K331" s="200"/>
      <c r="L331" s="200"/>
      <c r="M331" s="204"/>
      <c r="N331" s="200"/>
    </row>
    <row r="332" spans="1:14" s="209" customFormat="1">
      <c r="A332" s="335" t="s">
        <v>424</v>
      </c>
      <c r="B332" s="203" t="s">
        <v>23</v>
      </c>
      <c r="C332" s="401">
        <v>973021</v>
      </c>
      <c r="D332" s="401">
        <v>908771</v>
      </c>
      <c r="E332" s="415">
        <v>839856</v>
      </c>
      <c r="F332" s="99">
        <v>661063</v>
      </c>
      <c r="G332" s="401">
        <v>567834</v>
      </c>
      <c r="H332" s="68"/>
      <c r="I332" s="200"/>
      <c r="J332" s="200"/>
      <c r="K332" s="200"/>
      <c r="L332" s="200"/>
      <c r="M332" s="204"/>
      <c r="N332" s="200"/>
    </row>
    <row r="333" spans="1:14" s="209" customFormat="1">
      <c r="A333" s="16"/>
      <c r="B333" s="205"/>
      <c r="C333" s="68"/>
      <c r="D333" s="68"/>
      <c r="E333" s="68"/>
      <c r="F333" s="344"/>
      <c r="G333" s="68"/>
      <c r="H333" s="68"/>
      <c r="I333" s="200"/>
      <c r="J333" s="200"/>
      <c r="K333" s="200"/>
      <c r="L333" s="200"/>
      <c r="M333" s="204"/>
      <c r="N333" s="200"/>
    </row>
    <row r="334" spans="1:14" s="209" customFormat="1">
      <c r="A334" s="16"/>
      <c r="B334" s="205"/>
      <c r="C334" s="68"/>
      <c r="D334" s="68"/>
      <c r="E334" s="68"/>
      <c r="F334" s="344"/>
      <c r="G334" s="68"/>
      <c r="H334" s="68"/>
      <c r="I334" s="200"/>
      <c r="J334" s="200"/>
      <c r="K334" s="200"/>
      <c r="L334" s="200"/>
      <c r="M334" s="204"/>
      <c r="N334" s="200"/>
    </row>
    <row r="335" spans="1:14" s="209" customFormat="1">
      <c r="A335" s="336" t="s">
        <v>434</v>
      </c>
      <c r="B335" s="408" t="s">
        <v>435</v>
      </c>
      <c r="C335" s="403">
        <v>2011</v>
      </c>
      <c r="D335" s="403">
        <v>2010</v>
      </c>
      <c r="E335" s="403">
        <v>2009</v>
      </c>
      <c r="F335" s="346" t="s">
        <v>445</v>
      </c>
      <c r="G335" s="403">
        <v>2007</v>
      </c>
      <c r="H335" s="68"/>
      <c r="I335" s="200"/>
      <c r="J335" s="200"/>
      <c r="K335" s="200"/>
      <c r="L335" s="200"/>
      <c r="M335" s="204"/>
      <c r="N335" s="200"/>
    </row>
    <row r="336" spans="1:14" s="209" customFormat="1" ht="28">
      <c r="A336" s="335" t="s">
        <v>421</v>
      </c>
      <c r="B336" s="211" t="s">
        <v>11</v>
      </c>
      <c r="C336" s="401">
        <v>1253300</v>
      </c>
      <c r="D336" s="401">
        <v>1135100</v>
      </c>
      <c r="E336" s="415">
        <v>1350202</v>
      </c>
      <c r="F336" s="99">
        <v>1917502</v>
      </c>
      <c r="G336" s="401">
        <v>1519867</v>
      </c>
      <c r="H336" s="68"/>
      <c r="I336" s="200"/>
      <c r="J336" s="200"/>
      <c r="K336" s="200"/>
      <c r="L336" s="200"/>
      <c r="M336" s="204"/>
      <c r="N336" s="200"/>
    </row>
    <row r="337" spans="1:14" s="209" customFormat="1">
      <c r="B337" s="208" t="s">
        <v>2</v>
      </c>
      <c r="C337" s="68"/>
      <c r="D337" s="68"/>
      <c r="E337" s="416"/>
      <c r="F337" s="94"/>
      <c r="G337" s="68"/>
      <c r="H337" s="68"/>
      <c r="I337" s="200"/>
      <c r="J337" s="200"/>
      <c r="K337" s="200"/>
      <c r="L337" s="200"/>
      <c r="M337" s="204"/>
      <c r="N337" s="200"/>
    </row>
    <row r="338" spans="1:14" s="209" customFormat="1">
      <c r="B338" s="208" t="s">
        <v>3</v>
      </c>
      <c r="C338" s="68"/>
      <c r="D338" s="68"/>
      <c r="E338" s="416"/>
      <c r="F338" s="94"/>
      <c r="G338" s="68"/>
      <c r="H338" s="68"/>
      <c r="I338" s="200"/>
      <c r="J338" s="200"/>
      <c r="K338" s="200"/>
      <c r="L338" s="200"/>
      <c r="M338" s="204"/>
      <c r="N338" s="200"/>
    </row>
    <row r="339" spans="1:14" s="209" customFormat="1">
      <c r="A339" s="335" t="s">
        <v>422</v>
      </c>
      <c r="B339" s="206" t="s">
        <v>8</v>
      </c>
      <c r="C339" s="401">
        <f>532141+833348</f>
        <v>1365489</v>
      </c>
      <c r="D339" s="401">
        <v>1279699</v>
      </c>
      <c r="E339" s="415">
        <v>1480371</v>
      </c>
      <c r="F339" s="99">
        <v>1925125</v>
      </c>
      <c r="G339" s="401">
        <v>2134234</v>
      </c>
      <c r="H339" s="68"/>
      <c r="I339" s="200"/>
      <c r="J339" s="200"/>
      <c r="K339" s="200"/>
      <c r="L339" s="200"/>
      <c r="M339" s="204"/>
      <c r="N339" s="200"/>
    </row>
    <row r="340" spans="1:14" s="209" customFormat="1">
      <c r="A340" s="335" t="s">
        <v>423</v>
      </c>
      <c r="B340" s="210" t="s">
        <v>12</v>
      </c>
      <c r="C340" s="401">
        <v>33700</v>
      </c>
      <c r="D340" s="401">
        <v>-7600</v>
      </c>
      <c r="E340" s="415">
        <v>165825</v>
      </c>
      <c r="F340" s="99">
        <v>417384</v>
      </c>
      <c r="G340" s="401">
        <v>470009</v>
      </c>
      <c r="H340" s="68"/>
      <c r="I340" s="200"/>
      <c r="J340" s="200"/>
      <c r="K340" s="200"/>
      <c r="L340" s="200"/>
      <c r="M340" s="204"/>
      <c r="N340" s="200"/>
    </row>
    <row r="341" spans="1:14" s="209" customFormat="1">
      <c r="A341" s="418" t="s">
        <v>138</v>
      </c>
      <c r="B341" s="417" t="s">
        <v>138</v>
      </c>
      <c r="C341" s="401">
        <v>3137179</v>
      </c>
      <c r="D341" s="401">
        <v>3001507</v>
      </c>
      <c r="E341" s="415">
        <v>2929408</v>
      </c>
      <c r="F341" s="99">
        <v>3064805</v>
      </c>
      <c r="G341" s="401">
        <v>2874968</v>
      </c>
      <c r="H341" s="68"/>
      <c r="I341" s="200"/>
      <c r="J341" s="200"/>
      <c r="K341" s="200"/>
      <c r="L341" s="200"/>
      <c r="M341" s="204"/>
      <c r="N341" s="200"/>
    </row>
    <row r="342" spans="1:14" s="209" customFormat="1">
      <c r="B342" s="208"/>
      <c r="C342" s="68"/>
      <c r="D342" s="68"/>
      <c r="E342" s="416"/>
      <c r="F342" s="94"/>
      <c r="G342" s="68"/>
      <c r="H342" s="68"/>
      <c r="I342" s="200"/>
      <c r="J342" s="200"/>
      <c r="K342" s="200"/>
      <c r="L342" s="200"/>
      <c r="M342" s="204"/>
      <c r="N342" s="200"/>
    </row>
    <row r="343" spans="1:14" s="209" customFormat="1" ht="28">
      <c r="B343" s="208" t="s">
        <v>15</v>
      </c>
      <c r="C343" s="68"/>
      <c r="D343" s="68"/>
      <c r="E343" s="416"/>
      <c r="F343" s="94"/>
      <c r="G343" s="68"/>
      <c r="H343" s="68"/>
      <c r="I343" s="200"/>
      <c r="J343" s="200"/>
      <c r="K343" s="200"/>
      <c r="L343" s="200"/>
      <c r="M343" s="204"/>
      <c r="N343" s="200"/>
    </row>
    <row r="344" spans="1:14" s="209" customFormat="1">
      <c r="A344" s="335" t="s">
        <v>424</v>
      </c>
      <c r="B344" s="203" t="s">
        <v>23</v>
      </c>
      <c r="C344" s="401">
        <v>1771690</v>
      </c>
      <c r="D344" s="401">
        <v>1721800</v>
      </c>
      <c r="E344" s="415">
        <v>1449037</v>
      </c>
      <c r="F344" s="99">
        <v>1139680</v>
      </c>
      <c r="G344" s="401">
        <v>740734</v>
      </c>
      <c r="H344" s="68"/>
      <c r="I344" s="200"/>
      <c r="J344" s="200"/>
      <c r="K344" s="200"/>
      <c r="L344" s="200"/>
      <c r="M344" s="204"/>
      <c r="N344" s="200"/>
    </row>
    <row r="345" spans="1:14" s="209" customFormat="1">
      <c r="A345" s="16"/>
      <c r="B345" s="205"/>
      <c r="C345" s="68"/>
      <c r="D345" s="68"/>
      <c r="E345" s="68"/>
      <c r="F345" s="344"/>
      <c r="G345" s="68"/>
      <c r="H345" s="68"/>
      <c r="I345" s="200"/>
      <c r="J345" s="200"/>
      <c r="K345" s="200"/>
      <c r="L345" s="200"/>
      <c r="M345" s="204"/>
      <c r="N345" s="200"/>
    </row>
    <row r="346" spans="1:14" s="209" customFormat="1">
      <c r="A346" s="16"/>
      <c r="B346" s="205"/>
      <c r="C346" s="68"/>
      <c r="D346" s="68"/>
      <c r="E346" s="68"/>
      <c r="F346" s="344"/>
      <c r="G346" s="68"/>
      <c r="H346" s="68"/>
      <c r="I346" s="200"/>
      <c r="J346" s="200"/>
      <c r="K346" s="200"/>
      <c r="L346" s="200"/>
      <c r="M346" s="204"/>
      <c r="N346" s="200"/>
    </row>
    <row r="347" spans="1:14" s="209" customFormat="1">
      <c r="A347" s="336" t="s">
        <v>446</v>
      </c>
      <c r="B347" s="205"/>
      <c r="C347" s="403">
        <v>2011</v>
      </c>
      <c r="D347" s="403">
        <v>2010</v>
      </c>
      <c r="E347" s="403">
        <v>2009</v>
      </c>
      <c r="F347" s="346" t="s">
        <v>445</v>
      </c>
      <c r="G347" s="403">
        <v>2007</v>
      </c>
      <c r="H347" s="68"/>
      <c r="I347" s="200"/>
      <c r="J347" s="200"/>
      <c r="K347" s="200"/>
      <c r="L347" s="200"/>
      <c r="M347" s="204"/>
      <c r="N347" s="200"/>
    </row>
    <row r="348" spans="1:14" s="209" customFormat="1" ht="28">
      <c r="A348" s="335" t="s">
        <v>421</v>
      </c>
      <c r="B348" s="211" t="s">
        <v>11</v>
      </c>
      <c r="C348" s="401">
        <v>762649</v>
      </c>
      <c r="D348" s="401">
        <v>422606</v>
      </c>
      <c r="E348" s="401">
        <v>366700</v>
      </c>
      <c r="F348" s="402">
        <v>636931</v>
      </c>
      <c r="G348" s="401">
        <v>757026</v>
      </c>
      <c r="H348" s="68"/>
      <c r="I348" s="200"/>
      <c r="J348" s="200"/>
      <c r="K348" s="200"/>
      <c r="L348" s="200"/>
      <c r="M348" s="204"/>
      <c r="N348" s="200"/>
    </row>
    <row r="349" spans="1:14" s="209" customFormat="1">
      <c r="B349" s="208" t="s">
        <v>2</v>
      </c>
      <c r="C349" s="68"/>
      <c r="D349" s="68"/>
      <c r="E349" s="68"/>
      <c r="F349" s="344"/>
      <c r="G349" s="68"/>
      <c r="H349" s="68"/>
      <c r="I349" s="200"/>
      <c r="J349" s="200"/>
      <c r="K349" s="200"/>
      <c r="L349" s="200"/>
      <c r="M349" s="204"/>
      <c r="N349" s="200"/>
    </row>
    <row r="350" spans="1:14" s="209" customFormat="1">
      <c r="B350" s="208" t="s">
        <v>3</v>
      </c>
      <c r="C350" s="68"/>
      <c r="D350" s="68"/>
      <c r="E350" s="68"/>
      <c r="F350" s="344"/>
      <c r="G350" s="68"/>
      <c r="H350" s="68"/>
      <c r="I350" s="200"/>
      <c r="J350" s="200"/>
      <c r="K350" s="200"/>
      <c r="L350" s="200"/>
      <c r="M350" s="204"/>
      <c r="N350" s="200"/>
    </row>
    <row r="351" spans="1:14" s="209" customFormat="1">
      <c r="A351" s="335" t="s">
        <v>422</v>
      </c>
      <c r="B351" s="206" t="s">
        <v>8</v>
      </c>
      <c r="C351" s="401">
        <v>461073</v>
      </c>
      <c r="D351" s="401">
        <v>477578</v>
      </c>
      <c r="E351" s="401">
        <v>418204</v>
      </c>
      <c r="F351" s="402">
        <v>306030</v>
      </c>
      <c r="G351" s="401">
        <v>338757</v>
      </c>
      <c r="H351" s="68"/>
      <c r="I351" s="200"/>
      <c r="J351" s="200"/>
      <c r="K351" s="200"/>
      <c r="L351" s="200"/>
      <c r="M351" s="204"/>
      <c r="N351" s="200"/>
    </row>
    <row r="352" spans="1:14" s="209" customFormat="1">
      <c r="A352" s="335" t="s">
        <v>423</v>
      </c>
      <c r="B352" s="210" t="s">
        <v>12</v>
      </c>
      <c r="C352" s="401">
        <v>-34338</v>
      </c>
      <c r="D352" s="401">
        <v>-203942</v>
      </c>
      <c r="E352" s="401">
        <v>-472508</v>
      </c>
      <c r="F352" s="402">
        <v>-376758</v>
      </c>
      <c r="G352" s="401">
        <v>-270016</v>
      </c>
      <c r="H352" s="401"/>
      <c r="I352" s="200"/>
      <c r="J352" s="200"/>
      <c r="K352" s="200"/>
      <c r="L352" s="200"/>
      <c r="M352" s="204"/>
      <c r="N352" s="200"/>
    </row>
    <row r="353" spans="1:14" s="209" customFormat="1">
      <c r="A353" s="418" t="s">
        <v>138</v>
      </c>
      <c r="B353" s="417" t="s">
        <v>138</v>
      </c>
      <c r="C353" s="401" t="s">
        <v>476</v>
      </c>
      <c r="D353" s="401" t="s">
        <v>477</v>
      </c>
      <c r="E353" s="401" t="s">
        <v>478</v>
      </c>
      <c r="F353" s="402" t="s">
        <v>479</v>
      </c>
      <c r="G353" s="401" t="s">
        <v>480</v>
      </c>
      <c r="H353" s="68"/>
      <c r="I353" s="200"/>
      <c r="J353" s="200"/>
      <c r="K353" s="200"/>
      <c r="L353" s="200"/>
      <c r="M353" s="204"/>
      <c r="N353" s="200"/>
    </row>
    <row r="354" spans="1:14" s="209" customFormat="1">
      <c r="B354" s="208"/>
      <c r="C354" s="68"/>
      <c r="D354" s="68"/>
      <c r="E354" s="68"/>
      <c r="F354" s="344"/>
      <c r="G354" s="68"/>
      <c r="H354" s="68"/>
      <c r="I354" s="200"/>
      <c r="J354" s="200"/>
      <c r="K354" s="200"/>
      <c r="L354" s="200"/>
      <c r="M354" s="204"/>
      <c r="N354" s="200"/>
    </row>
    <row r="355" spans="1:14" s="209" customFormat="1" ht="28">
      <c r="B355" s="208" t="s">
        <v>15</v>
      </c>
      <c r="C355" s="68"/>
      <c r="D355" s="68"/>
      <c r="E355" s="68"/>
      <c r="F355" s="344"/>
      <c r="G355" s="68"/>
      <c r="H355" s="68"/>
      <c r="I355" s="200"/>
      <c r="J355" s="200"/>
      <c r="K355" s="200"/>
      <c r="L355" s="200"/>
      <c r="M355" s="204"/>
      <c r="N355" s="200"/>
    </row>
    <row r="356" spans="1:14" s="209" customFormat="1">
      <c r="A356" s="335" t="s">
        <v>424</v>
      </c>
      <c r="B356" s="203" t="s">
        <v>23</v>
      </c>
      <c r="C356" s="401">
        <v>441872</v>
      </c>
      <c r="D356" s="401">
        <v>197967</v>
      </c>
      <c r="E356" s="401">
        <v>192926</v>
      </c>
      <c r="F356" s="402">
        <v>480426</v>
      </c>
      <c r="G356" s="401">
        <v>591404</v>
      </c>
      <c r="H356" s="68"/>
      <c r="I356" s="200"/>
      <c r="J356" s="200"/>
      <c r="K356" s="200"/>
      <c r="L356" s="200"/>
      <c r="M356" s="204"/>
      <c r="N356" s="200"/>
    </row>
    <row r="357" spans="1:14" s="209" customFormat="1">
      <c r="A357" s="16"/>
      <c r="B357" s="205"/>
      <c r="C357" s="68"/>
      <c r="D357" s="68"/>
      <c r="E357" s="68"/>
      <c r="F357" s="344"/>
      <c r="G357" s="68"/>
      <c r="H357" s="68"/>
      <c r="I357" s="200"/>
      <c r="J357" s="200"/>
      <c r="K357" s="200"/>
      <c r="L357" s="200"/>
      <c r="M357" s="204"/>
      <c r="N357" s="200"/>
    </row>
    <row r="358" spans="1:14" s="209" customFormat="1">
      <c r="A358" s="16"/>
      <c r="B358" s="205"/>
      <c r="C358" s="68"/>
      <c r="D358" s="68"/>
      <c r="E358" s="68"/>
      <c r="F358" s="344"/>
      <c r="G358" s="68"/>
      <c r="H358" s="68"/>
      <c r="I358" s="200"/>
      <c r="J358" s="200"/>
      <c r="K358" s="200"/>
      <c r="L358" s="200"/>
      <c r="M358" s="204"/>
      <c r="N358" s="200"/>
    </row>
    <row r="359" spans="1:14" s="165" customFormat="1">
      <c r="A359" s="163"/>
      <c r="B359" s="404"/>
      <c r="C359" s="405"/>
      <c r="D359" s="405"/>
      <c r="E359" s="405"/>
      <c r="F359" s="406"/>
      <c r="G359" s="405"/>
      <c r="H359" s="405"/>
      <c r="M359" s="407"/>
    </row>
    <row r="360" spans="1:14" s="209" customFormat="1">
      <c r="A360" s="413"/>
      <c r="B360" s="205"/>
      <c r="C360" s="68"/>
      <c r="D360" s="68"/>
      <c r="E360" s="68"/>
      <c r="F360" s="344"/>
      <c r="G360" s="68"/>
      <c r="H360" s="68"/>
      <c r="I360" s="200"/>
      <c r="J360" s="200"/>
      <c r="K360" s="200"/>
      <c r="L360" s="200"/>
      <c r="M360" s="204"/>
      <c r="N360" s="200"/>
    </row>
    <row r="361" spans="1:14" s="209" customFormat="1">
      <c r="A361" s="50" t="s">
        <v>256</v>
      </c>
      <c r="B361" s="205"/>
      <c r="C361" s="68"/>
      <c r="D361" s="68"/>
      <c r="E361" s="68"/>
      <c r="F361" s="344"/>
      <c r="G361" s="68"/>
      <c r="H361" s="68"/>
      <c r="I361" s="200"/>
      <c r="J361" s="200"/>
      <c r="K361" s="200"/>
      <c r="L361" s="200"/>
      <c r="M361" s="204"/>
      <c r="N361" s="200"/>
    </row>
    <row r="362" spans="1:14" s="209" customFormat="1">
      <c r="A362" s="336" t="s">
        <v>434</v>
      </c>
      <c r="B362" s="408" t="s">
        <v>435</v>
      </c>
      <c r="C362" s="403">
        <v>2011</v>
      </c>
      <c r="D362" s="403">
        <v>2010</v>
      </c>
      <c r="E362" s="403">
        <v>2009</v>
      </c>
      <c r="F362" s="346" t="s">
        <v>445</v>
      </c>
      <c r="G362" s="403">
        <v>2007</v>
      </c>
      <c r="H362" s="68"/>
      <c r="I362" s="200"/>
      <c r="J362" s="200"/>
      <c r="K362" s="200"/>
      <c r="L362" s="200"/>
      <c r="M362" s="204"/>
      <c r="N362" s="200"/>
    </row>
    <row r="363" spans="1:14" s="209" customFormat="1" ht="28">
      <c r="A363" s="335" t="s">
        <v>421</v>
      </c>
      <c r="B363" s="211" t="s">
        <v>11</v>
      </c>
      <c r="C363" s="401">
        <v>1253300</v>
      </c>
      <c r="D363" s="401">
        <v>1135100</v>
      </c>
      <c r="E363" s="415">
        <v>1350202</v>
      </c>
      <c r="F363" s="99">
        <v>1917502</v>
      </c>
      <c r="G363" s="401">
        <v>1519867</v>
      </c>
      <c r="H363" s="68"/>
      <c r="I363" s="200"/>
      <c r="J363" s="200"/>
      <c r="K363" s="200"/>
      <c r="L363" s="200"/>
      <c r="M363" s="204"/>
      <c r="N363" s="200"/>
    </row>
    <row r="364" spans="1:14" s="209" customFormat="1">
      <c r="B364" s="208" t="s">
        <v>2</v>
      </c>
      <c r="C364" s="68"/>
      <c r="D364" s="68"/>
      <c r="E364" s="416"/>
      <c r="F364" s="94"/>
      <c r="G364" s="68"/>
      <c r="H364" s="68"/>
      <c r="I364" s="200"/>
      <c r="J364" s="200"/>
      <c r="K364" s="200"/>
      <c r="L364" s="200"/>
      <c r="M364" s="204"/>
      <c r="N364" s="200"/>
    </row>
    <row r="365" spans="1:14" s="209" customFormat="1">
      <c r="B365" s="208" t="s">
        <v>3</v>
      </c>
      <c r="C365" s="68"/>
      <c r="D365" s="68"/>
      <c r="E365" s="416"/>
      <c r="F365" s="94"/>
      <c r="G365" s="68"/>
      <c r="H365" s="68"/>
      <c r="I365" s="200"/>
      <c r="J365" s="200"/>
      <c r="K365" s="200"/>
      <c r="L365" s="200"/>
      <c r="M365" s="204"/>
      <c r="N365" s="200"/>
    </row>
    <row r="366" spans="1:14" s="209" customFormat="1">
      <c r="A366" s="335" t="s">
        <v>422</v>
      </c>
      <c r="B366" s="206" t="s">
        <v>8</v>
      </c>
      <c r="C366" s="401">
        <f>532141+833348</f>
        <v>1365489</v>
      </c>
      <c r="D366" s="401">
        <v>1279699</v>
      </c>
      <c r="E366" s="415">
        <v>1480371</v>
      </c>
      <c r="F366" s="99">
        <v>1925125</v>
      </c>
      <c r="G366" s="401">
        <v>2134234</v>
      </c>
      <c r="H366" s="68"/>
      <c r="I366" s="200"/>
      <c r="J366" s="200"/>
      <c r="K366" s="200"/>
      <c r="L366" s="200"/>
      <c r="M366" s="204"/>
      <c r="N366" s="200"/>
    </row>
    <row r="367" spans="1:14" s="209" customFormat="1">
      <c r="A367" s="335" t="s">
        <v>423</v>
      </c>
      <c r="B367" s="210" t="s">
        <v>12</v>
      </c>
      <c r="C367" s="401">
        <v>33700</v>
      </c>
      <c r="D367" s="401">
        <v>-7600</v>
      </c>
      <c r="E367" s="415">
        <v>165825</v>
      </c>
      <c r="F367" s="99">
        <v>417384</v>
      </c>
      <c r="G367" s="401">
        <v>470009</v>
      </c>
      <c r="H367" s="68"/>
      <c r="I367" s="200"/>
      <c r="J367" s="200"/>
      <c r="K367" s="200"/>
      <c r="L367" s="200"/>
      <c r="M367" s="204"/>
      <c r="N367" s="200"/>
    </row>
    <row r="368" spans="1:14" s="209" customFormat="1">
      <c r="A368" s="418" t="s">
        <v>138</v>
      </c>
      <c r="B368" s="417" t="s">
        <v>138</v>
      </c>
      <c r="C368" s="401">
        <v>3137179</v>
      </c>
      <c r="D368" s="401">
        <v>3001507</v>
      </c>
      <c r="E368" s="415">
        <v>2929408</v>
      </c>
      <c r="F368" s="99">
        <v>3064805</v>
      </c>
      <c r="G368" s="401">
        <v>2874968</v>
      </c>
      <c r="H368" s="68"/>
      <c r="I368" s="200"/>
      <c r="J368" s="200"/>
      <c r="K368" s="200"/>
      <c r="L368" s="200"/>
      <c r="M368" s="204"/>
      <c r="N368" s="200"/>
    </row>
    <row r="369" spans="1:14" s="209" customFormat="1">
      <c r="B369" s="208"/>
      <c r="C369" s="68"/>
      <c r="D369" s="68"/>
      <c r="E369" s="416"/>
      <c r="F369" s="94"/>
      <c r="G369" s="68"/>
      <c r="H369" s="68"/>
      <c r="I369" s="200"/>
      <c r="J369" s="200"/>
      <c r="K369" s="200"/>
      <c r="L369" s="200"/>
      <c r="M369" s="204"/>
      <c r="N369" s="200"/>
    </row>
    <row r="370" spans="1:14" s="209" customFormat="1" ht="28">
      <c r="B370" s="208" t="s">
        <v>15</v>
      </c>
      <c r="C370" s="68"/>
      <c r="D370" s="68"/>
      <c r="E370" s="416"/>
      <c r="F370" s="94"/>
      <c r="G370" s="68"/>
      <c r="H370" s="68"/>
      <c r="I370" s="200"/>
      <c r="J370" s="200"/>
      <c r="K370" s="200"/>
      <c r="L370" s="200"/>
      <c r="M370" s="204"/>
      <c r="N370" s="200"/>
    </row>
    <row r="371" spans="1:14" s="209" customFormat="1">
      <c r="A371" s="335" t="s">
        <v>424</v>
      </c>
      <c r="B371" s="203" t="s">
        <v>23</v>
      </c>
      <c r="C371" s="401">
        <v>1771690</v>
      </c>
      <c r="D371" s="401">
        <v>1721800</v>
      </c>
      <c r="E371" s="415">
        <v>1449037</v>
      </c>
      <c r="F371" s="99">
        <v>1139680</v>
      </c>
      <c r="G371" s="401">
        <v>740734</v>
      </c>
      <c r="H371" s="68"/>
      <c r="I371" s="200"/>
      <c r="J371" s="200"/>
      <c r="K371" s="200"/>
      <c r="L371" s="200"/>
      <c r="M371" s="204"/>
      <c r="N371" s="200"/>
    </row>
    <row r="372" spans="1:14" s="209" customFormat="1">
      <c r="A372" s="16"/>
      <c r="B372" s="205"/>
      <c r="C372" s="68"/>
      <c r="D372" s="68"/>
      <c r="E372" s="68"/>
      <c r="F372" s="344"/>
      <c r="G372" s="68"/>
      <c r="H372" s="68"/>
      <c r="I372" s="200"/>
      <c r="J372" s="200"/>
      <c r="K372" s="200"/>
      <c r="L372" s="200"/>
      <c r="M372" s="204"/>
      <c r="N372" s="200"/>
    </row>
    <row r="373" spans="1:14" s="209" customFormat="1">
      <c r="A373" s="16"/>
      <c r="B373" s="205"/>
      <c r="C373" s="68"/>
      <c r="D373" s="68"/>
      <c r="E373" s="68"/>
      <c r="F373" s="344"/>
      <c r="G373" s="68"/>
      <c r="H373" s="68"/>
      <c r="I373" s="200"/>
      <c r="J373" s="200"/>
      <c r="K373" s="200"/>
      <c r="L373" s="200"/>
      <c r="M373" s="204"/>
      <c r="N373" s="200"/>
    </row>
    <row r="374" spans="1:14" s="209" customFormat="1">
      <c r="A374" s="336" t="s">
        <v>437</v>
      </c>
      <c r="B374" s="408" t="s">
        <v>435</v>
      </c>
      <c r="C374" s="403">
        <v>2011</v>
      </c>
      <c r="D374" s="403">
        <v>2010</v>
      </c>
      <c r="E374" s="403">
        <v>2009</v>
      </c>
      <c r="F374" s="346" t="s">
        <v>445</v>
      </c>
      <c r="G374" s="403">
        <v>2007</v>
      </c>
      <c r="H374" s="68"/>
      <c r="I374" s="200"/>
      <c r="J374" s="200"/>
      <c r="K374" s="200"/>
      <c r="L374" s="200"/>
      <c r="M374" s="204"/>
      <c r="N374" s="200"/>
    </row>
    <row r="375" spans="1:14" s="209" customFormat="1" ht="28">
      <c r="A375" s="335" t="s">
        <v>421</v>
      </c>
      <c r="B375" s="211" t="s">
        <v>11</v>
      </c>
      <c r="C375" s="401">
        <v>608568</v>
      </c>
      <c r="D375" s="401">
        <v>568263</v>
      </c>
      <c r="E375" s="415">
        <v>477695</v>
      </c>
      <c r="F375" s="99">
        <v>582431</v>
      </c>
      <c r="G375" s="401">
        <v>452754</v>
      </c>
      <c r="H375" s="68"/>
      <c r="I375" s="200"/>
      <c r="J375" s="200"/>
      <c r="K375" s="200"/>
      <c r="L375" s="200"/>
      <c r="M375" s="204"/>
      <c r="N375" s="200"/>
    </row>
    <row r="376" spans="1:14" s="209" customFormat="1">
      <c r="B376" s="208" t="s">
        <v>2</v>
      </c>
      <c r="C376" s="68"/>
      <c r="D376" s="68"/>
      <c r="E376" s="416"/>
      <c r="F376" s="94"/>
      <c r="G376" s="68"/>
      <c r="H376" s="68"/>
      <c r="I376" s="200"/>
      <c r="J376" s="200"/>
      <c r="K376" s="200"/>
      <c r="L376" s="200"/>
      <c r="M376" s="204"/>
      <c r="N376" s="200"/>
    </row>
    <row r="377" spans="1:14" s="209" customFormat="1">
      <c r="B377" s="208" t="s">
        <v>3</v>
      </c>
      <c r="C377" s="68"/>
      <c r="D377" s="68"/>
      <c r="E377" s="416"/>
      <c r="F377" s="94"/>
      <c r="G377" s="68"/>
      <c r="H377" s="68"/>
      <c r="I377" s="200"/>
      <c r="J377" s="200"/>
      <c r="K377" s="200"/>
      <c r="L377" s="200"/>
      <c r="M377" s="204"/>
      <c r="N377" s="200"/>
    </row>
    <row r="378" spans="1:14" s="209" customFormat="1">
      <c r="A378" s="335" t="s">
        <v>422</v>
      </c>
      <c r="B378" s="206" t="s">
        <v>8</v>
      </c>
      <c r="C378" s="401">
        <v>360161</v>
      </c>
      <c r="D378" s="401">
        <v>308145</v>
      </c>
      <c r="E378" s="415">
        <v>304423</v>
      </c>
      <c r="F378" s="99">
        <v>293254</v>
      </c>
      <c r="G378" s="401">
        <v>284808</v>
      </c>
      <c r="H378" s="68"/>
      <c r="I378" s="200"/>
      <c r="J378" s="200"/>
      <c r="K378" s="200"/>
      <c r="L378" s="200"/>
      <c r="M378" s="204"/>
      <c r="N378" s="200"/>
    </row>
    <row r="379" spans="1:14" s="209" customFormat="1">
      <c r="A379" s="335" t="s">
        <v>423</v>
      </c>
      <c r="B379" s="210" t="s">
        <v>12</v>
      </c>
      <c r="C379" s="401">
        <v>170688</v>
      </c>
      <c r="D379" s="401">
        <v>155783</v>
      </c>
      <c r="E379" s="415">
        <v>162470</v>
      </c>
      <c r="F379" s="99">
        <v>113791</v>
      </c>
      <c r="G379" s="401">
        <v>135014</v>
      </c>
      <c r="H379" s="68"/>
      <c r="I379" s="200"/>
      <c r="J379" s="200"/>
      <c r="K379" s="200"/>
      <c r="L379" s="200"/>
      <c r="M379" s="204"/>
      <c r="N379" s="200"/>
    </row>
    <row r="380" spans="1:14" s="209" customFormat="1">
      <c r="A380" s="418" t="s">
        <v>138</v>
      </c>
      <c r="B380" s="417" t="s">
        <v>138</v>
      </c>
      <c r="C380" s="401">
        <v>1333183</v>
      </c>
      <c r="D380" s="401">
        <v>1216917</v>
      </c>
      <c r="E380" s="415">
        <v>1144278</v>
      </c>
      <c r="F380" s="99">
        <v>954317</v>
      </c>
      <c r="G380" s="401">
        <v>852640</v>
      </c>
      <c r="H380" s="68"/>
      <c r="I380" s="200"/>
      <c r="J380" s="200"/>
      <c r="K380" s="200"/>
      <c r="L380" s="200"/>
      <c r="M380" s="204"/>
      <c r="N380" s="200"/>
    </row>
    <row r="381" spans="1:14" s="209" customFormat="1">
      <c r="B381" s="208"/>
      <c r="C381" s="68"/>
      <c r="D381" s="68"/>
      <c r="E381" s="416"/>
      <c r="F381" s="94"/>
      <c r="G381" s="68"/>
      <c r="H381" s="68"/>
      <c r="I381" s="200"/>
      <c r="J381" s="200"/>
      <c r="K381" s="200"/>
      <c r="L381" s="200"/>
      <c r="M381" s="204"/>
      <c r="N381" s="200"/>
    </row>
    <row r="382" spans="1:14" s="209" customFormat="1" ht="28">
      <c r="B382" s="208" t="s">
        <v>15</v>
      </c>
      <c r="C382" s="68"/>
      <c r="D382" s="68"/>
      <c r="E382" s="416"/>
      <c r="F382" s="94"/>
      <c r="G382" s="68"/>
      <c r="H382" s="68"/>
      <c r="I382" s="200"/>
      <c r="J382" s="200"/>
      <c r="K382" s="200"/>
      <c r="L382" s="200"/>
      <c r="M382" s="204"/>
      <c r="N382" s="200"/>
    </row>
    <row r="383" spans="1:14" s="209" customFormat="1">
      <c r="A383" s="335" t="s">
        <v>424</v>
      </c>
      <c r="B383" s="203" t="s">
        <v>23</v>
      </c>
      <c r="C383" s="401">
        <v>973021</v>
      </c>
      <c r="D383" s="401">
        <v>908771</v>
      </c>
      <c r="E383" s="415">
        <v>839856</v>
      </c>
      <c r="F383" s="99">
        <v>661063</v>
      </c>
      <c r="G383" s="401">
        <v>567834</v>
      </c>
      <c r="H383" s="68"/>
      <c r="I383" s="200"/>
      <c r="J383" s="200"/>
      <c r="K383" s="200"/>
      <c r="L383" s="200"/>
      <c r="M383" s="204"/>
      <c r="N383" s="200"/>
    </row>
    <row r="384" spans="1:14" s="209" customFormat="1">
      <c r="A384" s="16"/>
      <c r="B384" s="205"/>
      <c r="C384" s="68"/>
      <c r="D384" s="68"/>
      <c r="E384" s="68"/>
      <c r="F384" s="344"/>
      <c r="G384" s="68"/>
      <c r="H384" s="68"/>
      <c r="I384" s="200"/>
      <c r="J384" s="200"/>
      <c r="K384" s="200"/>
      <c r="L384" s="200"/>
      <c r="M384" s="204"/>
      <c r="N384" s="200"/>
    </row>
    <row r="385" spans="1:14" s="209" customFormat="1">
      <c r="A385" s="16"/>
      <c r="B385" s="205"/>
      <c r="C385" s="68"/>
      <c r="D385" s="68"/>
      <c r="E385" s="68"/>
      <c r="F385" s="344"/>
      <c r="G385" s="68"/>
      <c r="H385" s="68"/>
      <c r="I385" s="200"/>
      <c r="J385" s="200"/>
      <c r="K385" s="200"/>
      <c r="L385" s="200"/>
      <c r="M385" s="204"/>
      <c r="N385" s="200"/>
    </row>
    <row r="386" spans="1:14" s="209" customFormat="1">
      <c r="A386" s="16"/>
      <c r="B386" s="205"/>
      <c r="C386" s="68"/>
      <c r="D386" s="68"/>
      <c r="E386" s="68"/>
      <c r="F386" s="344"/>
      <c r="G386" s="68"/>
      <c r="H386" s="68"/>
      <c r="I386" s="200"/>
      <c r="J386" s="200"/>
      <c r="K386" s="200"/>
      <c r="L386" s="200"/>
      <c r="M386" s="204"/>
      <c r="N386" s="200"/>
    </row>
    <row r="387" spans="1:14" s="209" customFormat="1">
      <c r="A387" s="336" t="s">
        <v>446</v>
      </c>
      <c r="B387" s="205"/>
      <c r="C387" s="403">
        <v>2011</v>
      </c>
      <c r="D387" s="403">
        <v>2010</v>
      </c>
      <c r="E387" s="403">
        <v>2009</v>
      </c>
      <c r="F387" s="346" t="s">
        <v>445</v>
      </c>
      <c r="G387" s="403">
        <v>2007</v>
      </c>
      <c r="H387" s="68"/>
      <c r="I387" s="200"/>
      <c r="J387" s="200"/>
      <c r="K387" s="200"/>
      <c r="L387" s="200"/>
      <c r="M387" s="204"/>
      <c r="N387" s="200"/>
    </row>
    <row r="388" spans="1:14" s="209" customFormat="1" ht="28">
      <c r="A388" s="335" t="s">
        <v>421</v>
      </c>
      <c r="B388" s="211" t="s">
        <v>11</v>
      </c>
      <c r="C388" s="401">
        <v>762649</v>
      </c>
      <c r="D388" s="401">
        <v>422606</v>
      </c>
      <c r="E388" s="401">
        <v>366700</v>
      </c>
      <c r="F388" s="402">
        <v>636931</v>
      </c>
      <c r="G388" s="401">
        <v>757026</v>
      </c>
      <c r="H388" s="68"/>
      <c r="I388" s="200"/>
      <c r="J388" s="200"/>
      <c r="K388" s="200"/>
      <c r="L388" s="200"/>
      <c r="M388" s="204"/>
      <c r="N388" s="200"/>
    </row>
    <row r="389" spans="1:14" s="209" customFormat="1">
      <c r="B389" s="208" t="s">
        <v>2</v>
      </c>
      <c r="C389" s="68"/>
      <c r="D389" s="68"/>
      <c r="E389" s="68"/>
      <c r="F389" s="344"/>
      <c r="G389" s="68"/>
      <c r="H389" s="68"/>
      <c r="I389" s="200"/>
      <c r="J389" s="200"/>
      <c r="K389" s="200"/>
      <c r="L389" s="200"/>
      <c r="M389" s="204"/>
      <c r="N389" s="200"/>
    </row>
    <row r="390" spans="1:14" s="209" customFormat="1">
      <c r="B390" s="208" t="s">
        <v>3</v>
      </c>
      <c r="C390" s="68"/>
      <c r="D390" s="68"/>
      <c r="E390" s="68"/>
      <c r="F390" s="344"/>
      <c r="G390" s="68"/>
      <c r="H390" s="68"/>
      <c r="I390" s="200"/>
      <c r="J390" s="200"/>
      <c r="K390" s="200"/>
      <c r="L390" s="200"/>
      <c r="M390" s="204"/>
      <c r="N390" s="200"/>
    </row>
    <row r="391" spans="1:14" s="209" customFormat="1">
      <c r="A391" s="335" t="s">
        <v>422</v>
      </c>
      <c r="B391" s="206" t="s">
        <v>8</v>
      </c>
      <c r="C391" s="401">
        <v>461073</v>
      </c>
      <c r="D391" s="401">
        <v>477578</v>
      </c>
      <c r="E391" s="401">
        <v>418204</v>
      </c>
      <c r="F391" s="402">
        <v>306030</v>
      </c>
      <c r="G391" s="401">
        <v>338757</v>
      </c>
      <c r="H391" s="68"/>
      <c r="I391" s="200"/>
      <c r="J391" s="200"/>
      <c r="K391" s="200"/>
      <c r="L391" s="200"/>
      <c r="M391" s="204"/>
      <c r="N391" s="200"/>
    </row>
    <row r="392" spans="1:14" s="209" customFormat="1">
      <c r="A392" s="335" t="s">
        <v>423</v>
      </c>
      <c r="B392" s="210" t="s">
        <v>12</v>
      </c>
      <c r="C392" s="401">
        <v>-34338</v>
      </c>
      <c r="D392" s="401">
        <v>-203942</v>
      </c>
      <c r="E392" s="401">
        <v>-472508</v>
      </c>
      <c r="F392" s="402">
        <v>-376758</v>
      </c>
      <c r="G392" s="401">
        <v>-270016</v>
      </c>
      <c r="H392" s="68"/>
      <c r="I392" s="200"/>
      <c r="J392" s="200"/>
      <c r="K392" s="200"/>
      <c r="L392" s="200"/>
      <c r="M392" s="204"/>
      <c r="N392" s="200"/>
    </row>
    <row r="393" spans="1:14" s="209" customFormat="1">
      <c r="A393" s="418" t="s">
        <v>138</v>
      </c>
      <c r="B393" s="417" t="s">
        <v>138</v>
      </c>
      <c r="C393" s="401" t="s">
        <v>476</v>
      </c>
      <c r="D393" s="401" t="s">
        <v>477</v>
      </c>
      <c r="E393" s="401" t="s">
        <v>478</v>
      </c>
      <c r="F393" s="402" t="s">
        <v>479</v>
      </c>
      <c r="G393" s="401" t="s">
        <v>480</v>
      </c>
      <c r="H393" s="68"/>
      <c r="I393" s="200"/>
      <c r="J393" s="200"/>
      <c r="K393" s="200"/>
      <c r="L393" s="200"/>
      <c r="M393" s="204"/>
      <c r="N393" s="200"/>
    </row>
    <row r="394" spans="1:14" s="209" customFormat="1">
      <c r="B394" s="208"/>
      <c r="C394" s="68"/>
      <c r="D394" s="68"/>
      <c r="E394" s="68"/>
      <c r="F394" s="344"/>
      <c r="G394" s="68"/>
      <c r="H394" s="68"/>
      <c r="I394" s="200"/>
      <c r="J394" s="200"/>
      <c r="K394" s="200"/>
      <c r="L394" s="200"/>
      <c r="M394" s="204"/>
      <c r="N394" s="200"/>
    </row>
    <row r="395" spans="1:14" s="209" customFormat="1" ht="28">
      <c r="B395" s="208" t="s">
        <v>15</v>
      </c>
      <c r="C395" s="68"/>
      <c r="D395" s="68"/>
      <c r="E395" s="68"/>
      <c r="F395" s="344"/>
      <c r="G395" s="68"/>
      <c r="H395" s="68"/>
      <c r="I395" s="200"/>
      <c r="J395" s="200"/>
      <c r="K395" s="200"/>
      <c r="L395" s="200"/>
      <c r="M395" s="204"/>
      <c r="N395" s="200"/>
    </row>
    <row r="396" spans="1:14" s="209" customFormat="1">
      <c r="A396" s="335" t="s">
        <v>424</v>
      </c>
      <c r="B396" s="203" t="s">
        <v>23</v>
      </c>
      <c r="C396" s="401">
        <v>441872</v>
      </c>
      <c r="D396" s="401">
        <v>197967</v>
      </c>
      <c r="E396" s="401">
        <v>192926</v>
      </c>
      <c r="F396" s="402">
        <v>480426</v>
      </c>
      <c r="G396" s="401">
        <v>591404</v>
      </c>
      <c r="H396" s="68"/>
      <c r="I396" s="200"/>
      <c r="J396" s="200"/>
      <c r="K396" s="200"/>
      <c r="L396" s="200"/>
      <c r="M396" s="204"/>
      <c r="N396" s="200"/>
    </row>
    <row r="397" spans="1:14" s="209" customFormat="1">
      <c r="A397" s="16"/>
      <c r="B397" s="205"/>
      <c r="C397" s="68"/>
      <c r="D397" s="68"/>
      <c r="E397" s="68"/>
      <c r="F397" s="344"/>
      <c r="G397" s="68"/>
      <c r="H397" s="68"/>
      <c r="I397" s="200"/>
      <c r="J397" s="200"/>
      <c r="K397" s="200"/>
      <c r="L397" s="200"/>
      <c r="M397" s="204"/>
      <c r="N397" s="200"/>
    </row>
    <row r="398" spans="1:14" s="209" customFormat="1">
      <c r="A398" s="16"/>
      <c r="B398" s="205"/>
      <c r="C398" s="68"/>
      <c r="D398" s="68"/>
      <c r="E398" s="68"/>
      <c r="F398" s="344"/>
      <c r="G398" s="68"/>
      <c r="H398" s="68"/>
      <c r="I398" s="200"/>
      <c r="J398" s="200"/>
      <c r="K398" s="200"/>
      <c r="L398" s="200"/>
      <c r="M398" s="204"/>
      <c r="N398" s="200"/>
    </row>
    <row r="399" spans="1:14" s="209" customFormat="1">
      <c r="A399" s="336" t="s">
        <v>447</v>
      </c>
      <c r="B399" s="205"/>
      <c r="C399" s="403">
        <v>2011</v>
      </c>
      <c r="D399" s="403">
        <v>2010</v>
      </c>
      <c r="E399" s="403">
        <v>2009</v>
      </c>
      <c r="F399" s="346" t="s">
        <v>445</v>
      </c>
      <c r="G399" s="403">
        <v>2007</v>
      </c>
      <c r="H399" s="68"/>
      <c r="I399" s="200"/>
      <c r="J399" s="200"/>
      <c r="K399" s="200"/>
      <c r="L399" s="200"/>
      <c r="M399" s="204"/>
      <c r="N399" s="200"/>
    </row>
    <row r="400" spans="1:14" s="209" customFormat="1" ht="28">
      <c r="A400" s="335" t="s">
        <v>421</v>
      </c>
      <c r="B400" s="211" t="s">
        <v>11</v>
      </c>
      <c r="C400" s="401">
        <v>459121</v>
      </c>
      <c r="D400" s="401">
        <v>322961</v>
      </c>
      <c r="E400" s="401">
        <v>222722</v>
      </c>
      <c r="F400" s="402">
        <v>168036</v>
      </c>
      <c r="G400" s="401">
        <v>131998</v>
      </c>
      <c r="H400" s="68"/>
      <c r="I400" s="200"/>
      <c r="J400" s="200"/>
      <c r="K400" s="200"/>
      <c r="L400" s="200"/>
      <c r="M400" s="204"/>
      <c r="N400" s="200"/>
    </row>
    <row r="401" spans="1:14" s="209" customFormat="1">
      <c r="B401" s="208" t="s">
        <v>2</v>
      </c>
      <c r="C401" s="68"/>
      <c r="D401" s="412" t="s">
        <v>312</v>
      </c>
      <c r="E401" s="68"/>
      <c r="F401" s="344"/>
      <c r="G401" s="68"/>
      <c r="H401" s="68"/>
      <c r="I401" s="200"/>
      <c r="J401" s="200"/>
      <c r="K401" s="200"/>
      <c r="L401" s="200"/>
      <c r="M401" s="204"/>
      <c r="N401" s="200"/>
    </row>
    <row r="402" spans="1:14" s="209" customFormat="1">
      <c r="B402" s="208" t="s">
        <v>3</v>
      </c>
      <c r="C402" s="68"/>
      <c r="D402" s="68"/>
      <c r="E402" s="68"/>
      <c r="F402" s="344"/>
      <c r="G402" s="68"/>
      <c r="H402" s="68"/>
      <c r="I402" s="200"/>
      <c r="J402" s="200"/>
      <c r="K402" s="200"/>
      <c r="L402" s="200"/>
      <c r="M402" s="204"/>
      <c r="N402" s="200"/>
    </row>
    <row r="403" spans="1:14" s="209" customFormat="1">
      <c r="A403" s="335" t="s">
        <v>422</v>
      </c>
      <c r="B403" s="206" t="s">
        <v>8</v>
      </c>
      <c r="C403" s="401">
        <v>1758328</v>
      </c>
      <c r="D403" s="401">
        <v>1484146</v>
      </c>
      <c r="E403" s="401">
        <v>614292</v>
      </c>
      <c r="F403" s="402">
        <v>507910</v>
      </c>
      <c r="G403" s="401">
        <v>801452</v>
      </c>
      <c r="H403" s="68"/>
      <c r="I403" s="200"/>
      <c r="J403" s="200"/>
      <c r="K403" s="200"/>
      <c r="L403" s="200"/>
      <c r="M403" s="204"/>
      <c r="N403" s="200"/>
    </row>
    <row r="404" spans="1:14" s="209" customFormat="1">
      <c r="A404" s="335" t="s">
        <v>423</v>
      </c>
      <c r="B404" s="210" t="s">
        <v>12</v>
      </c>
      <c r="C404" s="401">
        <v>-18517</v>
      </c>
      <c r="D404" s="401">
        <v>424757</v>
      </c>
      <c r="E404" s="401">
        <v>76253</v>
      </c>
      <c r="F404" s="402">
        <v>-10523</v>
      </c>
      <c r="G404" s="401">
        <v>127101</v>
      </c>
      <c r="H404" s="68"/>
      <c r="I404" s="200"/>
      <c r="J404" s="200"/>
      <c r="K404" s="200"/>
      <c r="L404" s="200"/>
      <c r="M404" s="204"/>
      <c r="N404" s="200"/>
    </row>
    <row r="405" spans="1:14" s="209" customFormat="1">
      <c r="A405" s="418" t="s">
        <v>138</v>
      </c>
      <c r="B405" s="417" t="s">
        <v>138</v>
      </c>
      <c r="C405" s="401">
        <v>2806602</v>
      </c>
      <c r="D405" s="401">
        <v>2264632</v>
      </c>
      <c r="E405" s="401">
        <v>970021</v>
      </c>
      <c r="F405" s="402">
        <v>737492</v>
      </c>
      <c r="G405" s="401">
        <v>1033831</v>
      </c>
      <c r="H405" s="68"/>
      <c r="I405" s="200"/>
      <c r="J405" s="200"/>
      <c r="K405" s="200"/>
      <c r="L405" s="200"/>
      <c r="M405" s="204"/>
      <c r="N405" s="200"/>
    </row>
    <row r="406" spans="1:14" s="209" customFormat="1">
      <c r="B406" s="208"/>
      <c r="C406" s="68"/>
      <c r="D406" s="68"/>
      <c r="E406" s="68"/>
      <c r="F406" s="344"/>
      <c r="G406" s="68"/>
      <c r="H406" s="68"/>
      <c r="I406" s="200"/>
      <c r="J406" s="200"/>
      <c r="K406" s="200"/>
      <c r="L406" s="200"/>
      <c r="M406" s="204"/>
      <c r="N406" s="200"/>
    </row>
    <row r="407" spans="1:14" s="209" customFormat="1" ht="28">
      <c r="B407" s="208" t="s">
        <v>15</v>
      </c>
      <c r="C407" s="68"/>
      <c r="D407" s="68"/>
      <c r="E407" s="68"/>
      <c r="F407" s="344"/>
      <c r="G407" s="68"/>
      <c r="H407" s="68"/>
      <c r="I407" s="200"/>
      <c r="J407" s="200"/>
      <c r="K407" s="200"/>
      <c r="L407" s="200"/>
      <c r="M407" s="204"/>
      <c r="N407" s="200"/>
    </row>
    <row r="408" spans="1:14" s="209" customFormat="1">
      <c r="A408" s="335" t="s">
        <v>424</v>
      </c>
      <c r="B408" s="203" t="s">
        <v>23</v>
      </c>
      <c r="C408" s="401">
        <v>1048274</v>
      </c>
      <c r="D408" s="401">
        <v>780486</v>
      </c>
      <c r="E408" s="401">
        <v>355729</v>
      </c>
      <c r="F408" s="402">
        <v>229581</v>
      </c>
      <c r="G408" s="401">
        <v>232378</v>
      </c>
      <c r="H408" s="68"/>
      <c r="I408" s="200"/>
      <c r="J408" s="200"/>
      <c r="K408" s="200"/>
      <c r="L408" s="200"/>
      <c r="M408" s="204"/>
      <c r="N408" s="200"/>
    </row>
    <row r="409" spans="1:14" s="209" customFormat="1">
      <c r="A409" s="16"/>
      <c r="B409" s="205"/>
      <c r="C409" s="68"/>
      <c r="D409" s="68"/>
      <c r="E409" s="68"/>
      <c r="F409" s="344"/>
      <c r="G409" s="68"/>
      <c r="H409" s="68"/>
      <c r="I409" s="200"/>
      <c r="J409" s="200"/>
      <c r="K409" s="200"/>
      <c r="L409" s="200"/>
      <c r="M409" s="204"/>
      <c r="N409" s="200"/>
    </row>
    <row r="410" spans="1:14" s="209" customFormat="1">
      <c r="A410" s="16"/>
      <c r="B410" s="205"/>
      <c r="C410" s="68"/>
      <c r="D410" s="68"/>
      <c r="E410" s="68"/>
      <c r="F410" s="344"/>
      <c r="G410" s="68"/>
      <c r="H410" s="68"/>
      <c r="I410" s="200"/>
      <c r="J410" s="200"/>
      <c r="K410" s="200"/>
      <c r="L410" s="200"/>
      <c r="M410" s="204"/>
      <c r="N410" s="200"/>
    </row>
    <row r="411" spans="1:14" s="165" customFormat="1">
      <c r="A411" s="163"/>
      <c r="B411" s="404"/>
      <c r="C411" s="405"/>
      <c r="D411" s="405"/>
      <c r="E411" s="405"/>
      <c r="F411" s="406"/>
      <c r="G411" s="405"/>
      <c r="H411" s="405"/>
      <c r="M411" s="407"/>
    </row>
    <row r="412" spans="1:14" s="209" customFormat="1">
      <c r="A412" s="16"/>
      <c r="B412" s="205"/>
      <c r="C412" s="68"/>
      <c r="D412" s="68"/>
      <c r="E412" s="68"/>
      <c r="F412" s="344"/>
      <c r="G412" s="68"/>
      <c r="H412" s="68"/>
      <c r="I412" s="200"/>
      <c r="J412" s="200"/>
      <c r="K412" s="200"/>
      <c r="L412" s="200"/>
      <c r="M412" s="204"/>
      <c r="N412" s="200"/>
    </row>
    <row r="413" spans="1:14" s="209" customFormat="1">
      <c r="A413" s="50" t="s">
        <v>257</v>
      </c>
      <c r="B413" s="205"/>
      <c r="C413" s="68"/>
      <c r="D413" s="68"/>
      <c r="E413" s="68"/>
      <c r="F413" s="344"/>
      <c r="G413" s="68"/>
      <c r="H413" s="68"/>
      <c r="I413" s="200"/>
      <c r="J413" s="200"/>
      <c r="K413" s="200"/>
      <c r="L413" s="200"/>
      <c r="M413" s="204"/>
      <c r="N413" s="200"/>
    </row>
    <row r="414" spans="1:14" s="209" customFormat="1">
      <c r="A414" s="336" t="s">
        <v>448</v>
      </c>
      <c r="B414" s="205"/>
      <c r="C414" s="403">
        <v>2009</v>
      </c>
      <c r="D414" s="403">
        <v>2008</v>
      </c>
      <c r="E414" s="403">
        <v>2007</v>
      </c>
      <c r="F414" s="346" t="s">
        <v>449</v>
      </c>
      <c r="G414" s="403">
        <v>2005</v>
      </c>
      <c r="H414" s="68"/>
      <c r="I414" s="200"/>
      <c r="J414" s="200"/>
      <c r="K414" s="200"/>
      <c r="L414" s="200"/>
      <c r="M414" s="204"/>
      <c r="N414" s="200"/>
    </row>
    <row r="415" spans="1:14" s="209" customFormat="1" ht="28">
      <c r="A415" s="335" t="s">
        <v>421</v>
      </c>
      <c r="B415" s="211" t="s">
        <v>11</v>
      </c>
      <c r="C415" s="401">
        <v>12745000</v>
      </c>
      <c r="D415" s="401">
        <v>14149000</v>
      </c>
      <c r="E415" s="401">
        <v>13836000</v>
      </c>
      <c r="F415" s="402">
        <v>13319000</v>
      </c>
      <c r="G415" s="401">
        <v>10214000</v>
      </c>
      <c r="H415" s="68"/>
      <c r="I415" s="200"/>
      <c r="J415" s="200"/>
      <c r="K415" s="200"/>
      <c r="L415" s="200"/>
      <c r="M415" s="204"/>
      <c r="N415" s="200"/>
    </row>
    <row r="416" spans="1:14" s="209" customFormat="1">
      <c r="B416" s="208" t="s">
        <v>2</v>
      </c>
      <c r="C416" s="68"/>
      <c r="D416" s="68"/>
      <c r="E416" s="68"/>
      <c r="F416" s="344"/>
      <c r="G416" s="68"/>
      <c r="H416" s="68"/>
      <c r="I416" s="200"/>
      <c r="J416" s="200"/>
      <c r="K416" s="200"/>
      <c r="L416" s="200"/>
      <c r="M416" s="204"/>
      <c r="N416" s="200"/>
    </row>
    <row r="417" spans="1:14" s="209" customFormat="1">
      <c r="B417" s="208" t="s">
        <v>3</v>
      </c>
      <c r="C417" s="68"/>
      <c r="D417" s="68"/>
      <c r="E417" s="68"/>
      <c r="F417" s="344"/>
      <c r="G417" s="68"/>
      <c r="H417" s="68"/>
      <c r="I417" s="200"/>
      <c r="J417" s="200"/>
      <c r="K417" s="200"/>
      <c r="L417" s="200"/>
      <c r="M417" s="204"/>
      <c r="N417" s="200"/>
    </row>
    <row r="418" spans="1:14" s="209" customFormat="1">
      <c r="A418" s="335" t="s">
        <v>422</v>
      </c>
      <c r="B418" s="206" t="s">
        <v>8</v>
      </c>
      <c r="C418" s="401">
        <v>9946000</v>
      </c>
      <c r="D418" s="401">
        <v>12650000</v>
      </c>
      <c r="E418" s="401">
        <v>11028000</v>
      </c>
      <c r="F418" s="402">
        <v>11380000</v>
      </c>
      <c r="G418" s="401">
        <v>4714000</v>
      </c>
      <c r="H418" s="68"/>
      <c r="I418" s="200"/>
      <c r="J418" s="200"/>
      <c r="K418" s="200"/>
      <c r="L418" s="200"/>
      <c r="M418" s="204"/>
      <c r="N418" s="200"/>
    </row>
    <row r="419" spans="1:14" s="209" customFormat="1">
      <c r="A419" s="335" t="s">
        <v>423</v>
      </c>
      <c r="B419" s="210" t="s">
        <v>12</v>
      </c>
      <c r="C419" s="401">
        <v>395000</v>
      </c>
      <c r="D419" s="401">
        <v>-906000</v>
      </c>
      <c r="E419" s="401">
        <v>635000</v>
      </c>
      <c r="F419" s="402">
        <v>2143000</v>
      </c>
      <c r="G419" s="401">
        <v>874000</v>
      </c>
      <c r="H419" s="68"/>
      <c r="I419" s="200"/>
      <c r="J419" s="200"/>
      <c r="K419" s="200"/>
      <c r="L419" s="200"/>
      <c r="M419" s="204"/>
      <c r="N419" s="200"/>
    </row>
    <row r="420" spans="1:14" s="209" customFormat="1">
      <c r="A420" s="418" t="s">
        <v>138</v>
      </c>
      <c r="B420" s="417" t="s">
        <v>138</v>
      </c>
      <c r="C420" s="401">
        <v>15220000</v>
      </c>
      <c r="D420" s="401">
        <v>16391000</v>
      </c>
      <c r="E420" s="401">
        <v>15991000</v>
      </c>
      <c r="F420" s="402">
        <v>16549000</v>
      </c>
      <c r="G420" s="401">
        <v>7935000</v>
      </c>
      <c r="H420" s="68"/>
      <c r="I420" s="200"/>
      <c r="J420" s="200"/>
      <c r="K420" s="200"/>
      <c r="L420" s="200"/>
      <c r="M420" s="204"/>
      <c r="N420" s="200"/>
    </row>
    <row r="421" spans="1:14" s="209" customFormat="1">
      <c r="B421" s="208"/>
      <c r="C421" s="68"/>
      <c r="D421" s="68"/>
      <c r="E421" s="68"/>
      <c r="F421" s="344"/>
      <c r="G421" s="68"/>
      <c r="H421" s="68"/>
      <c r="I421" s="200"/>
      <c r="J421" s="200"/>
      <c r="K421" s="200"/>
      <c r="L421" s="200"/>
      <c r="M421" s="204"/>
      <c r="N421" s="200"/>
    </row>
    <row r="422" spans="1:14" s="209" customFormat="1" ht="28">
      <c r="B422" s="208" t="s">
        <v>15</v>
      </c>
      <c r="C422" s="68"/>
      <c r="D422" s="68"/>
      <c r="E422" s="68"/>
      <c r="F422" s="344"/>
      <c r="G422" s="68"/>
      <c r="H422" s="68"/>
      <c r="I422" s="200"/>
      <c r="J422" s="200"/>
      <c r="K422" s="200"/>
      <c r="L422" s="200"/>
      <c r="M422" s="204"/>
      <c r="N422" s="200"/>
    </row>
    <row r="423" spans="1:14" s="209" customFormat="1">
      <c r="A423" s="335" t="s">
        <v>424</v>
      </c>
      <c r="B423" s="203" t="s">
        <v>23</v>
      </c>
      <c r="C423" s="401">
        <v>5274000</v>
      </c>
      <c r="D423" s="401">
        <v>3741000</v>
      </c>
      <c r="E423" s="401">
        <v>4963000</v>
      </c>
      <c r="F423" s="402">
        <v>5169000</v>
      </c>
      <c r="G423" s="401">
        <v>3221000</v>
      </c>
      <c r="H423" s="68"/>
      <c r="I423" s="200"/>
      <c r="J423" s="200"/>
      <c r="K423" s="200"/>
      <c r="L423" s="200"/>
      <c r="M423" s="204"/>
      <c r="N423" s="200"/>
    </row>
    <row r="424" spans="1:14" s="209" customFormat="1">
      <c r="A424" s="16"/>
      <c r="B424" s="205"/>
      <c r="C424" s="68"/>
      <c r="D424" s="68"/>
      <c r="E424" s="68"/>
      <c r="F424" s="344"/>
      <c r="G424" s="68"/>
      <c r="H424" s="68"/>
      <c r="I424" s="200"/>
      <c r="J424" s="200"/>
      <c r="K424" s="200"/>
      <c r="L424" s="200"/>
      <c r="M424" s="204"/>
      <c r="N424" s="200"/>
    </row>
    <row r="425" spans="1:14" s="209" customFormat="1">
      <c r="A425" s="16"/>
      <c r="B425" s="205"/>
      <c r="C425" s="68"/>
      <c r="D425" s="68"/>
      <c r="E425" s="68"/>
      <c r="F425" s="344"/>
      <c r="G425" s="68"/>
      <c r="H425" s="68"/>
      <c r="I425" s="200"/>
      <c r="J425" s="200"/>
      <c r="K425" s="200"/>
      <c r="L425" s="200"/>
      <c r="M425" s="204"/>
      <c r="N425" s="200"/>
    </row>
    <row r="426" spans="1:14" s="209" customFormat="1">
      <c r="A426" s="336" t="s">
        <v>450</v>
      </c>
      <c r="B426" s="205"/>
      <c r="C426" s="403">
        <v>2009</v>
      </c>
      <c r="D426" s="403">
        <v>2008</v>
      </c>
      <c r="E426" s="403">
        <v>2007</v>
      </c>
      <c r="F426" s="346" t="s">
        <v>449</v>
      </c>
      <c r="G426" s="403">
        <v>2005</v>
      </c>
      <c r="H426" s="68"/>
      <c r="I426" s="200"/>
      <c r="J426" s="200"/>
      <c r="K426" s="200"/>
      <c r="L426" s="200"/>
      <c r="M426" s="204"/>
      <c r="N426" s="200"/>
    </row>
    <row r="427" spans="1:14" s="209" customFormat="1" ht="28">
      <c r="A427" s="335" t="s">
        <v>421</v>
      </c>
      <c r="B427" s="211" t="s">
        <v>11</v>
      </c>
      <c r="C427" s="401">
        <v>1741095</v>
      </c>
      <c r="D427" s="401" t="s">
        <v>451</v>
      </c>
      <c r="E427" s="401" t="s">
        <v>452</v>
      </c>
      <c r="F427" s="402" t="s">
        <v>453</v>
      </c>
      <c r="G427" s="401" t="s">
        <v>454</v>
      </c>
      <c r="H427" s="68"/>
      <c r="I427" s="200"/>
      <c r="J427" s="200"/>
      <c r="K427" s="200"/>
      <c r="L427" s="200"/>
      <c r="M427" s="204"/>
      <c r="N427" s="200"/>
    </row>
    <row r="428" spans="1:14" s="209" customFormat="1">
      <c r="B428" s="208" t="s">
        <v>2</v>
      </c>
      <c r="C428" s="68"/>
      <c r="D428" s="68"/>
      <c r="E428" s="68"/>
      <c r="F428" s="344"/>
      <c r="G428" s="68"/>
      <c r="H428" s="68"/>
      <c r="I428" s="200"/>
      <c r="J428" s="200"/>
      <c r="K428" s="200"/>
      <c r="L428" s="200"/>
      <c r="M428" s="204"/>
      <c r="N428" s="200"/>
    </row>
    <row r="429" spans="1:14" s="209" customFormat="1">
      <c r="B429" s="208" t="s">
        <v>3</v>
      </c>
      <c r="C429" s="68"/>
      <c r="D429" s="68"/>
      <c r="E429" s="68"/>
      <c r="F429" s="344"/>
      <c r="G429" s="68"/>
      <c r="H429" s="68"/>
      <c r="I429" s="200"/>
      <c r="J429" s="200"/>
      <c r="K429" s="200"/>
      <c r="L429" s="200"/>
      <c r="M429" s="204"/>
      <c r="N429" s="200"/>
    </row>
    <row r="430" spans="1:14" s="209" customFormat="1">
      <c r="A430" s="335" t="s">
        <v>422</v>
      </c>
      <c r="B430" s="206" t="s">
        <v>8</v>
      </c>
      <c r="C430" s="401" t="s">
        <v>455</v>
      </c>
      <c r="D430" s="401" t="s">
        <v>456</v>
      </c>
      <c r="E430" s="401" t="s">
        <v>457</v>
      </c>
      <c r="F430" s="402" t="s">
        <v>458</v>
      </c>
      <c r="G430" s="401" t="s">
        <v>459</v>
      </c>
      <c r="H430" s="68"/>
      <c r="I430" s="200"/>
      <c r="J430" s="200"/>
      <c r="K430" s="200"/>
      <c r="L430" s="200"/>
      <c r="M430" s="204"/>
      <c r="N430" s="200"/>
    </row>
    <row r="431" spans="1:14" s="209" customFormat="1">
      <c r="A431" s="335" t="s">
        <v>423</v>
      </c>
      <c r="B431" s="210" t="s">
        <v>12</v>
      </c>
      <c r="C431" s="401" t="s">
        <v>460</v>
      </c>
      <c r="D431" s="401" t="s">
        <v>461</v>
      </c>
      <c r="E431" s="401" t="s">
        <v>462</v>
      </c>
      <c r="F431" s="402" t="s">
        <v>463</v>
      </c>
      <c r="G431" s="401" t="s">
        <v>464</v>
      </c>
      <c r="H431" s="68"/>
      <c r="I431" s="200"/>
      <c r="J431" s="200"/>
      <c r="K431" s="200"/>
      <c r="L431" s="200"/>
      <c r="M431" s="204"/>
      <c r="N431" s="200"/>
    </row>
    <row r="432" spans="1:14" s="209" customFormat="1">
      <c r="A432" s="418" t="s">
        <v>138</v>
      </c>
      <c r="B432" s="417" t="s">
        <v>138</v>
      </c>
      <c r="C432" s="401">
        <v>1582580</v>
      </c>
      <c r="D432" s="401">
        <v>1644608</v>
      </c>
      <c r="E432" s="401">
        <v>1696914</v>
      </c>
      <c r="F432" s="402">
        <v>1550502</v>
      </c>
      <c r="G432" s="401">
        <v>1306964</v>
      </c>
      <c r="H432" s="68"/>
      <c r="I432" s="200"/>
      <c r="J432" s="200"/>
      <c r="K432" s="200"/>
      <c r="L432" s="200"/>
      <c r="M432" s="204"/>
      <c r="N432" s="200"/>
    </row>
    <row r="433" spans="1:14" s="209" customFormat="1">
      <c r="B433" s="208"/>
      <c r="C433" s="68"/>
      <c r="D433" s="68"/>
      <c r="E433" s="68"/>
      <c r="F433" s="344"/>
      <c r="G433" s="68"/>
      <c r="H433" s="68"/>
      <c r="I433" s="200"/>
      <c r="J433" s="200"/>
      <c r="K433" s="200"/>
      <c r="L433" s="200"/>
      <c r="M433" s="204"/>
      <c r="N433" s="200"/>
    </row>
    <row r="434" spans="1:14" s="209" customFormat="1" ht="28">
      <c r="B434" s="208" t="s">
        <v>15</v>
      </c>
      <c r="C434" s="68"/>
      <c r="D434" s="68"/>
      <c r="E434" s="68"/>
      <c r="F434" s="344"/>
      <c r="G434" s="68"/>
      <c r="H434" s="68"/>
      <c r="I434" s="200"/>
      <c r="J434" s="200"/>
      <c r="K434" s="200"/>
      <c r="L434" s="200"/>
      <c r="M434" s="204"/>
      <c r="N434" s="200"/>
    </row>
    <row r="435" spans="1:14" s="209" customFormat="1">
      <c r="A435" s="335" t="s">
        <v>424</v>
      </c>
      <c r="B435" s="203" t="s">
        <v>23</v>
      </c>
      <c r="C435" s="401" t="s">
        <v>465</v>
      </c>
      <c r="D435" s="401" t="s">
        <v>466</v>
      </c>
      <c r="E435" s="401" t="s">
        <v>467</v>
      </c>
      <c r="F435" s="402" t="s">
        <v>468</v>
      </c>
      <c r="G435" s="401" t="s">
        <v>469</v>
      </c>
      <c r="H435" s="68"/>
      <c r="I435" s="200"/>
      <c r="J435" s="200"/>
      <c r="K435" s="200"/>
      <c r="L435" s="200"/>
      <c r="M435" s="204"/>
      <c r="N435" s="200"/>
    </row>
    <row r="436" spans="1:14" s="209" customFormat="1">
      <c r="A436" s="16"/>
      <c r="B436" s="205"/>
      <c r="C436" s="68"/>
      <c r="D436" s="68"/>
      <c r="E436" s="68"/>
      <c r="F436" s="344"/>
      <c r="G436" s="68"/>
      <c r="H436" s="68"/>
      <c r="I436" s="200"/>
      <c r="J436" s="200"/>
      <c r="K436" s="200"/>
      <c r="L436" s="200"/>
      <c r="M436" s="204"/>
      <c r="N436" s="200"/>
    </row>
    <row r="437" spans="1:14" s="209" customFormat="1">
      <c r="A437" s="16"/>
      <c r="B437" s="205"/>
      <c r="C437" s="68"/>
      <c r="D437" s="68"/>
      <c r="E437" s="68"/>
      <c r="F437" s="344"/>
      <c r="G437" s="68"/>
      <c r="H437" s="68"/>
      <c r="I437" s="200"/>
      <c r="J437" s="200"/>
      <c r="K437" s="200"/>
      <c r="L437" s="200"/>
      <c r="M437" s="204"/>
      <c r="N437" s="200"/>
    </row>
    <row r="438" spans="1:14" s="209" customFormat="1">
      <c r="A438" s="336" t="s">
        <v>470</v>
      </c>
      <c r="B438" s="205"/>
      <c r="C438" s="403">
        <v>2009</v>
      </c>
      <c r="D438" s="403">
        <v>2008</v>
      </c>
      <c r="E438" s="403">
        <v>2007</v>
      </c>
      <c r="F438" s="346" t="s">
        <v>449</v>
      </c>
      <c r="G438" s="403">
        <v>2005</v>
      </c>
      <c r="H438" s="68"/>
      <c r="I438" s="200"/>
      <c r="J438" s="200"/>
      <c r="K438" s="200"/>
      <c r="L438" s="200"/>
      <c r="M438" s="204"/>
      <c r="N438" s="200"/>
    </row>
    <row r="439" spans="1:14" s="209" customFormat="1" ht="28">
      <c r="A439" s="335" t="s">
        <v>421</v>
      </c>
      <c r="B439" s="211" t="s">
        <v>11</v>
      </c>
      <c r="C439" s="401">
        <v>612738</v>
      </c>
      <c r="D439" s="401">
        <v>497106</v>
      </c>
      <c r="E439" s="401">
        <v>315466</v>
      </c>
      <c r="F439" s="402">
        <v>213784</v>
      </c>
      <c r="G439" s="401">
        <v>153954</v>
      </c>
      <c r="H439" s="68"/>
      <c r="I439" s="200"/>
      <c r="J439" s="200"/>
      <c r="K439" s="200"/>
      <c r="L439" s="200"/>
      <c r="M439" s="204"/>
      <c r="N439" s="200"/>
    </row>
    <row r="440" spans="1:14" s="209" customFormat="1">
      <c r="B440" s="208" t="s">
        <v>2</v>
      </c>
      <c r="C440" s="68"/>
      <c r="D440" s="68"/>
      <c r="E440" s="68"/>
      <c r="F440" s="344"/>
      <c r="G440" s="68"/>
      <c r="H440" s="68"/>
      <c r="I440" s="200"/>
      <c r="J440" s="200"/>
      <c r="K440" s="200"/>
      <c r="L440" s="200"/>
      <c r="M440" s="204"/>
      <c r="N440" s="200"/>
    </row>
    <row r="441" spans="1:14" s="209" customFormat="1">
      <c r="B441" s="208" t="s">
        <v>3</v>
      </c>
      <c r="C441" s="68"/>
      <c r="D441" s="68"/>
      <c r="E441" s="68"/>
      <c r="F441" s="344"/>
      <c r="G441" s="68"/>
      <c r="H441" s="68"/>
      <c r="I441" s="200"/>
      <c r="J441" s="200"/>
      <c r="K441" s="200"/>
      <c r="L441" s="200"/>
      <c r="M441" s="204"/>
      <c r="N441" s="200"/>
    </row>
    <row r="442" spans="1:14" s="209" customFormat="1">
      <c r="A442" s="335" t="s">
        <v>422</v>
      </c>
      <c r="B442" s="206" t="s">
        <v>8</v>
      </c>
      <c r="C442" s="401">
        <v>218788</v>
      </c>
      <c r="D442" s="401">
        <v>205081</v>
      </c>
      <c r="E442" s="401">
        <v>81562</v>
      </c>
      <c r="F442" s="402">
        <v>62808</v>
      </c>
      <c r="G442" s="401">
        <v>35555</v>
      </c>
      <c r="H442" s="68"/>
      <c r="I442" s="200"/>
      <c r="J442" s="200"/>
      <c r="K442" s="200"/>
      <c r="L442" s="200"/>
      <c r="M442" s="204"/>
      <c r="N442" s="200"/>
    </row>
    <row r="443" spans="1:14" s="209" customFormat="1">
      <c r="A443" s="335" t="s">
        <v>423</v>
      </c>
      <c r="B443" s="210" t="s">
        <v>12</v>
      </c>
      <c r="C443" s="401">
        <v>28457</v>
      </c>
      <c r="D443" s="401">
        <v>87704</v>
      </c>
      <c r="E443" s="401">
        <v>12468</v>
      </c>
      <c r="F443" s="402">
        <v>-18191</v>
      </c>
      <c r="G443" s="401">
        <v>2799</v>
      </c>
      <c r="H443" s="68"/>
      <c r="I443" s="200"/>
      <c r="J443" s="200"/>
      <c r="K443" s="200"/>
      <c r="L443" s="200"/>
      <c r="M443" s="204"/>
      <c r="N443" s="200"/>
    </row>
    <row r="444" spans="1:14" s="209" customFormat="1">
      <c r="A444" s="418" t="s">
        <v>138</v>
      </c>
      <c r="B444" s="417" t="s">
        <v>138</v>
      </c>
      <c r="C444" s="401">
        <v>821716</v>
      </c>
      <c r="D444" s="401">
        <v>803294</v>
      </c>
      <c r="E444" s="401">
        <v>613730</v>
      </c>
      <c r="F444" s="402">
        <v>562278</v>
      </c>
      <c r="G444" s="401">
        <v>325505</v>
      </c>
      <c r="H444" s="68"/>
      <c r="I444" s="200"/>
      <c r="J444" s="200"/>
      <c r="K444" s="200"/>
      <c r="L444" s="200"/>
      <c r="M444" s="204"/>
      <c r="N444" s="200"/>
    </row>
    <row r="445" spans="1:14" s="209" customFormat="1">
      <c r="B445" s="208"/>
      <c r="C445" s="68"/>
      <c r="D445" s="68"/>
      <c r="E445" s="68"/>
      <c r="F445" s="344"/>
      <c r="G445" s="68"/>
      <c r="H445" s="68"/>
      <c r="I445" s="200"/>
      <c r="J445" s="200"/>
      <c r="K445" s="200"/>
      <c r="L445" s="200"/>
      <c r="M445" s="204"/>
      <c r="N445" s="200"/>
    </row>
    <row r="446" spans="1:14" s="209" customFormat="1" ht="28">
      <c r="B446" s="208" t="s">
        <v>15</v>
      </c>
      <c r="C446" s="68"/>
      <c r="D446" s="68"/>
      <c r="E446" s="68"/>
      <c r="F446" s="344"/>
      <c r="G446" s="68"/>
      <c r="H446" s="68"/>
      <c r="I446" s="200"/>
      <c r="J446" s="200"/>
      <c r="K446" s="200"/>
      <c r="L446" s="200"/>
      <c r="M446" s="204"/>
      <c r="N446" s="200"/>
    </row>
    <row r="447" spans="1:14" s="209" customFormat="1">
      <c r="A447" s="335" t="s">
        <v>424</v>
      </c>
      <c r="B447" s="203" t="s">
        <v>23</v>
      </c>
      <c r="C447" s="401">
        <v>602927</v>
      </c>
      <c r="D447" s="401">
        <v>598213</v>
      </c>
      <c r="E447" s="401">
        <v>532168</v>
      </c>
      <c r="F447" s="402">
        <v>499470</v>
      </c>
      <c r="G447" s="401">
        <v>289950</v>
      </c>
      <c r="H447" s="68"/>
      <c r="I447" s="200"/>
      <c r="J447" s="200"/>
      <c r="K447" s="200"/>
      <c r="L447" s="200"/>
      <c r="M447" s="204"/>
      <c r="N447" s="200"/>
    </row>
    <row r="448" spans="1:14" s="209" customFormat="1">
      <c r="A448" s="16"/>
      <c r="B448" s="205"/>
      <c r="C448" s="68"/>
      <c r="D448" s="68"/>
      <c r="E448" s="68"/>
      <c r="F448" s="344"/>
      <c r="G448" s="68"/>
      <c r="H448" s="68"/>
      <c r="I448" s="200"/>
      <c r="J448" s="200"/>
      <c r="K448" s="200"/>
      <c r="L448" s="200"/>
      <c r="M448" s="204"/>
      <c r="N448" s="200"/>
    </row>
    <row r="449" spans="1:14" s="209" customFormat="1">
      <c r="A449" s="16"/>
      <c r="B449" s="205"/>
      <c r="C449" s="68"/>
      <c r="D449" s="68"/>
      <c r="E449" s="68"/>
      <c r="F449" s="344"/>
      <c r="G449" s="68"/>
      <c r="H449" s="68"/>
      <c r="I449" s="200"/>
      <c r="J449" s="200"/>
      <c r="K449" s="200"/>
      <c r="L449" s="200"/>
      <c r="M449" s="204"/>
      <c r="N449" s="200"/>
    </row>
    <row r="450" spans="1:14" s="165" customFormat="1">
      <c r="A450" s="163"/>
      <c r="B450" s="404"/>
      <c r="C450" s="405"/>
      <c r="D450" s="405"/>
      <c r="E450" s="405"/>
      <c r="F450" s="406"/>
      <c r="G450" s="405"/>
      <c r="H450" s="405"/>
      <c r="M450" s="407"/>
    </row>
    <row r="451" spans="1:14" s="209" customFormat="1">
      <c r="A451" s="16"/>
      <c r="B451" s="205"/>
      <c r="C451" s="68"/>
      <c r="D451" s="68"/>
      <c r="E451" s="68"/>
      <c r="F451" s="344"/>
      <c r="G451" s="68"/>
      <c r="H451" s="68"/>
      <c r="I451" s="200"/>
      <c r="J451" s="200"/>
      <c r="K451" s="200"/>
      <c r="L451" s="200"/>
      <c r="M451" s="204"/>
      <c r="N451" s="200"/>
    </row>
    <row r="452" spans="1:14" s="209" customFormat="1">
      <c r="A452" s="414" t="s">
        <v>258</v>
      </c>
      <c r="B452" s="205"/>
      <c r="C452" s="68"/>
      <c r="D452" s="68"/>
      <c r="E452" s="68"/>
      <c r="F452" s="344"/>
      <c r="G452" s="68"/>
      <c r="H452" s="68"/>
      <c r="I452" s="200"/>
      <c r="J452" s="200"/>
      <c r="K452" s="200"/>
      <c r="L452" s="200"/>
      <c r="M452" s="204"/>
      <c r="N452" s="200"/>
    </row>
    <row r="453" spans="1:14" s="209" customFormat="1">
      <c r="A453" s="336" t="s">
        <v>472</v>
      </c>
      <c r="B453" s="205"/>
      <c r="C453" s="403">
        <v>2008</v>
      </c>
      <c r="D453" s="403">
        <v>2007</v>
      </c>
      <c r="E453" s="403">
        <v>2006</v>
      </c>
      <c r="F453" s="346" t="s">
        <v>471</v>
      </c>
      <c r="G453" s="403">
        <v>2004</v>
      </c>
      <c r="H453" s="68"/>
      <c r="I453" s="200"/>
      <c r="J453" s="200"/>
      <c r="K453" s="200"/>
      <c r="L453" s="200"/>
      <c r="M453" s="204"/>
      <c r="N453" s="200"/>
    </row>
    <row r="454" spans="1:14" s="209" customFormat="1" ht="28">
      <c r="A454" s="335" t="s">
        <v>421</v>
      </c>
      <c r="B454" s="211" t="s">
        <v>11</v>
      </c>
      <c r="C454" s="401">
        <v>818496</v>
      </c>
      <c r="D454" s="401">
        <v>635047</v>
      </c>
      <c r="E454" s="415">
        <v>393043</v>
      </c>
      <c r="F454" s="99">
        <v>267156</v>
      </c>
      <c r="G454" s="415">
        <v>240406</v>
      </c>
      <c r="H454" s="68"/>
      <c r="I454" s="200"/>
      <c r="J454" s="200"/>
      <c r="K454" s="200"/>
      <c r="L454" s="200"/>
      <c r="M454" s="204"/>
      <c r="N454" s="200"/>
    </row>
    <row r="455" spans="1:14" s="209" customFormat="1">
      <c r="B455" s="208" t="s">
        <v>2</v>
      </c>
      <c r="C455" s="68"/>
      <c r="D455" s="68"/>
      <c r="E455" s="416"/>
      <c r="F455" s="94"/>
      <c r="H455" s="68"/>
      <c r="I455" s="200"/>
      <c r="J455" s="200"/>
      <c r="K455" s="200"/>
      <c r="L455" s="200"/>
      <c r="M455" s="204"/>
      <c r="N455" s="200"/>
    </row>
    <row r="456" spans="1:14" s="209" customFormat="1">
      <c r="B456" s="208" t="s">
        <v>3</v>
      </c>
      <c r="C456" s="68"/>
      <c r="D456" s="68"/>
      <c r="E456" s="416"/>
      <c r="F456" s="94"/>
      <c r="H456" s="68"/>
      <c r="I456" s="200"/>
      <c r="J456" s="200"/>
      <c r="K456" s="200"/>
      <c r="L456" s="200"/>
      <c r="M456" s="204"/>
      <c r="N456" s="200"/>
    </row>
    <row r="457" spans="1:14" s="209" customFormat="1">
      <c r="A457" s="335" t="s">
        <v>422</v>
      </c>
      <c r="B457" s="206" t="s">
        <v>8</v>
      </c>
      <c r="C457" s="401">
        <v>281883</v>
      </c>
      <c r="D457" s="401">
        <v>232620</v>
      </c>
      <c r="E457" s="415">
        <v>130727</v>
      </c>
      <c r="F457" s="99">
        <v>85430</v>
      </c>
      <c r="G457" s="415">
        <v>68417</v>
      </c>
      <c r="H457" s="68"/>
      <c r="I457" s="200"/>
      <c r="J457" s="200"/>
      <c r="K457" s="200"/>
      <c r="L457" s="200"/>
      <c r="M457" s="204"/>
      <c r="N457" s="200"/>
    </row>
    <row r="458" spans="1:14" s="209" customFormat="1">
      <c r="A458" s="335" t="s">
        <v>423</v>
      </c>
      <c r="B458" s="210" t="s">
        <v>12</v>
      </c>
      <c r="C458" s="401">
        <v>39439</v>
      </c>
      <c r="D458" s="401">
        <v>32939</v>
      </c>
      <c r="E458" s="415">
        <v>38215</v>
      </c>
      <c r="F458" s="99">
        <v>8261</v>
      </c>
      <c r="G458" s="415">
        <v>7836</v>
      </c>
      <c r="H458" s="68"/>
      <c r="I458" s="200"/>
      <c r="J458" s="200"/>
      <c r="K458" s="200"/>
      <c r="L458" s="200"/>
      <c r="M458" s="204"/>
      <c r="N458" s="200"/>
    </row>
    <row r="459" spans="1:14" s="209" customFormat="1">
      <c r="A459" s="418" t="s">
        <v>138</v>
      </c>
      <c r="B459" s="417" t="s">
        <v>138</v>
      </c>
      <c r="C459" s="401">
        <v>689040</v>
      </c>
      <c r="D459" s="401">
        <v>503327</v>
      </c>
      <c r="E459" s="415">
        <v>366449</v>
      </c>
      <c r="F459" s="99">
        <v>237534</v>
      </c>
      <c r="G459" s="415">
        <v>178475</v>
      </c>
      <c r="H459" s="68"/>
      <c r="I459" s="200"/>
      <c r="J459" s="200"/>
      <c r="K459" s="200"/>
      <c r="L459" s="200"/>
      <c r="M459" s="204"/>
      <c r="N459" s="200"/>
    </row>
    <row r="460" spans="1:14" s="209" customFormat="1">
      <c r="B460" s="208"/>
      <c r="C460" s="68"/>
      <c r="D460" s="68"/>
      <c r="E460" s="416"/>
      <c r="F460" s="94"/>
      <c r="H460" s="68"/>
      <c r="I460" s="200"/>
      <c r="J460" s="200"/>
      <c r="K460" s="200"/>
      <c r="L460" s="200"/>
      <c r="M460" s="204"/>
      <c r="N460" s="200"/>
    </row>
    <row r="461" spans="1:14" s="209" customFormat="1" ht="28">
      <c r="B461" s="208" t="s">
        <v>15</v>
      </c>
      <c r="C461" s="68"/>
      <c r="D461" s="68"/>
      <c r="E461" s="416"/>
      <c r="F461" s="94"/>
      <c r="H461" s="68"/>
      <c r="I461" s="200"/>
      <c r="J461" s="200"/>
      <c r="K461" s="200"/>
      <c r="L461" s="200"/>
      <c r="M461" s="204"/>
      <c r="N461" s="200"/>
    </row>
    <row r="462" spans="1:14" s="209" customFormat="1">
      <c r="A462" s="335" t="s">
        <v>424</v>
      </c>
      <c r="B462" s="203" t="s">
        <v>23</v>
      </c>
      <c r="C462" s="401">
        <v>407157</v>
      </c>
      <c r="D462" s="401">
        <v>270705</v>
      </c>
      <c r="E462" s="415">
        <v>235722</v>
      </c>
      <c r="F462" s="99">
        <v>152104</v>
      </c>
      <c r="G462" s="415">
        <v>110058</v>
      </c>
      <c r="H462" s="68"/>
      <c r="I462" s="200"/>
      <c r="J462" s="200"/>
      <c r="K462" s="200"/>
      <c r="L462" s="200"/>
      <c r="M462" s="204"/>
      <c r="N462" s="200"/>
    </row>
    <row r="463" spans="1:14" s="209" customFormat="1">
      <c r="A463" s="16"/>
      <c r="B463" s="205"/>
      <c r="C463" s="68"/>
      <c r="D463" s="68"/>
      <c r="E463" s="68"/>
      <c r="F463" s="344"/>
      <c r="G463" s="68"/>
      <c r="H463" s="68"/>
      <c r="I463" s="200"/>
      <c r="J463" s="200"/>
      <c r="K463" s="200"/>
      <c r="L463" s="200"/>
      <c r="M463" s="204"/>
      <c r="N463" s="200"/>
    </row>
    <row r="464" spans="1:14" s="209" customFormat="1">
      <c r="A464" s="16"/>
      <c r="B464" s="205"/>
      <c r="C464" s="68"/>
      <c r="D464" s="68"/>
      <c r="E464" s="68"/>
      <c r="F464" s="344"/>
      <c r="G464" s="68"/>
      <c r="H464" s="68"/>
      <c r="I464" s="200"/>
      <c r="J464" s="200"/>
      <c r="K464" s="200"/>
      <c r="L464" s="200"/>
      <c r="M464" s="204"/>
      <c r="N464" s="200"/>
    </row>
    <row r="465" spans="1:14" s="209" customFormat="1">
      <c r="A465" s="336" t="s">
        <v>473</v>
      </c>
      <c r="B465" s="205"/>
      <c r="C465" s="403">
        <v>2008</v>
      </c>
      <c r="D465" s="403">
        <v>2007</v>
      </c>
      <c r="E465" s="403">
        <v>2006</v>
      </c>
      <c r="F465" s="346" t="s">
        <v>471</v>
      </c>
      <c r="G465" s="403">
        <v>2004</v>
      </c>
      <c r="H465" s="68"/>
      <c r="I465" s="200"/>
      <c r="J465" s="200"/>
      <c r="K465" s="200"/>
      <c r="L465" s="200"/>
      <c r="M465" s="204"/>
      <c r="N465" s="200"/>
    </row>
    <row r="466" spans="1:14" s="209" customFormat="1" ht="28">
      <c r="A466" s="335" t="s">
        <v>421</v>
      </c>
      <c r="B466" s="211" t="s">
        <v>11</v>
      </c>
      <c r="C466" s="401">
        <v>14767800</v>
      </c>
      <c r="D466" s="401">
        <v>13210300</v>
      </c>
      <c r="E466" s="401">
        <v>8747000</v>
      </c>
      <c r="F466" s="402">
        <v>3482500</v>
      </c>
      <c r="G466" s="401">
        <v>4568800</v>
      </c>
      <c r="H466" s="68"/>
      <c r="I466" s="200"/>
      <c r="J466" s="200"/>
      <c r="K466" s="200"/>
      <c r="L466" s="200"/>
      <c r="M466" s="204"/>
      <c r="N466" s="200"/>
    </row>
    <row r="467" spans="1:14" s="209" customFormat="1">
      <c r="B467" s="208" t="s">
        <v>2</v>
      </c>
      <c r="C467" s="68"/>
      <c r="D467" s="68"/>
      <c r="E467" s="68"/>
      <c r="F467" s="344"/>
      <c r="G467" s="68"/>
      <c r="H467" s="68"/>
      <c r="I467" s="200"/>
      <c r="J467" s="200"/>
      <c r="K467" s="200"/>
      <c r="L467" s="200"/>
      <c r="M467" s="204"/>
      <c r="N467" s="200"/>
    </row>
    <row r="468" spans="1:14" s="209" customFormat="1">
      <c r="B468" s="208" t="s">
        <v>3</v>
      </c>
      <c r="C468" s="68"/>
      <c r="D468" s="68"/>
      <c r="E468" s="68"/>
      <c r="F468" s="344"/>
      <c r="G468" s="68"/>
      <c r="H468" s="68"/>
      <c r="I468" s="200"/>
      <c r="J468" s="200"/>
      <c r="K468" s="200"/>
      <c r="L468" s="200"/>
      <c r="M468" s="204"/>
      <c r="N468" s="200"/>
    </row>
    <row r="469" spans="1:14" s="209" customFormat="1">
      <c r="A469" s="335" t="s">
        <v>422</v>
      </c>
      <c r="B469" s="206" t="s">
        <v>8</v>
      </c>
      <c r="C469" s="401">
        <v>5423800</v>
      </c>
      <c r="D469" s="401">
        <v>4624200</v>
      </c>
      <c r="E469" s="401">
        <v>4691400</v>
      </c>
      <c r="F469" s="402">
        <v>1640700</v>
      </c>
      <c r="G469" s="401">
        <v>1787400</v>
      </c>
      <c r="H469" s="68"/>
      <c r="I469" s="200"/>
      <c r="J469" s="200"/>
      <c r="K469" s="200"/>
      <c r="L469" s="200"/>
      <c r="M469" s="204"/>
      <c r="N469" s="200"/>
    </row>
    <row r="470" spans="1:14" s="209" customFormat="1">
      <c r="A470" s="335" t="s">
        <v>423</v>
      </c>
      <c r="B470" s="210" t="s">
        <v>12</v>
      </c>
      <c r="C470" s="401">
        <v>431100</v>
      </c>
      <c r="D470" s="401">
        <v>423200</v>
      </c>
      <c r="E470" s="401">
        <v>-43400</v>
      </c>
      <c r="F470" s="402">
        <v>-153000</v>
      </c>
      <c r="G470" s="401">
        <v>-215500</v>
      </c>
      <c r="H470" s="68"/>
      <c r="I470" s="200"/>
      <c r="J470" s="200"/>
      <c r="K470" s="200"/>
      <c r="L470" s="200"/>
      <c r="M470" s="204"/>
      <c r="N470" s="200"/>
    </row>
    <row r="471" spans="1:14" s="209" customFormat="1">
      <c r="A471" s="418" t="s">
        <v>138</v>
      </c>
      <c r="B471" s="417" t="s">
        <v>138</v>
      </c>
      <c r="C471" s="401">
        <v>8282100</v>
      </c>
      <c r="D471" s="401">
        <v>6724600</v>
      </c>
      <c r="E471" s="401">
        <v>6445400</v>
      </c>
      <c r="F471" s="402">
        <v>1727200</v>
      </c>
      <c r="G471" s="401">
        <v>2581400</v>
      </c>
      <c r="H471" s="68"/>
      <c r="I471" s="200"/>
      <c r="J471" s="200"/>
      <c r="K471" s="200"/>
      <c r="L471" s="200"/>
      <c r="M471" s="204"/>
      <c r="N471" s="200"/>
    </row>
    <row r="472" spans="1:14" s="209" customFormat="1">
      <c r="B472" s="208"/>
      <c r="C472" s="68"/>
      <c r="D472" s="68"/>
      <c r="E472" s="68"/>
      <c r="F472" s="344"/>
      <c r="G472" s="68"/>
      <c r="H472" s="68"/>
      <c r="I472" s="200"/>
      <c r="J472" s="200"/>
      <c r="K472" s="200"/>
      <c r="L472" s="200"/>
      <c r="M472" s="204"/>
      <c r="N472" s="200"/>
    </row>
    <row r="473" spans="1:14" s="209" customFormat="1" ht="28">
      <c r="B473" s="208" t="s">
        <v>15</v>
      </c>
      <c r="C473" s="68"/>
      <c r="D473" s="68"/>
      <c r="E473" s="68"/>
      <c r="F473" s="344"/>
      <c r="G473" s="68"/>
      <c r="H473" s="68"/>
      <c r="I473" s="200"/>
      <c r="J473" s="200"/>
      <c r="K473" s="200"/>
      <c r="L473" s="200"/>
      <c r="M473" s="204"/>
      <c r="N473" s="200"/>
    </row>
    <row r="474" spans="1:14" s="209" customFormat="1">
      <c r="A474" s="335" t="s">
        <v>424</v>
      </c>
      <c r="B474" s="203" t="s">
        <v>23</v>
      </c>
      <c r="C474" s="401">
        <v>2858300</v>
      </c>
      <c r="D474" s="401">
        <v>2100400</v>
      </c>
      <c r="E474" s="401">
        <v>1754000</v>
      </c>
      <c r="F474" s="402">
        <v>86500</v>
      </c>
      <c r="G474" s="401">
        <v>794000</v>
      </c>
      <c r="H474" s="68"/>
      <c r="I474" s="200"/>
      <c r="J474" s="200"/>
      <c r="K474" s="200"/>
      <c r="L474" s="200"/>
      <c r="M474" s="204"/>
      <c r="N474" s="200"/>
    </row>
    <row r="475" spans="1:14" s="209" customFormat="1">
      <c r="A475" s="16"/>
      <c r="B475" s="205"/>
      <c r="C475" s="68"/>
      <c r="D475" s="68"/>
      <c r="E475" s="68"/>
      <c r="F475" s="344"/>
      <c r="G475" s="68"/>
      <c r="H475" s="68"/>
      <c r="I475" s="200"/>
      <c r="J475" s="200"/>
      <c r="K475" s="200"/>
      <c r="L475" s="200"/>
      <c r="M475" s="204"/>
      <c r="N475" s="200"/>
    </row>
    <row r="476" spans="1:14" s="209" customFormat="1">
      <c r="A476" s="16"/>
      <c r="B476" s="205"/>
      <c r="C476" s="68"/>
      <c r="D476" s="68"/>
      <c r="E476" s="68"/>
      <c r="F476" s="344"/>
      <c r="G476" s="68"/>
      <c r="H476" s="68"/>
      <c r="I476" s="200"/>
      <c r="J476" s="200"/>
      <c r="K476" s="200"/>
      <c r="L476" s="200"/>
      <c r="M476" s="204"/>
      <c r="N476" s="200"/>
    </row>
    <row r="477" spans="1:14" s="165" customFormat="1">
      <c r="A477" s="163"/>
      <c r="B477" s="404"/>
      <c r="C477" s="405"/>
      <c r="D477" s="405"/>
      <c r="E477" s="405"/>
      <c r="F477" s="406"/>
      <c r="G477" s="405"/>
      <c r="H477" s="405"/>
      <c r="M477" s="407"/>
    </row>
    <row r="478" spans="1:14" s="209" customFormat="1">
      <c r="A478" s="16"/>
      <c r="B478" s="205"/>
      <c r="C478" s="68"/>
      <c r="D478" s="68"/>
      <c r="E478" s="68"/>
      <c r="F478" s="344"/>
      <c r="G478" s="68"/>
      <c r="H478" s="68"/>
      <c r="I478" s="200"/>
      <c r="J478" s="200"/>
      <c r="K478" s="200"/>
      <c r="L478" s="200"/>
      <c r="M478" s="204"/>
      <c r="N478" s="200"/>
    </row>
    <row r="479" spans="1:14" s="209" customFormat="1">
      <c r="A479" s="50" t="s">
        <v>259</v>
      </c>
      <c r="B479" s="205"/>
      <c r="C479" s="68"/>
      <c r="D479" s="68"/>
      <c r="E479" s="68"/>
      <c r="F479" s="344"/>
      <c r="G479" s="68"/>
      <c r="H479" s="68"/>
      <c r="I479" s="200"/>
      <c r="J479" s="200"/>
      <c r="K479" s="200"/>
      <c r="L479" s="200"/>
      <c r="M479" s="204"/>
      <c r="N479" s="200"/>
    </row>
    <row r="480" spans="1:14" s="209" customFormat="1">
      <c r="A480" s="336" t="s">
        <v>473</v>
      </c>
      <c r="B480" s="205"/>
      <c r="C480" s="403">
        <v>2016</v>
      </c>
      <c r="D480" s="403">
        <v>2015</v>
      </c>
      <c r="E480" s="403">
        <v>2014</v>
      </c>
      <c r="F480" s="346" t="s">
        <v>474</v>
      </c>
      <c r="G480" s="403">
        <v>2012</v>
      </c>
      <c r="H480" s="68"/>
      <c r="I480" s="200"/>
      <c r="J480" s="200"/>
      <c r="K480" s="200"/>
      <c r="L480" s="200"/>
      <c r="M480" s="204"/>
      <c r="N480" s="200"/>
    </row>
    <row r="481" spans="1:14" s="209" customFormat="1" ht="28">
      <c r="A481" s="335" t="s">
        <v>421</v>
      </c>
      <c r="B481" s="211" t="s">
        <v>11</v>
      </c>
      <c r="C481" s="401">
        <v>31188000</v>
      </c>
      <c r="D481" s="401">
        <v>27904000</v>
      </c>
      <c r="E481" s="401">
        <v>24588000</v>
      </c>
      <c r="F481" s="402">
        <v>22095800</v>
      </c>
      <c r="G481" s="401">
        <v>20930300</v>
      </c>
      <c r="H481" s="68"/>
      <c r="I481" s="200"/>
      <c r="J481" s="200"/>
      <c r="K481" s="200"/>
      <c r="L481" s="200"/>
      <c r="M481" s="204"/>
      <c r="N481" s="200"/>
    </row>
    <row r="482" spans="1:14" s="209" customFormat="1">
      <c r="B482" s="208" t="s">
        <v>2</v>
      </c>
      <c r="C482" s="68"/>
      <c r="D482" s="68"/>
      <c r="E482" s="68"/>
      <c r="F482" s="344"/>
      <c r="G482" s="68"/>
      <c r="H482" s="68"/>
      <c r="I482" s="200"/>
      <c r="J482" s="200"/>
      <c r="K482" s="200"/>
      <c r="L482" s="200"/>
      <c r="M482" s="204"/>
      <c r="N482" s="200"/>
    </row>
    <row r="483" spans="1:14" s="209" customFormat="1">
      <c r="B483" s="208" t="s">
        <v>3</v>
      </c>
      <c r="C483" s="68"/>
      <c r="D483" s="68"/>
      <c r="E483" s="68"/>
      <c r="F483" s="344"/>
      <c r="G483" s="68"/>
      <c r="H483" s="68"/>
      <c r="I483" s="200"/>
      <c r="J483" s="200"/>
      <c r="K483" s="200"/>
      <c r="L483" s="200"/>
      <c r="M483" s="204"/>
      <c r="N483" s="200"/>
    </row>
    <row r="484" spans="1:14" s="209" customFormat="1">
      <c r="A484" s="335" t="s">
        <v>422</v>
      </c>
      <c r="B484" s="206" t="s">
        <v>8</v>
      </c>
      <c r="C484" s="401">
        <v>10256000</v>
      </c>
      <c r="D484" s="401">
        <v>10251000</v>
      </c>
      <c r="E484" s="401">
        <v>9075000</v>
      </c>
      <c r="F484" s="402">
        <v>7654600</v>
      </c>
      <c r="G484" s="401">
        <v>5968000</v>
      </c>
      <c r="H484" s="68"/>
      <c r="I484" s="200"/>
      <c r="J484" s="200"/>
      <c r="K484" s="200"/>
      <c r="L484" s="200"/>
      <c r="M484" s="204"/>
      <c r="N484" s="200"/>
    </row>
    <row r="485" spans="1:14" s="209" customFormat="1">
      <c r="A485" s="335" t="s">
        <v>423</v>
      </c>
      <c r="B485" s="210" t="s">
        <v>12</v>
      </c>
      <c r="C485" s="401">
        <v>512000</v>
      </c>
      <c r="D485" s="401">
        <v>393000</v>
      </c>
      <c r="E485" s="401">
        <v>429000</v>
      </c>
      <c r="F485" s="402">
        <v>339900</v>
      </c>
      <c r="G485" s="401">
        <v>508200</v>
      </c>
      <c r="H485" s="68"/>
      <c r="I485" s="200"/>
      <c r="J485" s="200"/>
      <c r="K485" s="200"/>
      <c r="L485" s="200"/>
      <c r="M485" s="204"/>
      <c r="N485" s="200"/>
    </row>
    <row r="486" spans="1:14" s="209" customFormat="1">
      <c r="A486" s="418" t="s">
        <v>138</v>
      </c>
      <c r="B486" s="417" t="s">
        <v>138</v>
      </c>
      <c r="C486" s="401">
        <v>13456000</v>
      </c>
      <c r="D486" s="401">
        <v>13731000</v>
      </c>
      <c r="E486" s="401">
        <v>12624000</v>
      </c>
      <c r="F486" s="402">
        <v>11187300</v>
      </c>
      <c r="G486" s="401">
        <v>9802700</v>
      </c>
      <c r="H486" s="68"/>
      <c r="I486" s="200"/>
      <c r="J486" s="200"/>
      <c r="K486" s="200"/>
      <c r="L486" s="200"/>
      <c r="M486" s="204"/>
      <c r="N486" s="200"/>
    </row>
    <row r="487" spans="1:14" s="209" customFormat="1">
      <c r="B487" s="208"/>
      <c r="C487" s="68"/>
      <c r="D487" s="68"/>
      <c r="E487" s="68"/>
      <c r="F487" s="344"/>
      <c r="G487" s="68"/>
      <c r="H487" s="68"/>
      <c r="I487" s="200"/>
      <c r="J487" s="200"/>
      <c r="K487" s="200"/>
      <c r="L487" s="200"/>
      <c r="M487" s="204"/>
      <c r="N487" s="200"/>
    </row>
    <row r="488" spans="1:14" s="209" customFormat="1" ht="28">
      <c r="B488" s="208" t="s">
        <v>15</v>
      </c>
      <c r="C488" s="68"/>
      <c r="D488" s="68"/>
      <c r="E488" s="68"/>
      <c r="F488" s="344"/>
      <c r="G488" s="68"/>
      <c r="H488" s="68"/>
      <c r="I488" s="200"/>
      <c r="J488" s="200"/>
      <c r="K488" s="200"/>
      <c r="L488" s="200"/>
      <c r="M488" s="204"/>
      <c r="N488" s="200"/>
    </row>
    <row r="489" spans="1:14" s="209" customFormat="1">
      <c r="A489" s="335" t="s">
        <v>424</v>
      </c>
      <c r="B489" s="203" t="s">
        <v>23</v>
      </c>
      <c r="C489" s="401">
        <v>3200000</v>
      </c>
      <c r="D489" s="401">
        <v>3480000</v>
      </c>
      <c r="E489" s="401">
        <v>3549000</v>
      </c>
      <c r="F489" s="402">
        <v>3532900</v>
      </c>
      <c r="G489" s="401">
        <v>3834800</v>
      </c>
      <c r="H489" s="68"/>
      <c r="I489" s="200"/>
      <c r="J489" s="200"/>
      <c r="K489" s="200"/>
      <c r="L489" s="200"/>
      <c r="M489" s="204"/>
      <c r="N489" s="200"/>
    </row>
    <row r="490" spans="1:14" s="209" customFormat="1">
      <c r="A490" s="16"/>
      <c r="B490" s="205"/>
      <c r="C490" s="68"/>
      <c r="D490" s="68"/>
      <c r="E490" s="68"/>
      <c r="F490" s="344"/>
      <c r="G490" s="68"/>
      <c r="H490" s="68"/>
      <c r="I490" s="200"/>
      <c r="J490" s="200"/>
      <c r="K490" s="200"/>
      <c r="L490" s="200"/>
      <c r="M490" s="204"/>
      <c r="N490" s="200"/>
    </row>
    <row r="491" spans="1:14" s="209" customFormat="1">
      <c r="A491" s="16"/>
      <c r="B491" s="205"/>
      <c r="C491" s="68"/>
      <c r="D491" s="68"/>
      <c r="E491" s="68"/>
      <c r="F491" s="344"/>
      <c r="G491" s="68"/>
      <c r="H491" s="68"/>
      <c r="I491" s="200"/>
      <c r="J491" s="200"/>
      <c r="K491" s="200"/>
      <c r="L491" s="200"/>
      <c r="M491" s="204"/>
      <c r="N491" s="200"/>
    </row>
    <row r="492" spans="1:14" s="209" customFormat="1">
      <c r="A492" s="336" t="s">
        <v>481</v>
      </c>
      <c r="B492" s="408" t="s">
        <v>435</v>
      </c>
      <c r="C492" s="403">
        <v>2016</v>
      </c>
      <c r="D492" s="403">
        <v>2015</v>
      </c>
      <c r="E492" s="403">
        <v>2014</v>
      </c>
      <c r="F492" s="346" t="s">
        <v>474</v>
      </c>
      <c r="G492" s="403">
        <v>2012</v>
      </c>
      <c r="H492" s="68"/>
      <c r="I492" s="200"/>
      <c r="J492" s="200"/>
      <c r="K492" s="200"/>
      <c r="L492" s="200"/>
      <c r="M492" s="204"/>
      <c r="N492" s="200"/>
    </row>
    <row r="493" spans="1:14" s="209" customFormat="1" ht="28">
      <c r="A493" s="335" t="s">
        <v>421</v>
      </c>
      <c r="B493" s="211" t="s">
        <v>11</v>
      </c>
      <c r="C493" s="401">
        <v>197698</v>
      </c>
      <c r="D493" s="401">
        <v>193068</v>
      </c>
      <c r="E493" s="401">
        <v>167029</v>
      </c>
      <c r="F493" s="402">
        <v>124390</v>
      </c>
      <c r="G493" s="401">
        <v>131819</v>
      </c>
      <c r="H493" s="68"/>
      <c r="I493" s="200"/>
      <c r="J493" s="200"/>
      <c r="K493" s="200"/>
      <c r="L493" s="200"/>
      <c r="M493" s="204"/>
      <c r="N493" s="200"/>
    </row>
    <row r="494" spans="1:14" s="209" customFormat="1">
      <c r="B494" s="208" t="s">
        <v>2</v>
      </c>
      <c r="C494" s="68"/>
      <c r="D494" s="68"/>
      <c r="E494" s="68"/>
      <c r="F494" s="344"/>
      <c r="G494" s="68"/>
      <c r="H494" s="68"/>
      <c r="I494" s="200"/>
      <c r="J494" s="200"/>
      <c r="K494" s="200"/>
      <c r="L494" s="200"/>
      <c r="M494" s="204"/>
      <c r="N494" s="200"/>
    </row>
    <row r="495" spans="1:14" s="209" customFormat="1">
      <c r="B495" s="208" t="s">
        <v>3</v>
      </c>
      <c r="C495" s="68"/>
      <c r="D495" s="68"/>
      <c r="E495" s="68"/>
      <c r="F495" s="344"/>
      <c r="G495" s="68"/>
      <c r="H495" s="68"/>
      <c r="I495" s="200"/>
      <c r="J495" s="200"/>
      <c r="K495" s="200"/>
      <c r="L495" s="200"/>
      <c r="M495" s="204"/>
      <c r="N495" s="200"/>
    </row>
    <row r="496" spans="1:14" s="209" customFormat="1">
      <c r="A496" s="335" t="s">
        <v>422</v>
      </c>
      <c r="B496" s="206" t="s">
        <v>8</v>
      </c>
      <c r="C496" s="401">
        <v>58414</v>
      </c>
      <c r="D496" s="401">
        <v>46041</v>
      </c>
      <c r="E496" s="401">
        <v>42014</v>
      </c>
      <c r="F496" s="402">
        <v>31588</v>
      </c>
      <c r="G496" s="401">
        <v>24263</v>
      </c>
      <c r="H496" s="68"/>
      <c r="I496" s="200"/>
      <c r="J496" s="200"/>
      <c r="K496" s="200"/>
      <c r="L496" s="200"/>
      <c r="M496" s="204"/>
      <c r="N496" s="200"/>
    </row>
    <row r="497" spans="1:14" s="209" customFormat="1">
      <c r="A497" s="335" t="s">
        <v>423</v>
      </c>
      <c r="B497" s="210" t="s">
        <v>12</v>
      </c>
      <c r="C497" s="401">
        <v>6424</v>
      </c>
      <c r="D497" s="401">
        <v>24191</v>
      </c>
      <c r="E497" s="401">
        <v>18549</v>
      </c>
      <c r="F497" s="402">
        <v>9577</v>
      </c>
      <c r="G497" s="401">
        <v>17550</v>
      </c>
      <c r="H497" s="68"/>
      <c r="I497" s="200"/>
      <c r="J497" s="200"/>
      <c r="K497" s="200"/>
      <c r="L497" s="200"/>
      <c r="M497" s="204"/>
      <c r="N497" s="200"/>
    </row>
    <row r="498" spans="1:14" s="209" customFormat="1">
      <c r="A498" s="418" t="s">
        <v>138</v>
      </c>
      <c r="B498" s="417" t="s">
        <v>138</v>
      </c>
      <c r="C498" s="401">
        <v>174684</v>
      </c>
      <c r="D498" s="401">
        <v>158447</v>
      </c>
      <c r="E498" s="401">
        <v>130538</v>
      </c>
      <c r="F498" s="402">
        <v>103831</v>
      </c>
      <c r="G498" s="401">
        <v>92913</v>
      </c>
      <c r="H498" s="68"/>
      <c r="I498" s="200"/>
      <c r="J498" s="200"/>
      <c r="K498" s="200"/>
      <c r="L498" s="200"/>
      <c r="M498" s="204"/>
      <c r="N498" s="200"/>
    </row>
    <row r="499" spans="1:14" s="209" customFormat="1">
      <c r="B499" s="208"/>
      <c r="C499" s="68"/>
      <c r="D499" s="68"/>
      <c r="E499" s="68"/>
      <c r="F499" s="344"/>
      <c r="G499" s="68"/>
      <c r="H499" s="68"/>
      <c r="I499" s="200"/>
      <c r="J499" s="200"/>
      <c r="K499" s="200"/>
      <c r="L499" s="200"/>
      <c r="M499" s="204"/>
      <c r="N499" s="200"/>
    </row>
    <row r="500" spans="1:14" s="209" customFormat="1" ht="28">
      <c r="B500" s="208" t="s">
        <v>15</v>
      </c>
      <c r="C500" s="68"/>
      <c r="D500" s="68"/>
      <c r="E500" s="68"/>
      <c r="F500" s="344"/>
      <c r="G500" s="68"/>
      <c r="H500" s="68"/>
      <c r="I500" s="200"/>
      <c r="J500" s="200"/>
      <c r="K500" s="200"/>
      <c r="L500" s="200"/>
      <c r="M500" s="204"/>
      <c r="N500" s="200"/>
    </row>
    <row r="501" spans="1:14" s="209" customFormat="1">
      <c r="A501" s="335" t="s">
        <v>424</v>
      </c>
      <c r="B501" s="203" t="s">
        <v>23</v>
      </c>
      <c r="C501" s="401">
        <v>116270</v>
      </c>
      <c r="D501" s="401">
        <v>112405</v>
      </c>
      <c r="E501" s="401">
        <v>88522</v>
      </c>
      <c r="F501" s="402">
        <v>72243</v>
      </c>
      <c r="G501" s="401">
        <v>68650</v>
      </c>
      <c r="H501" s="68"/>
      <c r="I501" s="200"/>
      <c r="J501" s="200"/>
      <c r="K501" s="200"/>
      <c r="L501" s="200"/>
      <c r="M501" s="204"/>
      <c r="N501" s="200"/>
    </row>
    <row r="502" spans="1:14" s="209" customFormat="1">
      <c r="A502" s="16"/>
      <c r="B502" s="205"/>
      <c r="C502" s="68"/>
      <c r="D502" s="68"/>
      <c r="E502" s="68"/>
      <c r="F502" s="344"/>
      <c r="G502" s="68"/>
      <c r="H502" s="68"/>
      <c r="I502" s="200"/>
      <c r="J502" s="200"/>
      <c r="K502" s="200"/>
      <c r="L502" s="200"/>
      <c r="M502" s="204"/>
      <c r="N502" s="200"/>
    </row>
    <row r="503" spans="1:14" s="209" customFormat="1">
      <c r="A503" s="16"/>
      <c r="B503" s="205"/>
      <c r="C503" s="68"/>
      <c r="D503" s="68"/>
      <c r="E503" s="68"/>
      <c r="F503" s="344"/>
      <c r="G503" s="68"/>
      <c r="H503" s="68"/>
      <c r="I503" s="200"/>
      <c r="J503" s="200"/>
      <c r="K503" s="200"/>
      <c r="L503" s="200"/>
      <c r="M503" s="204"/>
      <c r="N503" s="200"/>
    </row>
    <row r="504" spans="1:14" s="209" customFormat="1">
      <c r="A504" s="336" t="s">
        <v>482</v>
      </c>
      <c r="B504" s="205"/>
      <c r="C504" s="403">
        <v>2016</v>
      </c>
      <c r="D504" s="403">
        <v>2015</v>
      </c>
      <c r="E504" s="403">
        <v>2014</v>
      </c>
      <c r="F504" s="346" t="s">
        <v>474</v>
      </c>
      <c r="G504" s="403">
        <v>2012</v>
      </c>
      <c r="H504" s="68"/>
      <c r="I504" s="200"/>
      <c r="J504" s="200"/>
      <c r="K504" s="200"/>
      <c r="L504" s="200"/>
      <c r="M504" s="204"/>
      <c r="N504" s="200"/>
    </row>
    <row r="505" spans="1:14" s="209" customFormat="1" ht="28">
      <c r="A505" s="335" t="s">
        <v>421</v>
      </c>
      <c r="B505" s="211" t="s">
        <v>11</v>
      </c>
      <c r="C505" s="401">
        <v>2093001</v>
      </c>
      <c r="D505" s="401">
        <v>1951818</v>
      </c>
      <c r="E505" s="401">
        <v>1751300</v>
      </c>
      <c r="F505" s="402">
        <v>1631929</v>
      </c>
      <c r="G505" s="401">
        <v>1698774</v>
      </c>
      <c r="H505" s="68"/>
      <c r="I505" s="200"/>
      <c r="J505" s="200"/>
      <c r="K505" s="200"/>
      <c r="L505" s="200"/>
      <c r="M505" s="204"/>
      <c r="N505" s="200"/>
    </row>
    <row r="506" spans="1:14" s="209" customFormat="1">
      <c r="B506" s="208" t="s">
        <v>2</v>
      </c>
      <c r="C506" s="68"/>
      <c r="D506" s="68"/>
      <c r="E506" s="68"/>
      <c r="F506" s="344"/>
      <c r="G506" s="68"/>
      <c r="H506" s="68"/>
      <c r="I506" s="200"/>
      <c r="J506" s="200"/>
      <c r="K506" s="200"/>
      <c r="L506" s="200"/>
      <c r="M506" s="204"/>
      <c r="N506" s="200"/>
    </row>
    <row r="507" spans="1:14" s="209" customFormat="1">
      <c r="B507" s="208" t="s">
        <v>3</v>
      </c>
      <c r="C507" s="68"/>
      <c r="D507" s="68"/>
      <c r="E507" s="68"/>
      <c r="F507" s="344"/>
      <c r="G507" s="68"/>
      <c r="H507" s="68"/>
      <c r="I507" s="200"/>
      <c r="J507" s="200"/>
      <c r="K507" s="200"/>
      <c r="L507" s="200"/>
      <c r="M507" s="204"/>
      <c r="N507" s="200"/>
    </row>
    <row r="508" spans="1:14" s="209" customFormat="1">
      <c r="A508" s="335" t="s">
        <v>422</v>
      </c>
      <c r="B508" s="206" t="s">
        <v>8</v>
      </c>
      <c r="C508" s="401">
        <v>768206</v>
      </c>
      <c r="D508" s="401">
        <v>707466</v>
      </c>
      <c r="E508" s="401">
        <v>657311</v>
      </c>
      <c r="F508" s="402">
        <v>614951</v>
      </c>
      <c r="G508" s="401">
        <v>547918</v>
      </c>
      <c r="H508" s="68"/>
      <c r="I508" s="200"/>
      <c r="J508" s="200"/>
      <c r="K508" s="200"/>
      <c r="L508" s="200"/>
      <c r="M508" s="204"/>
      <c r="N508" s="200"/>
    </row>
    <row r="509" spans="1:14" s="209" customFormat="1">
      <c r="A509" s="335" t="s">
        <v>423</v>
      </c>
      <c r="B509" s="210" t="s">
        <v>12</v>
      </c>
      <c r="C509" s="401">
        <v>74551</v>
      </c>
      <c r="D509" s="401">
        <v>72225</v>
      </c>
      <c r="E509" s="401">
        <v>24289</v>
      </c>
      <c r="F509" s="402">
        <v>8329</v>
      </c>
      <c r="G509" s="401">
        <v>46397</v>
      </c>
      <c r="H509" s="68"/>
      <c r="I509" s="200"/>
      <c r="J509" s="200"/>
      <c r="K509" s="200"/>
      <c r="L509" s="200"/>
      <c r="M509" s="204"/>
      <c r="N509" s="200"/>
    </row>
    <row r="510" spans="1:14" s="209" customFormat="1">
      <c r="A510" s="418" t="s">
        <v>138</v>
      </c>
      <c r="B510" s="417" t="s">
        <v>138</v>
      </c>
      <c r="C510" s="401">
        <v>1353004</v>
      </c>
      <c r="D510" s="401">
        <v>1273975</v>
      </c>
      <c r="E510" s="401">
        <v>1151994</v>
      </c>
      <c r="F510" s="402">
        <v>1088660</v>
      </c>
      <c r="G510" s="401">
        <v>1017838</v>
      </c>
      <c r="H510" s="68"/>
      <c r="I510" s="200"/>
      <c r="J510" s="200"/>
      <c r="K510" s="200"/>
      <c r="L510" s="200"/>
      <c r="M510" s="204"/>
      <c r="N510" s="200"/>
    </row>
    <row r="511" spans="1:14" s="209" customFormat="1">
      <c r="B511" s="208"/>
      <c r="C511" s="68"/>
      <c r="D511" s="68"/>
      <c r="E511" s="68"/>
      <c r="F511" s="344"/>
      <c r="G511" s="68"/>
      <c r="H511" s="68"/>
      <c r="I511" s="200"/>
      <c r="J511" s="200"/>
      <c r="K511" s="200"/>
      <c r="L511" s="200"/>
      <c r="M511" s="204"/>
      <c r="N511" s="200"/>
    </row>
    <row r="512" spans="1:14" s="209" customFormat="1" ht="28">
      <c r="B512" s="208" t="s">
        <v>15</v>
      </c>
      <c r="C512" s="68"/>
      <c r="D512" s="68"/>
      <c r="E512" s="68"/>
      <c r="F512" s="344"/>
      <c r="G512" s="68"/>
      <c r="H512" s="68"/>
      <c r="I512" s="200"/>
      <c r="J512" s="200"/>
      <c r="K512" s="200"/>
      <c r="L512" s="200"/>
      <c r="M512" s="204"/>
      <c r="N512" s="200"/>
    </row>
    <row r="513" spans="1:14" s="209" customFormat="1">
      <c r="A513" s="335" t="s">
        <v>424</v>
      </c>
      <c r="B513" s="203" t="s">
        <v>23</v>
      </c>
      <c r="C513" s="401">
        <v>584799</v>
      </c>
      <c r="D513" s="401">
        <v>566510</v>
      </c>
      <c r="E513" s="401">
        <v>494683</v>
      </c>
      <c r="F513" s="402">
        <v>473709</v>
      </c>
      <c r="G513" s="401">
        <v>469921</v>
      </c>
      <c r="H513" s="68"/>
      <c r="I513" s="200"/>
      <c r="J513" s="200"/>
      <c r="K513" s="200"/>
      <c r="L513" s="200"/>
      <c r="M513" s="204"/>
      <c r="N513" s="200"/>
    </row>
    <row r="514" spans="1:14" s="209" customFormat="1">
      <c r="A514" s="16"/>
      <c r="B514" s="205"/>
      <c r="C514" s="68"/>
      <c r="D514" s="68"/>
      <c r="E514" s="68"/>
      <c r="F514" s="344"/>
      <c r="G514" s="68"/>
      <c r="H514" s="68"/>
      <c r="I514" s="200"/>
      <c r="J514" s="200"/>
      <c r="K514" s="200"/>
      <c r="L514" s="200"/>
      <c r="M514" s="204"/>
      <c r="N514" s="200"/>
    </row>
    <row r="515" spans="1:14" s="209" customFormat="1">
      <c r="A515" s="16"/>
      <c r="B515" s="205"/>
      <c r="C515" s="68"/>
      <c r="D515" s="68"/>
      <c r="E515" s="68"/>
      <c r="F515" s="344"/>
      <c r="G515" s="68"/>
      <c r="H515" s="68"/>
      <c r="I515" s="200"/>
      <c r="J515" s="200"/>
      <c r="K515" s="200"/>
      <c r="L515" s="200"/>
      <c r="M515" s="204"/>
      <c r="N515" s="200"/>
    </row>
    <row r="516" spans="1:14" s="209" customFormat="1">
      <c r="A516" s="336" t="s">
        <v>483</v>
      </c>
      <c r="B516" s="205"/>
      <c r="C516" s="403">
        <v>2016</v>
      </c>
      <c r="D516" s="403">
        <v>2015</v>
      </c>
      <c r="E516" s="403">
        <v>2014</v>
      </c>
      <c r="F516" s="346" t="s">
        <v>474</v>
      </c>
      <c r="G516" s="403">
        <v>2012</v>
      </c>
      <c r="H516" s="68"/>
      <c r="I516" s="200"/>
      <c r="J516" s="200"/>
      <c r="K516" s="200"/>
      <c r="L516" s="200"/>
      <c r="M516" s="204"/>
      <c r="N516" s="200"/>
    </row>
    <row r="517" spans="1:14" s="209" customFormat="1" ht="28">
      <c r="A517" s="335" t="s">
        <v>421</v>
      </c>
      <c r="B517" s="211" t="s">
        <v>11</v>
      </c>
      <c r="C517" s="401">
        <v>310241</v>
      </c>
      <c r="D517" s="401">
        <v>380371</v>
      </c>
      <c r="E517" s="401">
        <v>291670</v>
      </c>
      <c r="F517" s="402">
        <v>361132</v>
      </c>
      <c r="G517" s="401">
        <v>138034</v>
      </c>
      <c r="H517" s="68"/>
      <c r="I517" s="200"/>
      <c r="J517" s="200"/>
      <c r="K517" s="200"/>
      <c r="L517" s="200"/>
      <c r="M517" s="204"/>
      <c r="N517" s="200"/>
    </row>
    <row r="518" spans="1:14" s="209" customFormat="1">
      <c r="B518" s="208" t="s">
        <v>2</v>
      </c>
      <c r="C518" s="68"/>
      <c r="D518" s="68"/>
      <c r="E518" s="68"/>
      <c r="F518" s="344"/>
      <c r="G518" s="68"/>
      <c r="H518" s="68"/>
      <c r="I518" s="200"/>
      <c r="J518" s="200"/>
      <c r="K518" s="200"/>
      <c r="L518" s="200"/>
      <c r="M518" s="204"/>
      <c r="N518" s="200"/>
    </row>
    <row r="519" spans="1:14" s="209" customFormat="1">
      <c r="B519" s="208" t="s">
        <v>3</v>
      </c>
      <c r="C519" s="68"/>
      <c r="D519" s="68"/>
      <c r="E519" s="68"/>
      <c r="F519" s="344"/>
      <c r="G519" s="68"/>
      <c r="H519" s="68"/>
      <c r="I519" s="200"/>
      <c r="J519" s="200"/>
      <c r="K519" s="200"/>
      <c r="L519" s="200"/>
      <c r="M519" s="204"/>
      <c r="N519" s="200"/>
    </row>
    <row r="520" spans="1:14" s="209" customFormat="1">
      <c r="A520" s="335" t="s">
        <v>422</v>
      </c>
      <c r="B520" s="206" t="s">
        <v>8</v>
      </c>
      <c r="C520" s="401">
        <v>192741</v>
      </c>
      <c r="D520" s="401">
        <v>204831</v>
      </c>
      <c r="E520" s="401">
        <v>179643</v>
      </c>
      <c r="F520" s="402">
        <v>156111</v>
      </c>
      <c r="G520" s="401">
        <v>100796</v>
      </c>
      <c r="H520" s="68"/>
      <c r="I520" s="200"/>
      <c r="J520" s="200"/>
      <c r="K520" s="200"/>
      <c r="L520" s="200"/>
      <c r="M520" s="204"/>
      <c r="N520" s="200"/>
    </row>
    <row r="521" spans="1:14" s="209" customFormat="1">
      <c r="A521" s="335" t="s">
        <v>423</v>
      </c>
      <c r="B521" s="210" t="s">
        <v>12</v>
      </c>
      <c r="C521" s="401">
        <v>-4577</v>
      </c>
      <c r="D521" s="401">
        <v>11156</v>
      </c>
      <c r="E521" s="401">
        <v>1848</v>
      </c>
      <c r="F521" s="402">
        <v>25043</v>
      </c>
      <c r="G521" s="401">
        <v>6079</v>
      </c>
      <c r="H521" s="68"/>
      <c r="I521" s="200"/>
      <c r="J521" s="200"/>
      <c r="K521" s="200"/>
      <c r="L521" s="200"/>
      <c r="M521" s="204"/>
      <c r="N521" s="200"/>
    </row>
    <row r="522" spans="1:14" s="209" customFormat="1">
      <c r="A522" s="418" t="s">
        <v>138</v>
      </c>
      <c r="B522" s="417" t="s">
        <v>138</v>
      </c>
      <c r="C522" s="401">
        <v>262006</v>
      </c>
      <c r="D522" s="401">
        <v>278173</v>
      </c>
      <c r="E522" s="401">
        <v>256814</v>
      </c>
      <c r="F522" s="402">
        <v>232256</v>
      </c>
      <c r="G522" s="401">
        <v>141288</v>
      </c>
      <c r="H522" s="68"/>
      <c r="I522" s="200"/>
      <c r="J522" s="200"/>
      <c r="K522" s="200"/>
      <c r="L522" s="200"/>
      <c r="M522" s="204"/>
      <c r="N522" s="200"/>
    </row>
    <row r="523" spans="1:14" s="209" customFormat="1">
      <c r="B523" s="208"/>
      <c r="C523" s="68"/>
      <c r="D523" s="68"/>
      <c r="E523" s="68"/>
      <c r="F523" s="344"/>
      <c r="G523" s="68"/>
      <c r="H523" s="68"/>
      <c r="I523" s="200"/>
      <c r="J523" s="200"/>
      <c r="K523" s="200"/>
      <c r="L523" s="200"/>
      <c r="M523" s="204"/>
      <c r="N523" s="200"/>
    </row>
    <row r="524" spans="1:14" s="209" customFormat="1" ht="28">
      <c r="B524" s="208" t="s">
        <v>15</v>
      </c>
      <c r="C524" s="68"/>
      <c r="D524" s="68"/>
      <c r="E524" s="68"/>
      <c r="F524" s="344"/>
      <c r="G524" s="68"/>
      <c r="H524" s="68"/>
      <c r="I524" s="200"/>
      <c r="J524" s="200"/>
      <c r="K524" s="200"/>
      <c r="L524" s="200"/>
      <c r="M524" s="204"/>
      <c r="N524" s="200"/>
    </row>
    <row r="525" spans="1:14" s="209" customFormat="1">
      <c r="A525" s="335" t="s">
        <v>424</v>
      </c>
      <c r="B525" s="203" t="s">
        <v>23</v>
      </c>
      <c r="C525" s="401">
        <v>69265</v>
      </c>
      <c r="D525" s="401">
        <v>73341</v>
      </c>
      <c r="E525" s="401">
        <v>77171</v>
      </c>
      <c r="F525" s="402">
        <v>76145</v>
      </c>
      <c r="G525" s="401">
        <v>40492</v>
      </c>
      <c r="H525" s="68"/>
      <c r="I525" s="200"/>
      <c r="J525" s="200"/>
      <c r="K525" s="200"/>
      <c r="L525" s="200"/>
      <c r="M525" s="204"/>
      <c r="N525" s="200"/>
    </row>
    <row r="526" spans="1:14" s="209" customFormat="1">
      <c r="A526" s="16"/>
      <c r="B526" s="205"/>
      <c r="C526" s="68"/>
      <c r="D526" s="68"/>
      <c r="E526" s="68"/>
      <c r="F526" s="344"/>
      <c r="G526" s="68"/>
      <c r="H526" s="68"/>
      <c r="I526" s="200"/>
      <c r="J526" s="200"/>
      <c r="K526" s="200"/>
      <c r="L526" s="200"/>
      <c r="M526" s="204"/>
      <c r="N526" s="200"/>
    </row>
    <row r="527" spans="1:14" s="209" customFormat="1">
      <c r="A527" s="16"/>
      <c r="B527" s="205"/>
      <c r="C527" s="68"/>
      <c r="D527" s="68"/>
      <c r="E527" s="68"/>
      <c r="F527" s="344"/>
      <c r="G527" s="68"/>
      <c r="H527" s="68"/>
      <c r="I527" s="200"/>
      <c r="J527" s="200"/>
      <c r="K527" s="200"/>
      <c r="L527" s="200"/>
      <c r="M527" s="204"/>
      <c r="N527" s="200"/>
    </row>
    <row r="528" spans="1:14" s="209" customFormat="1">
      <c r="A528" s="16"/>
      <c r="B528" s="205"/>
      <c r="C528" s="68"/>
      <c r="D528" s="68"/>
      <c r="E528" s="68"/>
      <c r="F528" s="344"/>
      <c r="G528" s="68"/>
      <c r="H528" s="68"/>
      <c r="I528" s="200"/>
      <c r="J528" s="200"/>
      <c r="K528" s="200"/>
      <c r="L528" s="200"/>
      <c r="M528" s="204"/>
      <c r="N528" s="200"/>
    </row>
    <row r="529" spans="1:14" s="209" customFormat="1">
      <c r="A529" s="16"/>
      <c r="B529" s="205"/>
      <c r="C529" s="68"/>
      <c r="D529" s="68"/>
      <c r="E529" s="68"/>
      <c r="F529" s="344"/>
      <c r="G529" s="68"/>
      <c r="H529" s="68"/>
      <c r="I529" s="200"/>
      <c r="J529" s="200"/>
      <c r="K529" s="200"/>
      <c r="L529" s="200"/>
      <c r="M529" s="204"/>
      <c r="N529" s="200"/>
    </row>
    <row r="530" spans="1:14" s="209" customFormat="1">
      <c r="A530" s="16"/>
      <c r="B530" s="205"/>
      <c r="C530" s="68"/>
      <c r="D530" s="68"/>
      <c r="E530" s="68"/>
      <c r="F530" s="344"/>
      <c r="G530" s="68"/>
      <c r="H530" s="68"/>
      <c r="I530" s="200"/>
      <c r="J530" s="200"/>
      <c r="K530" s="200"/>
      <c r="L530" s="200"/>
      <c r="M530" s="204"/>
      <c r="N530" s="200"/>
    </row>
    <row r="531" spans="1:14" s="209" customFormat="1">
      <c r="A531" s="16"/>
      <c r="B531" s="205"/>
      <c r="C531" s="68"/>
      <c r="D531" s="68"/>
      <c r="E531" s="68"/>
      <c r="F531" s="344"/>
      <c r="G531" s="68"/>
      <c r="H531" s="68"/>
      <c r="I531" s="200"/>
      <c r="J531" s="200"/>
      <c r="K531" s="200"/>
      <c r="L531" s="200"/>
      <c r="M531" s="204"/>
      <c r="N531" s="200"/>
    </row>
    <row r="532" spans="1:14" s="209" customFormat="1">
      <c r="A532" s="16"/>
      <c r="B532" s="205"/>
      <c r="C532" s="68"/>
      <c r="D532" s="68"/>
      <c r="E532" s="68"/>
      <c r="F532" s="344"/>
      <c r="G532" s="68"/>
      <c r="H532" s="68"/>
      <c r="I532" s="200"/>
      <c r="J532" s="200"/>
      <c r="K532" s="200"/>
      <c r="L532" s="200"/>
      <c r="M532" s="204"/>
      <c r="N532" s="200"/>
    </row>
    <row r="533" spans="1:14" s="209" customFormat="1">
      <c r="A533" s="16"/>
      <c r="B533" s="205"/>
      <c r="C533" s="68"/>
      <c r="D533" s="68"/>
      <c r="E533" s="68"/>
      <c r="F533" s="344"/>
      <c r="G533" s="68"/>
      <c r="H533" s="68"/>
      <c r="I533" s="200"/>
      <c r="J533" s="200"/>
      <c r="K533" s="200"/>
      <c r="L533" s="200"/>
      <c r="M533" s="204"/>
      <c r="N533" s="200"/>
    </row>
    <row r="534" spans="1:14" s="209" customFormat="1">
      <c r="A534" s="16"/>
      <c r="B534" s="205"/>
      <c r="C534" s="68"/>
      <c r="D534" s="68"/>
      <c r="E534" s="68"/>
      <c r="F534" s="344"/>
      <c r="G534" s="68"/>
      <c r="H534" s="68"/>
      <c r="I534" s="200"/>
      <c r="J534" s="200"/>
      <c r="K534" s="200"/>
      <c r="L534" s="200"/>
      <c r="M534" s="204"/>
      <c r="N534" s="200"/>
    </row>
    <row r="535" spans="1:14" s="209" customFormat="1">
      <c r="A535" s="16"/>
      <c r="B535" s="205"/>
      <c r="C535" s="68"/>
      <c r="D535" s="68"/>
      <c r="E535" s="68"/>
      <c r="F535" s="344"/>
      <c r="G535" s="68"/>
      <c r="H535" s="68"/>
      <c r="I535" s="200"/>
      <c r="J535" s="200"/>
      <c r="K535" s="200"/>
      <c r="L535" s="200"/>
      <c r="M535" s="204"/>
      <c r="N535" s="200"/>
    </row>
    <row r="536" spans="1:14" s="209" customFormat="1">
      <c r="A536" s="16"/>
      <c r="B536" s="205"/>
      <c r="C536" s="68"/>
      <c r="D536" s="68"/>
      <c r="E536" s="68"/>
      <c r="F536" s="344"/>
      <c r="G536" s="68"/>
      <c r="H536" s="68"/>
      <c r="I536" s="200"/>
      <c r="J536" s="200"/>
      <c r="K536" s="200"/>
      <c r="L536" s="200"/>
      <c r="M536" s="204"/>
      <c r="N536" s="200"/>
    </row>
    <row r="537" spans="1:14" s="209" customFormat="1">
      <c r="A537" s="16"/>
      <c r="B537" s="205"/>
      <c r="C537" s="68"/>
      <c r="D537" s="68"/>
      <c r="E537" s="68"/>
      <c r="F537" s="344"/>
      <c r="G537" s="68"/>
      <c r="H537" s="68"/>
      <c r="I537" s="200"/>
      <c r="J537" s="200"/>
      <c r="K537" s="200"/>
      <c r="L537" s="200"/>
      <c r="M537" s="204"/>
      <c r="N537" s="200"/>
    </row>
    <row r="538" spans="1:14" s="209" customFormat="1">
      <c r="A538" s="16"/>
      <c r="B538" s="205"/>
      <c r="C538" s="68"/>
      <c r="D538" s="68"/>
      <c r="E538" s="68"/>
      <c r="F538" s="344"/>
      <c r="G538" s="68"/>
      <c r="H538" s="68"/>
      <c r="I538" s="200"/>
      <c r="J538" s="200"/>
      <c r="K538" s="200"/>
      <c r="L538" s="200"/>
      <c r="M538" s="204"/>
      <c r="N538" s="200"/>
    </row>
    <row r="539" spans="1:14" s="209" customFormat="1">
      <c r="A539" s="16"/>
      <c r="B539" s="205"/>
      <c r="C539" s="68"/>
      <c r="D539" s="68"/>
      <c r="E539" s="68"/>
      <c r="F539" s="344"/>
      <c r="G539" s="68"/>
      <c r="H539" s="68"/>
      <c r="I539" s="200"/>
      <c r="J539" s="200"/>
      <c r="K539" s="200"/>
      <c r="L539" s="200"/>
      <c r="M539" s="204"/>
      <c r="N539" s="200"/>
    </row>
    <row r="540" spans="1:14" s="209" customFormat="1">
      <c r="A540" s="16"/>
      <c r="B540" s="205"/>
      <c r="C540" s="68"/>
      <c r="D540" s="68"/>
      <c r="E540" s="68"/>
      <c r="F540" s="344"/>
      <c r="G540" s="68"/>
      <c r="H540" s="68"/>
      <c r="I540" s="200"/>
      <c r="J540" s="200"/>
      <c r="K540" s="200"/>
      <c r="L540" s="200"/>
      <c r="M540" s="204"/>
      <c r="N540" s="200"/>
    </row>
    <row r="541" spans="1:14" s="209" customFormat="1">
      <c r="A541" s="16"/>
      <c r="B541" s="205"/>
      <c r="C541" s="68"/>
      <c r="D541" s="68"/>
      <c r="E541" s="68"/>
      <c r="F541" s="344"/>
      <c r="G541" s="68"/>
      <c r="H541" s="68"/>
      <c r="I541" s="200"/>
      <c r="J541" s="200"/>
      <c r="K541" s="200"/>
      <c r="L541" s="200"/>
      <c r="M541" s="204"/>
      <c r="N541" s="200"/>
    </row>
    <row r="542" spans="1:14" s="209" customFormat="1">
      <c r="A542" s="16"/>
      <c r="B542" s="205"/>
      <c r="C542" s="68"/>
      <c r="D542" s="68"/>
      <c r="E542" s="68"/>
      <c r="F542" s="344"/>
      <c r="G542" s="68"/>
      <c r="H542" s="68"/>
      <c r="I542" s="200"/>
      <c r="J542" s="200"/>
      <c r="K542" s="200"/>
      <c r="L542" s="200"/>
      <c r="M542" s="204"/>
      <c r="N542" s="200"/>
    </row>
    <row r="543" spans="1:14" s="209" customFormat="1">
      <c r="A543" s="16"/>
      <c r="B543" s="205"/>
      <c r="C543" s="68"/>
      <c r="D543" s="68"/>
      <c r="E543" s="68"/>
      <c r="F543" s="344"/>
      <c r="G543" s="68"/>
      <c r="H543" s="68"/>
      <c r="I543" s="200"/>
      <c r="J543" s="200"/>
      <c r="K543" s="200"/>
      <c r="L543" s="200"/>
      <c r="M543" s="204"/>
      <c r="N543" s="200"/>
    </row>
    <row r="544" spans="1:14" s="209" customFormat="1">
      <c r="A544" s="16"/>
      <c r="B544" s="205"/>
      <c r="C544" s="68"/>
      <c r="D544" s="68"/>
      <c r="E544" s="68"/>
      <c r="F544" s="344"/>
      <c r="G544" s="68"/>
      <c r="H544" s="68"/>
      <c r="I544" s="200"/>
      <c r="J544" s="200"/>
      <c r="K544" s="200"/>
      <c r="L544" s="200"/>
      <c r="M544" s="204"/>
      <c r="N544" s="200"/>
    </row>
    <row r="545" spans="1:14" s="209" customFormat="1">
      <c r="A545" s="16"/>
      <c r="B545" s="205"/>
      <c r="C545" s="68"/>
      <c r="D545" s="68"/>
      <c r="E545" s="68"/>
      <c r="F545" s="344"/>
      <c r="G545" s="68"/>
      <c r="H545" s="68"/>
      <c r="I545" s="200"/>
      <c r="J545" s="200"/>
      <c r="K545" s="200"/>
      <c r="L545" s="200"/>
      <c r="M545" s="204"/>
      <c r="N545" s="200"/>
    </row>
    <row r="546" spans="1:14" s="209" customFormat="1">
      <c r="A546" s="16"/>
      <c r="B546" s="205"/>
      <c r="C546" s="68"/>
      <c r="D546" s="68"/>
      <c r="E546" s="68"/>
      <c r="F546" s="344"/>
      <c r="G546" s="68"/>
      <c r="H546" s="68"/>
      <c r="I546" s="200"/>
      <c r="J546" s="200"/>
      <c r="K546" s="200"/>
      <c r="L546" s="200"/>
      <c r="M546" s="204"/>
      <c r="N546" s="200"/>
    </row>
    <row r="547" spans="1:14" s="209" customFormat="1">
      <c r="A547" s="16"/>
      <c r="B547" s="205"/>
      <c r="C547" s="68"/>
      <c r="D547" s="68"/>
      <c r="E547" s="68"/>
      <c r="F547" s="344"/>
      <c r="G547" s="68"/>
      <c r="H547" s="68"/>
      <c r="I547" s="200"/>
      <c r="J547" s="200"/>
      <c r="K547" s="200"/>
      <c r="L547" s="200"/>
      <c r="M547" s="204"/>
      <c r="N547" s="200"/>
    </row>
    <row r="548" spans="1:14" s="209" customFormat="1">
      <c r="A548" s="16"/>
      <c r="B548" s="205"/>
      <c r="C548" s="68"/>
      <c r="D548" s="68"/>
      <c r="E548" s="68"/>
      <c r="F548" s="344"/>
      <c r="G548" s="68"/>
      <c r="H548" s="68"/>
      <c r="I548" s="200"/>
      <c r="J548" s="200"/>
      <c r="K548" s="200"/>
      <c r="L548" s="200"/>
      <c r="M548" s="204"/>
      <c r="N548" s="200"/>
    </row>
    <row r="549" spans="1:14" s="209" customFormat="1">
      <c r="A549" s="16"/>
      <c r="B549" s="205"/>
      <c r="C549" s="68"/>
      <c r="D549" s="68"/>
      <c r="E549" s="68"/>
      <c r="F549" s="344"/>
      <c r="G549" s="68"/>
      <c r="H549" s="68"/>
      <c r="I549" s="200"/>
      <c r="J549" s="200"/>
      <c r="K549" s="200"/>
      <c r="L549" s="200"/>
      <c r="M549" s="204"/>
      <c r="N549" s="200"/>
    </row>
    <row r="550" spans="1:14" s="209" customFormat="1">
      <c r="A550" s="16"/>
      <c r="B550" s="205"/>
      <c r="C550" s="68"/>
      <c r="D550" s="68"/>
      <c r="E550" s="68"/>
      <c r="F550" s="344"/>
      <c r="G550" s="68"/>
      <c r="H550" s="68"/>
      <c r="I550" s="200"/>
      <c r="J550" s="200"/>
      <c r="K550" s="200"/>
      <c r="L550" s="200"/>
      <c r="M550" s="204"/>
      <c r="N550" s="200"/>
    </row>
    <row r="551" spans="1:14" s="209" customFormat="1">
      <c r="A551" s="16"/>
      <c r="B551" s="205"/>
      <c r="C551" s="68"/>
      <c r="D551" s="68"/>
      <c r="E551" s="68"/>
      <c r="F551" s="344"/>
      <c r="G551" s="68"/>
      <c r="H551" s="68"/>
      <c r="I551" s="200"/>
      <c r="J551" s="200"/>
      <c r="K551" s="200"/>
      <c r="L551" s="200"/>
      <c r="M551" s="204"/>
      <c r="N551" s="200"/>
    </row>
    <row r="552" spans="1:14" s="209" customFormat="1">
      <c r="A552" s="16"/>
      <c r="B552" s="205"/>
      <c r="C552" s="68"/>
      <c r="D552" s="68"/>
      <c r="E552" s="68"/>
      <c r="F552" s="344"/>
      <c r="G552" s="68"/>
      <c r="H552" s="68"/>
      <c r="I552" s="200"/>
      <c r="J552" s="200"/>
      <c r="K552" s="200"/>
      <c r="L552" s="200"/>
      <c r="M552" s="204"/>
      <c r="N552" s="200"/>
    </row>
    <row r="553" spans="1:14" s="209" customFormat="1">
      <c r="A553" s="16"/>
      <c r="B553" s="205"/>
      <c r="C553" s="68"/>
      <c r="D553" s="68"/>
      <c r="E553" s="68"/>
      <c r="F553" s="344"/>
      <c r="G553" s="68"/>
      <c r="H553" s="68"/>
      <c r="I553" s="200"/>
      <c r="J553" s="200"/>
      <c r="K553" s="200"/>
      <c r="L553" s="200"/>
      <c r="M553" s="204"/>
      <c r="N553" s="200"/>
    </row>
    <row r="554" spans="1:14" s="209" customFormat="1">
      <c r="A554" s="16"/>
      <c r="B554" s="205"/>
      <c r="C554" s="68"/>
      <c r="D554" s="68"/>
      <c r="E554" s="68"/>
      <c r="F554" s="344"/>
      <c r="G554" s="68"/>
      <c r="H554" s="68"/>
      <c r="I554" s="200"/>
      <c r="J554" s="200"/>
      <c r="K554" s="200"/>
      <c r="L554" s="200"/>
      <c r="M554" s="204"/>
      <c r="N554" s="200"/>
    </row>
    <row r="555" spans="1:14" s="209" customFormat="1">
      <c r="A555" s="16"/>
      <c r="B555" s="205"/>
      <c r="C555" s="68"/>
      <c r="D555" s="68"/>
      <c r="E555" s="68"/>
      <c r="F555" s="344"/>
      <c r="G555" s="68"/>
      <c r="H555" s="68"/>
      <c r="I555" s="200"/>
      <c r="J555" s="200"/>
      <c r="K555" s="200"/>
      <c r="L555" s="200"/>
      <c r="M555" s="204"/>
      <c r="N555" s="200"/>
    </row>
    <row r="556" spans="1:14" s="209" customFormat="1">
      <c r="A556" s="16"/>
      <c r="B556" s="205"/>
      <c r="C556" s="68"/>
      <c r="D556" s="68"/>
      <c r="E556" s="68"/>
      <c r="F556" s="344"/>
      <c r="G556" s="68"/>
      <c r="H556" s="68"/>
      <c r="I556" s="200"/>
      <c r="J556" s="200"/>
      <c r="K556" s="200"/>
      <c r="L556" s="200"/>
      <c r="M556" s="204"/>
      <c r="N556" s="200"/>
    </row>
    <row r="557" spans="1:14" s="209" customFormat="1">
      <c r="A557" s="16"/>
      <c r="B557" s="205"/>
      <c r="C557" s="68"/>
      <c r="D557" s="68"/>
      <c r="E557" s="68"/>
      <c r="F557" s="344"/>
      <c r="G557" s="68"/>
      <c r="H557" s="68"/>
      <c r="I557" s="200"/>
      <c r="J557" s="200"/>
      <c r="K557" s="200"/>
      <c r="L557" s="200"/>
      <c r="M557" s="204"/>
      <c r="N557" s="200"/>
    </row>
    <row r="558" spans="1:14" s="209" customFormat="1">
      <c r="A558" s="16"/>
      <c r="B558" s="205"/>
      <c r="C558" s="68"/>
      <c r="D558" s="68"/>
      <c r="E558" s="68"/>
      <c r="F558" s="344"/>
      <c r="G558" s="68"/>
      <c r="H558" s="68"/>
      <c r="I558" s="200"/>
      <c r="J558" s="200"/>
      <c r="K558" s="200"/>
      <c r="L558" s="200"/>
      <c r="M558" s="204"/>
      <c r="N558" s="200"/>
    </row>
    <row r="559" spans="1:14" s="209" customFormat="1">
      <c r="A559" s="16"/>
      <c r="B559" s="205"/>
      <c r="C559" s="68"/>
      <c r="D559" s="68"/>
      <c r="E559" s="68"/>
      <c r="F559" s="344"/>
      <c r="G559" s="68"/>
      <c r="H559" s="68"/>
      <c r="I559" s="200"/>
      <c r="J559" s="200"/>
      <c r="K559" s="200"/>
      <c r="L559" s="200"/>
      <c r="M559" s="204"/>
      <c r="N559" s="200"/>
    </row>
    <row r="560" spans="1:14" s="209" customFormat="1">
      <c r="A560" s="16"/>
      <c r="B560" s="205"/>
      <c r="C560" s="68"/>
      <c r="D560" s="68"/>
      <c r="E560" s="68"/>
      <c r="F560" s="344"/>
      <c r="G560" s="68"/>
      <c r="H560" s="68"/>
      <c r="I560" s="200"/>
      <c r="J560" s="200"/>
      <c r="K560" s="200"/>
      <c r="L560" s="200"/>
      <c r="M560" s="204"/>
      <c r="N560" s="200"/>
    </row>
    <row r="561" spans="1:29" s="209" customFormat="1">
      <c r="A561" s="16"/>
      <c r="B561" s="205"/>
      <c r="C561" s="68"/>
      <c r="D561" s="68"/>
      <c r="E561" s="68"/>
      <c r="F561" s="344"/>
      <c r="G561" s="68"/>
      <c r="H561" s="68"/>
      <c r="I561" s="200"/>
      <c r="J561" s="200"/>
      <c r="K561" s="200"/>
      <c r="L561" s="200"/>
      <c r="M561" s="204"/>
      <c r="N561" s="200"/>
    </row>
    <row r="562" spans="1:29" s="209" customFormat="1">
      <c r="A562" s="16"/>
      <c r="B562" s="205"/>
      <c r="C562" s="68"/>
      <c r="D562" s="68"/>
      <c r="E562" s="68"/>
      <c r="F562" s="344"/>
      <c r="G562" s="68"/>
      <c r="H562" s="68"/>
      <c r="I562" s="200"/>
      <c r="J562" s="200"/>
      <c r="K562" s="200"/>
      <c r="L562" s="200"/>
      <c r="M562" s="204"/>
      <c r="N562" s="200"/>
    </row>
    <row r="563" spans="1:29" s="209" customFormat="1">
      <c r="A563" s="16"/>
      <c r="B563" s="205"/>
      <c r="C563" s="68"/>
      <c r="D563" s="68"/>
      <c r="E563" s="68"/>
      <c r="F563" s="344"/>
      <c r="G563" s="68"/>
      <c r="H563" s="68"/>
      <c r="I563" s="200"/>
      <c r="J563" s="200"/>
      <c r="K563" s="200"/>
      <c r="L563" s="200"/>
      <c r="M563" s="204"/>
      <c r="N563" s="200"/>
    </row>
    <row r="564" spans="1:29" s="209" customFormat="1">
      <c r="A564" s="16"/>
      <c r="B564" s="205"/>
      <c r="C564" s="68"/>
      <c r="D564" s="68"/>
      <c r="E564" s="68"/>
      <c r="F564" s="344"/>
      <c r="G564" s="68"/>
      <c r="H564" s="68"/>
      <c r="I564" s="200"/>
      <c r="J564" s="200"/>
      <c r="K564" s="200"/>
      <c r="L564" s="200"/>
      <c r="M564" s="204"/>
      <c r="N564" s="200"/>
    </row>
    <row r="565" spans="1:29" s="209" customFormat="1" ht="34">
      <c r="A565" s="27" t="s">
        <v>0</v>
      </c>
      <c r="B565" s="16"/>
      <c r="C565" s="28" t="s">
        <v>19</v>
      </c>
      <c r="D565" s="28" t="s">
        <v>18</v>
      </c>
      <c r="E565" s="28" t="s">
        <v>17</v>
      </c>
      <c r="F565" s="341"/>
      <c r="G565" s="28" t="s">
        <v>16</v>
      </c>
      <c r="H565" s="68"/>
      <c r="I565" s="200"/>
      <c r="J565" s="200"/>
      <c r="K565" s="200"/>
      <c r="L565" s="200"/>
      <c r="M565" s="204"/>
      <c r="N565" s="200"/>
    </row>
    <row r="566" spans="1:29" s="209" customFormat="1">
      <c r="A566" s="16"/>
      <c r="B566" s="6"/>
      <c r="C566" s="29">
        <v>2018</v>
      </c>
      <c r="D566" s="29">
        <v>2017</v>
      </c>
      <c r="E566" s="29">
        <v>2016</v>
      </c>
      <c r="F566" s="342">
        <v>2015</v>
      </c>
      <c r="G566" s="29">
        <v>2014</v>
      </c>
      <c r="H566" s="68"/>
      <c r="I566" s="200"/>
      <c r="J566" s="200"/>
      <c r="K566" s="200"/>
      <c r="L566" s="200"/>
      <c r="M566" s="204"/>
      <c r="N566" s="200"/>
    </row>
    <row r="567" spans="1:29" s="209" customFormat="1">
      <c r="A567" s="16"/>
      <c r="B567" s="202" t="s">
        <v>1</v>
      </c>
      <c r="C567" s="5">
        <v>39123</v>
      </c>
      <c r="D567" s="5">
        <v>44614</v>
      </c>
      <c r="E567" s="5">
        <v>49376</v>
      </c>
      <c r="F567" s="343">
        <v>60642</v>
      </c>
      <c r="G567" s="5">
        <v>66469</v>
      </c>
      <c r="H567" s="68"/>
      <c r="I567" s="200"/>
      <c r="J567" s="200"/>
      <c r="K567" s="200"/>
      <c r="L567" s="200"/>
      <c r="M567" s="204"/>
      <c r="N567" s="200"/>
    </row>
    <row r="568" spans="1:29">
      <c r="B568" s="205"/>
      <c r="C568" s="68"/>
      <c r="D568" s="68"/>
      <c r="E568" s="68"/>
      <c r="F568" s="344"/>
      <c r="G568" s="68"/>
      <c r="H568" s="68"/>
      <c r="I568" s="200">
        <v>0</v>
      </c>
      <c r="J568" s="200">
        <v>0</v>
      </c>
      <c r="K568" s="200">
        <v>0</v>
      </c>
      <c r="L568" s="200">
        <v>0</v>
      </c>
      <c r="M568" s="439">
        <v>0</v>
      </c>
      <c r="N568" s="439">
        <v>0</v>
      </c>
      <c r="O568" s="305">
        <v>0</v>
      </c>
      <c r="P568" s="302">
        <v>0</v>
      </c>
      <c r="Q568" s="302">
        <v>0</v>
      </c>
      <c r="R568" s="302">
        <v>0</v>
      </c>
      <c r="S568" s="302">
        <v>0</v>
      </c>
      <c r="T568" s="440">
        <v>0</v>
      </c>
      <c r="U568" s="440">
        <v>0</v>
      </c>
      <c r="V568" s="440">
        <v>0</v>
      </c>
      <c r="W568" s="440">
        <v>0</v>
      </c>
      <c r="X568" s="440">
        <v>0</v>
      </c>
      <c r="Y568" s="440">
        <v>0</v>
      </c>
      <c r="Z568" s="440">
        <v>0</v>
      </c>
      <c r="AA568" s="440">
        <v>0</v>
      </c>
      <c r="AB568" s="440">
        <v>0</v>
      </c>
      <c r="AC568" s="440">
        <v>0</v>
      </c>
    </row>
    <row r="569" spans="1:29">
      <c r="B569" s="1"/>
      <c r="C569" s="1"/>
      <c r="D569" s="1"/>
      <c r="E569" s="1"/>
      <c r="F569" s="349"/>
      <c r="G569" s="1"/>
      <c r="H569" s="195"/>
      <c r="I569"/>
      <c r="J569" s="200"/>
      <c r="K569" s="200"/>
      <c r="L569"/>
      <c r="M569" s="10"/>
      <c r="N569"/>
    </row>
    <row r="570" spans="1:29" ht="28">
      <c r="A570" s="26" t="s">
        <v>11</v>
      </c>
      <c r="B570" s="20" t="s">
        <v>11</v>
      </c>
      <c r="C570" s="21">
        <v>23504</v>
      </c>
      <c r="D570" s="21">
        <v>16927</v>
      </c>
      <c r="E570" s="21">
        <v>15580</v>
      </c>
      <c r="F570" s="350">
        <v>20669</v>
      </c>
      <c r="G570" s="21">
        <v>79957</v>
      </c>
      <c r="H570" s="207"/>
      <c r="I570"/>
      <c r="J570" s="200"/>
      <c r="K570" s="200"/>
      <c r="L570"/>
      <c r="M570" s="10"/>
      <c r="N570"/>
    </row>
    <row r="571" spans="1:29">
      <c r="A571" s="14" t="s">
        <v>2</v>
      </c>
      <c r="B571" s="14" t="s">
        <v>2</v>
      </c>
      <c r="C571" s="15">
        <v>42791</v>
      </c>
      <c r="D571" s="15">
        <v>42995</v>
      </c>
      <c r="E571" s="15">
        <v>41491</v>
      </c>
      <c r="F571" s="351">
        <v>44854</v>
      </c>
      <c r="G571" s="15">
        <v>6224</v>
      </c>
      <c r="H571" s="203"/>
      <c r="I571"/>
      <c r="J571" s="200"/>
      <c r="K571" s="200"/>
      <c r="L571"/>
      <c r="M571" s="10"/>
      <c r="N571"/>
    </row>
    <row r="572" spans="1:29" ht="16" thickBot="1">
      <c r="A572" s="103" t="s">
        <v>3</v>
      </c>
      <c r="B572" s="14" t="s">
        <v>3</v>
      </c>
      <c r="C572" s="15">
        <v>10158</v>
      </c>
      <c r="D572" s="15">
        <v>8273</v>
      </c>
      <c r="E572" s="15">
        <v>8850</v>
      </c>
      <c r="F572" s="351">
        <v>12009</v>
      </c>
      <c r="G572" s="15">
        <v>69490</v>
      </c>
      <c r="H572" s="203"/>
      <c r="I572"/>
      <c r="J572" s="200"/>
      <c r="K572" s="200"/>
      <c r="L572"/>
      <c r="M572"/>
      <c r="N572"/>
    </row>
    <row r="573" spans="1:29" ht="16" thickTop="1">
      <c r="A573" s="12" t="s">
        <v>8</v>
      </c>
      <c r="B573" s="12" t="s">
        <v>8</v>
      </c>
      <c r="C573" s="13">
        <f t="shared" ref="C573:G573" si="304">SUM(C571:C572)</f>
        <v>52949</v>
      </c>
      <c r="D573" s="13">
        <f t="shared" si="304"/>
        <v>51268</v>
      </c>
      <c r="E573" s="13">
        <f t="shared" si="304"/>
        <v>50341</v>
      </c>
      <c r="F573" s="344">
        <f t="shared" si="304"/>
        <v>56863</v>
      </c>
      <c r="G573" s="13">
        <f t="shared" si="304"/>
        <v>75714</v>
      </c>
      <c r="H573" s="207"/>
      <c r="I573"/>
      <c r="J573" s="200"/>
      <c r="K573" s="200"/>
      <c r="L573"/>
      <c r="M573"/>
      <c r="N573"/>
    </row>
    <row r="574" spans="1:29">
      <c r="A574" s="18" t="s">
        <v>12</v>
      </c>
      <c r="B574" s="18" t="s">
        <v>12</v>
      </c>
      <c r="C574" s="19">
        <v>-7172</v>
      </c>
      <c r="D574" s="19">
        <v>-5689</v>
      </c>
      <c r="E574" s="19">
        <v>-4744</v>
      </c>
      <c r="F574" s="352">
        <v>5522</v>
      </c>
      <c r="G574" s="19">
        <v>1443</v>
      </c>
      <c r="H574" s="203"/>
      <c r="I574"/>
      <c r="J574" s="200"/>
      <c r="K574" s="200"/>
      <c r="L574"/>
      <c r="M574"/>
      <c r="N574"/>
    </row>
    <row r="575" spans="1:29" ht="28">
      <c r="A575" s="14" t="s">
        <v>13</v>
      </c>
      <c r="B575" s="14" t="s">
        <v>13</v>
      </c>
      <c r="C575" s="23" t="s">
        <v>4</v>
      </c>
      <c r="D575" s="23" t="s">
        <v>4</v>
      </c>
      <c r="E575" s="23" t="s">
        <v>4</v>
      </c>
      <c r="F575" s="353">
        <v>146.75800000000001</v>
      </c>
      <c r="G575" s="23" t="s">
        <v>4</v>
      </c>
      <c r="H575" s="8"/>
      <c r="I575"/>
      <c r="J575" s="200"/>
      <c r="K575" s="200"/>
      <c r="L575"/>
      <c r="M575"/>
      <c r="N575"/>
    </row>
    <row r="576" spans="1:29" ht="28">
      <c r="A576" s="14" t="s">
        <v>14</v>
      </c>
      <c r="B576" s="14" t="s">
        <v>14</v>
      </c>
      <c r="C576" s="24">
        <v>-18.314</v>
      </c>
      <c r="D576" s="24">
        <v>-12.785</v>
      </c>
      <c r="E576" s="24">
        <v>-9.5429999999999993</v>
      </c>
      <c r="F576" s="353">
        <v>9.1449999999999996</v>
      </c>
      <c r="G576" s="24">
        <v>2.3450000000000002</v>
      </c>
      <c r="H576" s="22"/>
      <c r="I576"/>
      <c r="J576" s="200"/>
      <c r="K576" s="200"/>
      <c r="L576"/>
      <c r="M576"/>
      <c r="N576"/>
    </row>
    <row r="577" spans="1:14" ht="28">
      <c r="A577" s="14" t="s">
        <v>15</v>
      </c>
      <c r="B577" s="14" t="s">
        <v>15</v>
      </c>
      <c r="C577" s="25">
        <v>500.085106</v>
      </c>
      <c r="D577" s="25">
        <v>313.462963</v>
      </c>
      <c r="E577" s="25">
        <v>216.38888900000001</v>
      </c>
      <c r="F577" s="354">
        <v>232.23595499999999</v>
      </c>
      <c r="G577" s="25">
        <v>768.81730800000003</v>
      </c>
      <c r="H577" s="9"/>
      <c r="I577"/>
      <c r="J577" s="200"/>
      <c r="K577" s="200"/>
      <c r="L577"/>
      <c r="M577"/>
      <c r="N577"/>
    </row>
    <row r="578" spans="1:14">
      <c r="A578" s="6"/>
      <c r="B578" s="7" t="s">
        <v>23</v>
      </c>
      <c r="C578" s="30">
        <v>-13826</v>
      </c>
      <c r="D578" s="30">
        <v>-6654</v>
      </c>
      <c r="E578" s="30">
        <v>-965</v>
      </c>
      <c r="F578" s="355">
        <v>3779</v>
      </c>
      <c r="G578" s="30">
        <v>-9245</v>
      </c>
      <c r="H578" s="72"/>
      <c r="I578"/>
      <c r="J578" s="200"/>
      <c r="K578" s="200"/>
      <c r="L578"/>
      <c r="M578"/>
      <c r="N578"/>
    </row>
    <row r="579" spans="1:14" ht="16">
      <c r="A579" s="911"/>
      <c r="B579" s="912"/>
      <c r="C579" s="912"/>
      <c r="D579" s="912"/>
      <c r="E579" s="912"/>
      <c r="F579" s="912"/>
      <c r="G579" s="912"/>
      <c r="H579" s="912"/>
      <c r="I579" s="912"/>
      <c r="J579" s="912"/>
      <c r="K579" s="912"/>
      <c r="L579" s="912"/>
      <c r="M579" s="912"/>
      <c r="N579" s="912"/>
    </row>
    <row r="580" spans="1:14">
      <c r="A580" s="6" t="s">
        <v>32</v>
      </c>
      <c r="C580" s="7">
        <v>2017</v>
      </c>
      <c r="D580" s="7">
        <v>2016</v>
      </c>
      <c r="E580" s="7">
        <v>2015</v>
      </c>
      <c r="F580" s="341" t="s">
        <v>20</v>
      </c>
      <c r="G580" t="s">
        <v>21</v>
      </c>
      <c r="H580" s="200"/>
      <c r="I580"/>
      <c r="J580" s="200"/>
      <c r="K580" s="200"/>
      <c r="L580"/>
      <c r="M580"/>
      <c r="N580" t="s">
        <v>21</v>
      </c>
    </row>
    <row r="581" spans="1:14" ht="28">
      <c r="B581" s="20" t="s">
        <v>11</v>
      </c>
      <c r="C581" s="30">
        <v>258983.070565976</v>
      </c>
      <c r="D581" s="30">
        <v>260412.52752775</v>
      </c>
      <c r="E581" s="30">
        <v>277798.744423047</v>
      </c>
      <c r="F581" s="355">
        <v>261098.935228363</v>
      </c>
      <c r="G581" s="30">
        <v>313850.16148057597</v>
      </c>
      <c r="H581" s="72"/>
      <c r="I581"/>
      <c r="J581" s="200"/>
      <c r="K581" s="200"/>
      <c r="L581"/>
      <c r="M581"/>
      <c r="N581" s="30">
        <v>313850.16148057597</v>
      </c>
    </row>
    <row r="582" spans="1:14">
      <c r="B582" s="14" t="s">
        <v>2</v>
      </c>
      <c r="C582" s="30">
        <v>8047.86848848313</v>
      </c>
      <c r="D582" s="30">
        <v>7355.5684038251602</v>
      </c>
      <c r="E582" s="30">
        <v>0</v>
      </c>
      <c r="F582" s="355">
        <v>7.9407809823751396</v>
      </c>
      <c r="G582" s="30">
        <v>59.374999433755903</v>
      </c>
      <c r="H582" s="72"/>
      <c r="I582"/>
      <c r="J582" s="200"/>
      <c r="K582" s="200"/>
      <c r="L582"/>
      <c r="M582"/>
      <c r="N582" s="30">
        <v>59.374999433755903</v>
      </c>
    </row>
    <row r="583" spans="1:14">
      <c r="B583" s="14" t="s">
        <v>3</v>
      </c>
      <c r="C583" s="30">
        <v>170582.70476934299</v>
      </c>
      <c r="D583" s="30">
        <v>192489.32605621201</v>
      </c>
      <c r="E583" s="30">
        <v>214593.86519747999</v>
      </c>
      <c r="F583" s="355">
        <v>100551.417789653</v>
      </c>
      <c r="G583" s="30">
        <v>98761.512216031595</v>
      </c>
      <c r="H583" s="72"/>
      <c r="I583"/>
      <c r="J583" s="200"/>
      <c r="K583" s="200"/>
      <c r="L583"/>
      <c r="M583"/>
      <c r="N583" s="30">
        <v>98761.512216031595</v>
      </c>
    </row>
    <row r="584" spans="1:14">
      <c r="B584" s="12" t="s">
        <v>138</v>
      </c>
      <c r="C584" s="13">
        <v>311065</v>
      </c>
      <c r="D584" s="13">
        <v>296910</v>
      </c>
      <c r="E584" s="13">
        <v>277876</v>
      </c>
      <c r="F584" s="344">
        <v>299663</v>
      </c>
      <c r="G584" s="13">
        <v>336351</v>
      </c>
      <c r="H584" s="207"/>
      <c r="I584"/>
      <c r="J584" s="200"/>
      <c r="K584" s="200"/>
      <c r="L584"/>
      <c r="M584"/>
      <c r="N584" s="72"/>
    </row>
    <row r="585" spans="1:14">
      <c r="B585" s="12" t="s">
        <v>8</v>
      </c>
      <c r="C585" s="31">
        <f>C582+C583</f>
        <v>178630.57325782612</v>
      </c>
      <c r="D585" s="31">
        <f t="shared" ref="D585:N585" si="305">D582+D583</f>
        <v>199844.89446003718</v>
      </c>
      <c r="E585" s="31">
        <f t="shared" si="305"/>
        <v>214593.86519747999</v>
      </c>
      <c r="F585" s="356">
        <f t="shared" si="305"/>
        <v>100559.35857063538</v>
      </c>
      <c r="G585" s="31">
        <f t="shared" si="305"/>
        <v>98820.887215465351</v>
      </c>
      <c r="H585" s="31"/>
      <c r="I585" s="31">
        <f t="shared" si="305"/>
        <v>0</v>
      </c>
      <c r="J585" s="31"/>
      <c r="K585" s="31"/>
      <c r="L585" s="31">
        <f t="shared" si="305"/>
        <v>0</v>
      </c>
      <c r="M585" s="31">
        <f t="shared" si="305"/>
        <v>0</v>
      </c>
      <c r="N585" s="31">
        <f t="shared" si="305"/>
        <v>98820.887215465351</v>
      </c>
    </row>
    <row r="586" spans="1:14">
      <c r="B586" s="18" t="s">
        <v>12</v>
      </c>
      <c r="C586" s="30">
        <v>30923.629855789201</v>
      </c>
      <c r="D586" s="30">
        <v>948.95591109991096</v>
      </c>
      <c r="E586" s="30">
        <v>25845.402300328002</v>
      </c>
      <c r="F586" s="355">
        <v>21129.610657051198</v>
      </c>
      <c r="G586" s="30">
        <v>10074.342009186699</v>
      </c>
      <c r="H586" s="72"/>
      <c r="I586"/>
      <c r="J586" s="200"/>
      <c r="K586" s="200"/>
      <c r="L586"/>
      <c r="M586"/>
      <c r="N586" s="30">
        <v>10074.342009186699</v>
      </c>
    </row>
    <row r="587" spans="1:14" ht="28">
      <c r="B587" s="14" t="s">
        <v>13</v>
      </c>
      <c r="C587" s="32">
        <v>23.35</v>
      </c>
      <c r="D587" s="32">
        <v>0.97799999999999998</v>
      </c>
      <c r="E587" s="32">
        <v>40.841000000000001</v>
      </c>
      <c r="F587" s="357">
        <v>10.612</v>
      </c>
      <c r="G587" s="32">
        <v>4.2409999999999997</v>
      </c>
      <c r="H587" s="307"/>
      <c r="I587"/>
      <c r="J587" s="200"/>
      <c r="K587" s="200"/>
      <c r="L587"/>
      <c r="M587"/>
      <c r="N587"/>
    </row>
    <row r="588" spans="1:14" ht="28">
      <c r="B588" s="14" t="s">
        <v>14</v>
      </c>
      <c r="C588" s="32">
        <v>9.9410000000000007</v>
      </c>
      <c r="D588" s="32">
        <v>0.32</v>
      </c>
      <c r="E588" s="32">
        <v>9.3010000000000002</v>
      </c>
      <c r="F588" s="357">
        <v>7.0510000000000002</v>
      </c>
      <c r="G588" s="32">
        <v>2.9950000000000001</v>
      </c>
      <c r="H588" s="307"/>
      <c r="I588"/>
      <c r="J588" s="200"/>
      <c r="K588" s="200"/>
      <c r="L588"/>
      <c r="M588"/>
      <c r="N588"/>
    </row>
    <row r="589" spans="1:14" ht="28">
      <c r="A589" s="6"/>
      <c r="B589" s="14" t="s">
        <v>15</v>
      </c>
      <c r="C589" s="33">
        <v>1321.3421967950101</v>
      </c>
      <c r="D589" s="33">
        <v>1356.3152475403599</v>
      </c>
      <c r="E589" s="33">
        <v>1403.02396171651</v>
      </c>
      <c r="F589" s="358" t="s">
        <v>22</v>
      </c>
      <c r="G589" s="34" t="s">
        <v>22</v>
      </c>
      <c r="H589" s="308"/>
      <c r="I589"/>
      <c r="J589" s="200"/>
      <c r="K589" s="200"/>
      <c r="L589"/>
      <c r="M589"/>
      <c r="N589"/>
    </row>
    <row r="590" spans="1:14">
      <c r="A590" s="1"/>
      <c r="B590" s="1" t="s">
        <v>23</v>
      </c>
      <c r="C590" s="30">
        <v>132434.836148545</v>
      </c>
      <c r="D590" s="30">
        <v>97065.3126754314</v>
      </c>
      <c r="E590" s="30">
        <v>63282.631777524897</v>
      </c>
      <c r="F590" s="355">
        <v>199103.50843535399</v>
      </c>
      <c r="G590" s="30">
        <v>237529.76747158199</v>
      </c>
      <c r="H590" s="72"/>
      <c r="I590"/>
      <c r="J590" s="200"/>
      <c r="K590" s="200"/>
      <c r="L590"/>
      <c r="M590"/>
      <c r="N590"/>
    </row>
    <row r="591" spans="1:14">
      <c r="A591" s="1"/>
      <c r="B591" s="1"/>
      <c r="C591" s="1"/>
      <c r="D591" s="1"/>
      <c r="E591" s="1"/>
      <c r="F591" s="349"/>
      <c r="G591" s="1"/>
      <c r="H591" s="195"/>
      <c r="I591"/>
      <c r="J591" s="200"/>
      <c r="K591" s="200"/>
      <c r="L591"/>
      <c r="M591"/>
      <c r="N591"/>
    </row>
    <row r="592" spans="1:14">
      <c r="A592" s="1" t="s">
        <v>24</v>
      </c>
      <c r="B592" s="1"/>
      <c r="C592" s="1">
        <v>2017</v>
      </c>
      <c r="D592" s="1">
        <v>2016</v>
      </c>
      <c r="E592" s="1" t="s">
        <v>26</v>
      </c>
      <c r="F592" s="349" t="s">
        <v>25</v>
      </c>
      <c r="G592" s="1" t="s">
        <v>21</v>
      </c>
      <c r="H592" s="195"/>
      <c r="I592"/>
      <c r="J592" s="200"/>
      <c r="K592" s="200"/>
      <c r="L592"/>
      <c r="M592"/>
      <c r="N592"/>
    </row>
    <row r="593" spans="1:14">
      <c r="A593" s="6"/>
      <c r="B593" s="4" t="s">
        <v>1</v>
      </c>
      <c r="C593" s="35">
        <f>459800489.231929/1000</f>
        <v>459800.48923192901</v>
      </c>
      <c r="D593" s="35">
        <f>452920879.105896/1000</f>
        <v>452920.87910589599</v>
      </c>
      <c r="E593" s="35">
        <f>473128364.929721/1000</f>
        <v>473128.36492972099</v>
      </c>
      <c r="F593" s="359">
        <f>607718197.383791/1000</f>
        <v>607718.19738379098</v>
      </c>
      <c r="G593" s="35">
        <f>672849006.741107/1000</f>
        <v>672849.00674110698</v>
      </c>
      <c r="H593" s="309"/>
      <c r="I593"/>
      <c r="J593" s="200"/>
      <c r="K593" s="200"/>
      <c r="L593"/>
      <c r="M593"/>
      <c r="N593"/>
    </row>
    <row r="594" spans="1:14">
      <c r="A594" s="1"/>
      <c r="B594" s="2"/>
      <c r="C594" s="2"/>
      <c r="D594" s="2"/>
      <c r="E594" s="2"/>
      <c r="F594" s="349"/>
      <c r="G594" s="2"/>
      <c r="H594" s="195"/>
      <c r="I594"/>
      <c r="J594" s="200"/>
      <c r="K594" s="200"/>
      <c r="L594"/>
      <c r="M594"/>
      <c r="N594"/>
    </row>
    <row r="595" spans="1:14" ht="28">
      <c r="A595" s="6"/>
      <c r="B595" s="20" t="s">
        <v>11</v>
      </c>
      <c r="C595" s="30">
        <f>131357491.442226/1000</f>
        <v>131357.49144222599</v>
      </c>
      <c r="D595" s="30">
        <f>87087122.4767119/1000</f>
        <v>87087.122476711898</v>
      </c>
      <c r="E595" s="30">
        <f>88488306.5116704/1000</f>
        <v>88488.306511670395</v>
      </c>
      <c r="F595" s="355">
        <f>65058549.4095832/1000</f>
        <v>65058.549409583204</v>
      </c>
      <c r="G595" s="30">
        <f>22389473.4706879/1000</f>
        <v>22389.473470687899</v>
      </c>
      <c r="H595" s="72"/>
      <c r="I595"/>
      <c r="J595" s="200"/>
      <c r="K595" s="200"/>
      <c r="L595"/>
      <c r="M595"/>
      <c r="N595"/>
    </row>
    <row r="596" spans="1:14">
      <c r="A596" s="6"/>
      <c r="B596" s="14" t="s">
        <v>2</v>
      </c>
      <c r="C596" s="30">
        <f>392935.446307063/1000</f>
        <v>392.93544630706299</v>
      </c>
      <c r="D596" s="30">
        <f>339791.181370616/1000</f>
        <v>339.79118137061602</v>
      </c>
      <c r="E596" s="30">
        <f>331215542.169794/1000</f>
        <v>331215.54216979403</v>
      </c>
      <c r="F596" s="355">
        <f>337466233.472914/1000</f>
        <v>337466.23347291397</v>
      </c>
      <c r="G596" s="30">
        <f>469905752.097577/1000</f>
        <v>469905.75209757697</v>
      </c>
      <c r="H596" s="72"/>
      <c r="I596"/>
      <c r="J596" s="200"/>
      <c r="K596" s="200"/>
      <c r="L596"/>
      <c r="M596"/>
      <c r="N596"/>
    </row>
    <row r="597" spans="1:14">
      <c r="A597" s="6"/>
      <c r="B597" s="14" t="s">
        <v>3</v>
      </c>
      <c r="C597" s="30">
        <f>24052497.060664/1000</f>
        <v>24052.497060664002</v>
      </c>
      <c r="D597" s="30">
        <f>19249651.8631577/1000</f>
        <v>19249.651863157702</v>
      </c>
      <c r="E597" s="30">
        <f>17467649.9573886/1000</f>
        <v>17467.649957388599</v>
      </c>
      <c r="F597" s="355">
        <f>54446032.1004093/1000</f>
        <v>54446.032100409298</v>
      </c>
      <c r="G597" s="30">
        <f>18611512.9804015/1000</f>
        <v>18611.512980401501</v>
      </c>
      <c r="H597" s="72"/>
      <c r="I597"/>
      <c r="J597" s="200"/>
      <c r="K597" s="200"/>
      <c r="L597"/>
      <c r="M597"/>
      <c r="N597"/>
    </row>
    <row r="598" spans="1:14">
      <c r="A598" s="11"/>
      <c r="B598" s="12" t="s">
        <v>8</v>
      </c>
      <c r="C598" s="13">
        <f t="shared" ref="C598:G598" si="306">SUM(C596:C597)</f>
        <v>24445.432506971065</v>
      </c>
      <c r="D598" s="13">
        <f t="shared" si="306"/>
        <v>19589.443044528318</v>
      </c>
      <c r="E598" s="13">
        <f t="shared" si="306"/>
        <v>348683.19212718261</v>
      </c>
      <c r="F598" s="344">
        <f t="shared" si="306"/>
        <v>391912.26557332324</v>
      </c>
      <c r="G598" s="13">
        <f t="shared" si="306"/>
        <v>488517.26507797849</v>
      </c>
      <c r="H598" s="207"/>
      <c r="I598"/>
      <c r="J598" s="200"/>
      <c r="K598" s="200"/>
      <c r="L598"/>
      <c r="M598"/>
      <c r="N598"/>
    </row>
    <row r="599" spans="1:14">
      <c r="A599" s="1"/>
      <c r="B599" s="18" t="s">
        <v>12</v>
      </c>
      <c r="C599" s="30">
        <f>-18751522.6159245/1000</f>
        <v>-18751.522615924499</v>
      </c>
      <c r="D599" s="30">
        <f>-25795127.4641454/1000</f>
        <v>-25795.1274641454</v>
      </c>
      <c r="E599" s="30">
        <f>-57097955.4293007/1000</f>
        <v>-57097.955429300702</v>
      </c>
      <c r="F599" s="355">
        <f>-93981834.7165734/1000</f>
        <v>-93981.834716573401</v>
      </c>
      <c r="G599" s="30">
        <f>-101304439.823359/1000</f>
        <v>-101304.439823359</v>
      </c>
      <c r="H599" s="72"/>
      <c r="I599"/>
      <c r="J599" s="200"/>
      <c r="K599" s="200"/>
      <c r="L599"/>
      <c r="M599"/>
      <c r="N599"/>
    </row>
    <row r="600" spans="1:14" ht="28">
      <c r="A600" s="6"/>
      <c r="B600" s="14" t="s">
        <v>13</v>
      </c>
      <c r="C600" s="32">
        <v>-4.3070000000000004</v>
      </c>
      <c r="D600" s="32">
        <v>-5.9530000000000003</v>
      </c>
      <c r="E600" s="32">
        <v>-45.881999999999998</v>
      </c>
      <c r="F600" s="357">
        <v>-43.548999999999999</v>
      </c>
      <c r="G600" s="32">
        <v>-54.957999999999998</v>
      </c>
      <c r="H600" s="307"/>
    </row>
    <row r="601" spans="1:14" ht="28">
      <c r="A601" s="6"/>
      <c r="B601" s="14" t="s">
        <v>14</v>
      </c>
      <c r="C601" s="32">
        <v>-4.0780000000000003</v>
      </c>
      <c r="D601" s="32">
        <v>-5.6950000000000003</v>
      </c>
      <c r="E601" s="32">
        <v>-12.068</v>
      </c>
      <c r="F601" s="357">
        <v>-15.465</v>
      </c>
      <c r="G601" s="32">
        <v>-15.055999999999999</v>
      </c>
      <c r="H601" s="307"/>
    </row>
    <row r="602" spans="1:14" ht="28">
      <c r="A602" s="6"/>
      <c r="B602" s="14" t="s">
        <v>15</v>
      </c>
      <c r="C602" s="33">
        <v>374.23786729673498</v>
      </c>
      <c r="D602" s="33">
        <v>262.31060988359098</v>
      </c>
      <c r="E602" s="33">
        <v>316.02966616175399</v>
      </c>
      <c r="F602" s="358" t="s">
        <v>22</v>
      </c>
      <c r="G602" s="34" t="s">
        <v>22</v>
      </c>
      <c r="H602" s="308"/>
    </row>
    <row r="603" spans="1:14">
      <c r="A603" s="6"/>
      <c r="B603" s="7" t="s">
        <v>23</v>
      </c>
      <c r="C603" s="30">
        <f>435355056.724958/1000</f>
        <v>435355.05672495801</v>
      </c>
      <c r="D603" s="30">
        <f>433331436.061367/1000</f>
        <v>433331.43606136699</v>
      </c>
      <c r="E603" s="30">
        <f>124445172.802538/1000</f>
        <v>124445.172802538</v>
      </c>
      <c r="F603" s="355">
        <f>215805931.810468/1000</f>
        <v>215805.931810468</v>
      </c>
      <c r="G603" s="30">
        <f>184331741.663128/1000</f>
        <v>184331.74166312799</v>
      </c>
      <c r="H603" s="72"/>
    </row>
    <row r="604" spans="1:14">
      <c r="A604" s="6"/>
      <c r="B604" s="9"/>
      <c r="C604" s="9"/>
      <c r="D604" s="9"/>
      <c r="E604" s="9"/>
      <c r="F604" s="360"/>
      <c r="G604" s="9"/>
      <c r="H604" s="9"/>
    </row>
    <row r="605" spans="1:14">
      <c r="A605" s="16" t="s">
        <v>27</v>
      </c>
    </row>
    <row r="608" spans="1:14">
      <c r="B608" s="2"/>
      <c r="C608" s="2">
        <v>2017</v>
      </c>
      <c r="D608" s="2">
        <v>2016</v>
      </c>
      <c r="E608" s="2" t="s">
        <v>26</v>
      </c>
      <c r="F608" s="349" t="s">
        <v>25</v>
      </c>
      <c r="G608" s="2" t="s">
        <v>21</v>
      </c>
      <c r="H608" s="195"/>
    </row>
    <row r="609" spans="1:8">
      <c r="B609" s="4" t="s">
        <v>1</v>
      </c>
      <c r="C609" s="35">
        <v>1897222.90724367</v>
      </c>
      <c r="D609" s="35">
        <v>1662552.1947622299</v>
      </c>
      <c r="E609" s="35">
        <v>1878036.27506644</v>
      </c>
      <c r="F609" s="359">
        <v>2161628.6318615102</v>
      </c>
      <c r="G609" s="35">
        <v>2474753.2658726</v>
      </c>
      <c r="H609" s="309"/>
    </row>
    <row r="610" spans="1:8">
      <c r="B610" s="2"/>
      <c r="C610" s="2"/>
      <c r="D610" s="2"/>
      <c r="E610" s="2"/>
      <c r="F610" s="349"/>
      <c r="G610" s="2"/>
      <c r="H610" s="195"/>
    </row>
    <row r="611" spans="1:8" ht="28">
      <c r="B611" s="20" t="s">
        <v>11</v>
      </c>
      <c r="C611" s="30">
        <v>100182.704459876</v>
      </c>
      <c r="D611" s="30">
        <v>104512.760429084</v>
      </c>
      <c r="E611" s="30">
        <v>97423.380066454396</v>
      </c>
      <c r="F611" s="355">
        <v>99407.810738682703</v>
      </c>
      <c r="G611" s="30">
        <v>126611.840897799</v>
      </c>
      <c r="H611" s="72"/>
    </row>
    <row r="612" spans="1:8">
      <c r="A612" s="16" t="s">
        <v>28</v>
      </c>
      <c r="B612" s="14" t="s">
        <v>2</v>
      </c>
      <c r="C612" s="30">
        <v>945481.124740839</v>
      </c>
      <c r="D612" s="30">
        <v>884466.35230034601</v>
      </c>
      <c r="E612" s="30">
        <v>634982.95790255105</v>
      </c>
      <c r="F612" s="355">
        <v>1415047.1710592499</v>
      </c>
      <c r="G612" s="30">
        <v>1592088.8006061299</v>
      </c>
      <c r="H612" s="72"/>
    </row>
    <row r="613" spans="1:8">
      <c r="B613" s="14" t="s">
        <v>3</v>
      </c>
      <c r="C613" s="30">
        <v>19366.626150906101</v>
      </c>
      <c r="D613" s="30">
        <v>25313.224914670001</v>
      </c>
      <c r="E613" s="30">
        <v>587253.10666412103</v>
      </c>
      <c r="F613" s="355">
        <v>34576.044650375799</v>
      </c>
      <c r="G613" s="30">
        <v>50855.262672901197</v>
      </c>
      <c r="H613" s="72"/>
    </row>
    <row r="614" spans="1:8">
      <c r="B614" s="12" t="s">
        <v>8</v>
      </c>
      <c r="C614" s="13">
        <f t="shared" ref="C614:G614" si="307">SUM(C612:C613)</f>
        <v>964847.75089174509</v>
      </c>
      <c r="D614" s="13">
        <f t="shared" si="307"/>
        <v>909779.577215016</v>
      </c>
      <c r="E614" s="13">
        <f t="shared" si="307"/>
        <v>1222236.0645666721</v>
      </c>
      <c r="F614" s="344">
        <f t="shared" si="307"/>
        <v>1449623.2157096257</v>
      </c>
      <c r="G614" s="13">
        <f t="shared" si="307"/>
        <v>1642944.0632790311</v>
      </c>
      <c r="H614" s="207"/>
    </row>
    <row r="615" spans="1:8">
      <c r="B615" s="18" t="s">
        <v>12</v>
      </c>
      <c r="C615" s="30">
        <v>171376.37103349</v>
      </c>
      <c r="D615" s="30">
        <v>113387.47035562999</v>
      </c>
      <c r="E615" s="30">
        <v>75936.433956027002</v>
      </c>
      <c r="F615" s="355">
        <v>17456.259210407701</v>
      </c>
      <c r="G615" s="30">
        <v>-47302.631127834298</v>
      </c>
      <c r="H615" s="72"/>
    </row>
    <row r="616" spans="1:8" ht="28">
      <c r="B616" s="14" t="s">
        <v>13</v>
      </c>
      <c r="C616" s="32">
        <v>17.619</v>
      </c>
      <c r="D616" s="32">
        <v>11.782</v>
      </c>
      <c r="E616" s="32">
        <v>8.3109999999999999</v>
      </c>
      <c r="F616" s="357">
        <v>4.2590000000000003</v>
      </c>
      <c r="G616" s="32">
        <v>-4.5659999999999998</v>
      </c>
      <c r="H616" s="307"/>
    </row>
    <row r="617" spans="1:8" ht="28">
      <c r="B617" s="14" t="s">
        <v>14</v>
      </c>
      <c r="C617" s="32">
        <v>8.6590000000000007</v>
      </c>
      <c r="D617" s="32">
        <v>5.335</v>
      </c>
      <c r="E617" s="32">
        <v>2.9020000000000001</v>
      </c>
      <c r="F617" s="357">
        <v>1.403</v>
      </c>
      <c r="G617" s="32">
        <v>-1.5349999999999999</v>
      </c>
      <c r="H617" s="307"/>
    </row>
    <row r="618" spans="1:8" ht="28">
      <c r="B618" s="14" t="s">
        <v>15</v>
      </c>
      <c r="C618" s="33">
        <v>1964.3667540674501</v>
      </c>
      <c r="D618" s="33">
        <v>2009.8607774823899</v>
      </c>
      <c r="E618" s="33">
        <v>1771.3341829748499</v>
      </c>
      <c r="F618" s="361">
        <v>1743.99667964726</v>
      </c>
      <c r="G618" s="33">
        <v>2260.9257302473402</v>
      </c>
      <c r="H618" s="310"/>
    </row>
    <row r="619" spans="1:8">
      <c r="B619" s="7" t="s">
        <v>23</v>
      </c>
      <c r="C619" s="30">
        <v>932375.15635192394</v>
      </c>
      <c r="D619" s="30">
        <v>752772.61754721403</v>
      </c>
      <c r="E619" s="30">
        <v>655800.21049976302</v>
      </c>
      <c r="F619" s="355">
        <v>712005.41615188099</v>
      </c>
      <c r="G619" s="30">
        <v>831809.20259356499</v>
      </c>
      <c r="H619" s="72"/>
    </row>
    <row r="621" spans="1:8">
      <c r="A621" s="16" t="s">
        <v>28</v>
      </c>
    </row>
    <row r="622" spans="1:8">
      <c r="A622" s="16" t="s">
        <v>29</v>
      </c>
    </row>
    <row r="623" spans="1:8">
      <c r="B623" s="2"/>
      <c r="C623" s="2">
        <v>2017</v>
      </c>
      <c r="D623" s="2">
        <v>2016</v>
      </c>
      <c r="E623" s="2" t="s">
        <v>26</v>
      </c>
      <c r="F623" s="349" t="s">
        <v>25</v>
      </c>
      <c r="G623" s="2" t="s">
        <v>21</v>
      </c>
      <c r="H623" s="195"/>
    </row>
    <row r="624" spans="1:8">
      <c r="B624" s="4" t="s">
        <v>1</v>
      </c>
      <c r="C624" s="35">
        <f>15161023.2091546/1000</f>
        <v>15161.0232091546</v>
      </c>
      <c r="D624" s="35">
        <f>19642459.2855275/1000</f>
        <v>19642.4592855275</v>
      </c>
      <c r="E624" s="35">
        <f>17094437.7079904/1000</f>
        <v>17094.437707990401</v>
      </c>
      <c r="F624" s="359">
        <f>17467160.96057/1000</f>
        <v>17467.16096057</v>
      </c>
      <c r="G624" s="35">
        <f>18385197.1930861/1000</f>
        <v>18385.1971930861</v>
      </c>
      <c r="H624" s="309"/>
    </row>
    <row r="625" spans="1:8">
      <c r="B625" s="2"/>
      <c r="C625" s="2"/>
      <c r="D625" s="2"/>
      <c r="E625" s="2"/>
      <c r="F625" s="349"/>
      <c r="G625" s="2"/>
      <c r="H625" s="195"/>
    </row>
    <row r="626" spans="1:8" ht="28">
      <c r="B626" s="20" t="s">
        <v>11</v>
      </c>
      <c r="C626" s="30">
        <f>30981486.1288816/1000</f>
        <v>30981.486128881599</v>
      </c>
      <c r="D626" s="30">
        <f>24669953.4565955/1000</f>
        <v>24669.9534565955</v>
      </c>
      <c r="E626" s="30">
        <f>29732121.8392253/1000</f>
        <v>29732.121839225299</v>
      </c>
      <c r="F626" s="355">
        <f>33803500.8734465/1000</f>
        <v>33803.500873446501</v>
      </c>
      <c r="G626" s="30">
        <f>36369900.9689391/1000</f>
        <v>36369.900968939102</v>
      </c>
      <c r="H626" s="72"/>
    </row>
    <row r="627" spans="1:8">
      <c r="B627" s="14" t="s">
        <v>2</v>
      </c>
      <c r="C627" s="30">
        <f>2187332.53093064/1000</f>
        <v>2187.3325309306401</v>
      </c>
      <c r="D627" s="30">
        <v>0</v>
      </c>
      <c r="E627" s="30">
        <v>0</v>
      </c>
      <c r="F627" s="355">
        <v>0</v>
      </c>
      <c r="G627" s="30">
        <v>0</v>
      </c>
      <c r="H627" s="72"/>
    </row>
    <row r="628" spans="1:8">
      <c r="B628" s="14" t="s">
        <v>3</v>
      </c>
      <c r="C628" s="30">
        <f>6074543.26665401/1000</f>
        <v>6074.54326665401</v>
      </c>
      <c r="D628" s="30">
        <f>18294895.4880536/1000</f>
        <v>18294.8954880536</v>
      </c>
      <c r="E628" s="30">
        <f>15338478.6148667/1000</f>
        <v>15338.478614866701</v>
      </c>
      <c r="F628" s="355">
        <f>15509018.2061195/1000</f>
        <v>15509.018206119501</v>
      </c>
      <c r="G628" s="30">
        <f>16248190.6345189/1000</f>
        <v>16248.190634518902</v>
      </c>
      <c r="H628" s="72"/>
    </row>
    <row r="629" spans="1:8">
      <c r="B629" s="12" t="s">
        <v>8</v>
      </c>
      <c r="C629" s="13">
        <f t="shared" ref="C629:G629" si="308">SUM(C627:C628)</f>
        <v>8261.8757975846493</v>
      </c>
      <c r="D629" s="13">
        <f t="shared" si="308"/>
        <v>18294.8954880536</v>
      </c>
      <c r="E629" s="13">
        <f t="shared" si="308"/>
        <v>15338.478614866701</v>
      </c>
      <c r="F629" s="344">
        <f t="shared" si="308"/>
        <v>15509.018206119501</v>
      </c>
      <c r="G629" s="13">
        <f t="shared" si="308"/>
        <v>16248.190634518902</v>
      </c>
      <c r="H629" s="207"/>
    </row>
    <row r="630" spans="1:8">
      <c r="B630" s="18" t="s">
        <v>12</v>
      </c>
      <c r="C630" s="30">
        <f>4548842.89453924/1000</f>
        <v>4548.8428945392398</v>
      </c>
      <c r="D630" s="30">
        <f>870185.609921813/1000</f>
        <v>870.18560992181301</v>
      </c>
      <c r="E630" s="30">
        <f>857888.7411654/1000</f>
        <v>857.88874116540001</v>
      </c>
      <c r="F630" s="355">
        <f>590713.351383805/1000</f>
        <v>590.71335138380505</v>
      </c>
      <c r="G630" s="30">
        <f>2957894.70863342/1000</f>
        <v>2957.8947086334201</v>
      </c>
      <c r="H630" s="72"/>
    </row>
    <row r="631" spans="1:8" ht="28">
      <c r="B631" s="14" t="s">
        <v>13</v>
      </c>
      <c r="C631" s="32">
        <v>65.933000000000007</v>
      </c>
      <c r="D631" s="32">
        <v>64.575000000000003</v>
      </c>
      <c r="E631" s="32">
        <v>48.859000000000002</v>
      </c>
      <c r="F631" s="357">
        <v>30.167000000000002</v>
      </c>
      <c r="G631" s="32">
        <v>138.41300000000001</v>
      </c>
      <c r="H631" s="307"/>
    </row>
    <row r="632" spans="1:8" ht="28">
      <c r="B632" s="14" t="s">
        <v>14</v>
      </c>
      <c r="C632" s="32">
        <v>30.004000000000001</v>
      </c>
      <c r="D632" s="32">
        <v>4.43</v>
      </c>
      <c r="E632" s="32">
        <v>5.0190000000000001</v>
      </c>
      <c r="F632" s="357">
        <v>3.3820000000000001</v>
      </c>
      <c r="G632" s="32">
        <v>16.088000000000001</v>
      </c>
      <c r="H632" s="307"/>
    </row>
    <row r="633" spans="1:8" ht="28">
      <c r="B633" s="14" t="s">
        <v>15</v>
      </c>
      <c r="C633" s="33">
        <v>312.94430429891798</v>
      </c>
      <c r="D633" s="33">
        <v>300.853090987852</v>
      </c>
      <c r="E633" s="33">
        <v>376.35597270158303</v>
      </c>
      <c r="F633" s="358" t="s">
        <v>22</v>
      </c>
      <c r="G633" s="34" t="s">
        <v>22</v>
      </c>
      <c r="H633" s="308"/>
    </row>
    <row r="634" spans="1:8">
      <c r="B634" s="7" t="s">
        <v>23</v>
      </c>
      <c r="C634" s="30">
        <f>6899147.41156995/1000</f>
        <v>6899.1474115699502</v>
      </c>
      <c r="D634" s="30">
        <f>1347563.79747391/1000</f>
        <v>1347.56379747391</v>
      </c>
      <c r="E634" s="30">
        <f>1755845.58574855/1000</f>
        <v>1755.8455857485501</v>
      </c>
      <c r="F634" s="355">
        <f>1958142.75445044/1000</f>
        <v>1958.14275445044</v>
      </c>
      <c r="G634" s="30">
        <f>2137006.55856729/1000</f>
        <v>2137.0065585672901</v>
      </c>
      <c r="H634" s="72"/>
    </row>
    <row r="637" spans="1:8">
      <c r="A637" s="16" t="s">
        <v>30</v>
      </c>
    </row>
    <row r="639" spans="1:8">
      <c r="B639" s="2"/>
      <c r="C639" s="2">
        <v>2017</v>
      </c>
      <c r="D639" s="2">
        <v>2016</v>
      </c>
      <c r="E639" s="2" t="s">
        <v>26</v>
      </c>
      <c r="F639" s="349" t="s">
        <v>25</v>
      </c>
      <c r="G639" s="2" t="s">
        <v>21</v>
      </c>
      <c r="H639" s="195"/>
    </row>
    <row r="640" spans="1:8">
      <c r="B640" s="4" t="s">
        <v>1</v>
      </c>
      <c r="C640" s="35">
        <v>2870058</v>
      </c>
      <c r="D640" s="35">
        <v>2361623</v>
      </c>
      <c r="E640" s="35">
        <v>2178667</v>
      </c>
      <c r="F640" s="359">
        <v>1262740</v>
      </c>
      <c r="G640" s="35">
        <v>409858</v>
      </c>
      <c r="H640" s="309"/>
    </row>
    <row r="641" spans="1:8">
      <c r="B641" s="2"/>
      <c r="C641" s="2"/>
      <c r="D641" s="2"/>
      <c r="E641" s="2"/>
      <c r="F641" s="349"/>
      <c r="G641" s="2"/>
      <c r="H641" s="195"/>
    </row>
    <row r="642" spans="1:8" ht="28">
      <c r="B642" s="20" t="s">
        <v>11</v>
      </c>
      <c r="C642" s="30">
        <v>463904</v>
      </c>
      <c r="D642" s="30">
        <v>257808</v>
      </c>
      <c r="E642" s="30">
        <v>190238</v>
      </c>
      <c r="F642" s="355">
        <v>96715</v>
      </c>
      <c r="G642" s="30">
        <v>37546</v>
      </c>
      <c r="H642" s="72"/>
    </row>
    <row r="643" spans="1:8">
      <c r="B643" s="14" t="s">
        <v>2</v>
      </c>
      <c r="C643" s="30">
        <v>1194282</v>
      </c>
      <c r="D643" s="30">
        <v>1079303</v>
      </c>
      <c r="E643" s="30">
        <v>939984</v>
      </c>
      <c r="F643" s="355">
        <v>343688</v>
      </c>
      <c r="G643" s="30">
        <v>95000</v>
      </c>
      <c r="H643" s="72"/>
    </row>
    <row r="644" spans="1:8">
      <c r="B644" s="14" t="s">
        <v>3</v>
      </c>
      <c r="C644" s="30">
        <v>181727</v>
      </c>
      <c r="D644" s="30">
        <v>43601</v>
      </c>
      <c r="E644" s="30">
        <v>80034</v>
      </c>
      <c r="F644" s="355">
        <v>34779</v>
      </c>
      <c r="G644" s="30">
        <v>7417</v>
      </c>
      <c r="H644" s="72"/>
    </row>
    <row r="645" spans="1:8">
      <c r="B645" s="12" t="s">
        <v>8</v>
      </c>
      <c r="C645" s="13">
        <f t="shared" ref="C645:G645" si="309">SUM(C643:C644)</f>
        <v>1376009</v>
      </c>
      <c r="D645" s="13">
        <f t="shared" si="309"/>
        <v>1122904</v>
      </c>
      <c r="E645" s="13">
        <f t="shared" si="309"/>
        <v>1020018</v>
      </c>
      <c r="F645" s="344">
        <f t="shared" si="309"/>
        <v>378467</v>
      </c>
      <c r="G645" s="13">
        <f t="shared" si="309"/>
        <v>102417</v>
      </c>
      <c r="H645" s="207"/>
    </row>
    <row r="646" spans="1:8">
      <c r="B646" s="18" t="s">
        <v>12</v>
      </c>
      <c r="C646" s="30">
        <v>-2348</v>
      </c>
      <c r="D646" s="30">
        <v>-127711</v>
      </c>
      <c r="E646" s="30">
        <v>-220839</v>
      </c>
      <c r="F646" s="355">
        <v>15995</v>
      </c>
      <c r="G646" s="30">
        <v>-3903</v>
      </c>
      <c r="H646" s="72"/>
    </row>
    <row r="647" spans="1:8" ht="28">
      <c r="B647" s="14" t="s">
        <v>13</v>
      </c>
      <c r="C647" s="32">
        <v>-0.157</v>
      </c>
      <c r="D647" s="32">
        <v>-10.31</v>
      </c>
      <c r="E647" s="32">
        <v>-19.059999999999999</v>
      </c>
      <c r="F647" s="357">
        <v>1.8089999999999999</v>
      </c>
      <c r="G647" s="32">
        <v>-1.27</v>
      </c>
      <c r="H647" s="307"/>
    </row>
    <row r="648" spans="1:8" ht="28">
      <c r="B648" s="14" t="s">
        <v>14</v>
      </c>
      <c r="C648" s="32">
        <v>-8.2000000000000003E-2</v>
      </c>
      <c r="D648" s="32">
        <v>-5.4080000000000004</v>
      </c>
      <c r="E648" s="32">
        <v>-10.135999999999999</v>
      </c>
      <c r="F648" s="357">
        <v>1.2669999999999999</v>
      </c>
      <c r="G648" s="32">
        <v>-0.95199999999999996</v>
      </c>
      <c r="H648" s="307"/>
    </row>
    <row r="649" spans="1:8" ht="28">
      <c r="B649" s="14" t="s">
        <v>15</v>
      </c>
      <c r="C649" s="33">
        <v>14497</v>
      </c>
      <c r="D649" s="33">
        <v>8889.9310339999993</v>
      </c>
      <c r="E649" s="33">
        <v>6794.2142860000004</v>
      </c>
      <c r="F649" s="361">
        <v>3868.6</v>
      </c>
      <c r="G649" s="34" t="s">
        <v>22</v>
      </c>
      <c r="H649" s="308"/>
    </row>
    <row r="650" spans="1:8">
      <c r="B650" s="7" t="s">
        <v>23</v>
      </c>
      <c r="C650" s="30">
        <v>1494049</v>
      </c>
      <c r="D650" s="30">
        <v>1238719</v>
      </c>
      <c r="E650" s="30">
        <v>1158649</v>
      </c>
      <c r="F650" s="355">
        <v>884273</v>
      </c>
      <c r="G650" s="30">
        <v>307441</v>
      </c>
      <c r="H650" s="72"/>
    </row>
    <row r="654" spans="1:8">
      <c r="A654" s="86" t="s">
        <v>31</v>
      </c>
      <c r="B654" s="86"/>
      <c r="C654" s="86"/>
      <c r="D654" s="86"/>
      <c r="E654" s="86"/>
      <c r="F654" s="86"/>
      <c r="G654" s="86"/>
      <c r="H654" s="86"/>
    </row>
    <row r="655" spans="1:8">
      <c r="A655" s="101" t="s">
        <v>34</v>
      </c>
      <c r="B655" s="86"/>
      <c r="C655" s="86"/>
      <c r="D655" s="86"/>
      <c r="E655" s="86"/>
      <c r="F655" s="86"/>
      <c r="G655" s="86"/>
      <c r="H655" s="86"/>
    </row>
    <row r="656" spans="1:8">
      <c r="A656" s="86"/>
      <c r="B656" s="87"/>
      <c r="C656" s="87">
        <v>2018</v>
      </c>
      <c r="D656" s="87">
        <v>2017</v>
      </c>
      <c r="E656" s="87" t="s">
        <v>33</v>
      </c>
      <c r="F656" s="87" t="s">
        <v>25</v>
      </c>
      <c r="G656" s="87" t="s">
        <v>21</v>
      </c>
      <c r="H656" s="87"/>
    </row>
    <row r="657" spans="1:31">
      <c r="A657" s="86"/>
      <c r="B657" s="88" t="s">
        <v>1</v>
      </c>
      <c r="C657" s="89">
        <v>649888.43226397003</v>
      </c>
      <c r="D657" s="89">
        <v>480284.620251238</v>
      </c>
      <c r="E657" s="89">
        <v>452673.38827877498</v>
      </c>
      <c r="F657" s="89">
        <v>387010.38109605003</v>
      </c>
      <c r="G657" s="89">
        <v>400404.27249723702</v>
      </c>
      <c r="H657" s="311"/>
      <c r="I657" s="209"/>
      <c r="L657" s="209"/>
      <c r="M657" s="209"/>
      <c r="N657" s="209"/>
    </row>
    <row r="658" spans="1:31">
      <c r="A658" s="86"/>
      <c r="B658" s="87"/>
      <c r="C658" s="87"/>
      <c r="D658" s="87"/>
      <c r="E658" s="87"/>
      <c r="F658" s="87"/>
      <c r="G658" s="87"/>
      <c r="H658" s="87"/>
      <c r="I658" s="209"/>
      <c r="L658" s="209"/>
      <c r="M658" s="209"/>
      <c r="N658" s="209"/>
    </row>
    <row r="659" spans="1:31" ht="28">
      <c r="A659" s="86"/>
      <c r="B659" s="90" t="s">
        <v>11</v>
      </c>
      <c r="C659" s="91">
        <v>430906.55552676303</v>
      </c>
      <c r="D659" s="91">
        <v>390839.51444980502</v>
      </c>
      <c r="E659" s="91">
        <v>399693.82470419997</v>
      </c>
      <c r="F659" s="91">
        <v>284380.49753163802</v>
      </c>
      <c r="G659" s="91">
        <v>330181.41132482898</v>
      </c>
      <c r="H659" s="312"/>
      <c r="I659" s="209"/>
      <c r="L659" s="209"/>
      <c r="M659" s="209"/>
      <c r="N659" s="209"/>
    </row>
    <row r="660" spans="1:31">
      <c r="A660" s="86"/>
      <c r="B660" s="92" t="s">
        <v>2</v>
      </c>
      <c r="C660" s="91">
        <v>53200.899774640799</v>
      </c>
      <c r="D660" s="91">
        <v>45240.676449090199</v>
      </c>
      <c r="E660" s="91">
        <v>132999.755357713</v>
      </c>
      <c r="F660" s="91">
        <v>129372.953428462</v>
      </c>
      <c r="G660" s="91">
        <v>126198.68300700199</v>
      </c>
      <c r="H660" s="312"/>
      <c r="I660" s="209"/>
      <c r="L660" s="209"/>
      <c r="M660" s="209"/>
      <c r="N660" s="209"/>
    </row>
    <row r="661" spans="1:31">
      <c r="A661" s="86"/>
      <c r="B661" s="92" t="s">
        <v>3</v>
      </c>
      <c r="C661" s="91">
        <v>186304.37029099499</v>
      </c>
      <c r="D661" s="91">
        <v>92677.972967058406</v>
      </c>
      <c r="E661" s="91">
        <v>71778.474907338605</v>
      </c>
      <c r="F661" s="91">
        <v>51454.780281200998</v>
      </c>
      <c r="G661" s="91">
        <v>79339.143980205103</v>
      </c>
      <c r="H661" s="312"/>
      <c r="I661" s="209"/>
      <c r="L661" s="209"/>
      <c r="M661" s="209"/>
      <c r="N661" s="209"/>
    </row>
    <row r="662" spans="1:31">
      <c r="A662" s="86"/>
      <c r="B662" s="93" t="s">
        <v>8</v>
      </c>
      <c r="C662" s="94">
        <f t="shared" ref="C662:G662" si="310">SUM(C660:C661)</f>
        <v>239505.27006563579</v>
      </c>
      <c r="D662" s="94">
        <f t="shared" si="310"/>
        <v>137918.6494161486</v>
      </c>
      <c r="E662" s="94">
        <f t="shared" si="310"/>
        <v>204778.23026505159</v>
      </c>
      <c r="F662" s="94">
        <f t="shared" si="310"/>
        <v>180827.73370966301</v>
      </c>
      <c r="G662" s="94">
        <f t="shared" si="310"/>
        <v>205537.82698720711</v>
      </c>
      <c r="H662" s="94"/>
      <c r="I662" s="209"/>
      <c r="L662" s="209"/>
      <c r="M662" s="209"/>
      <c r="N662" s="209"/>
    </row>
    <row r="663" spans="1:31" ht="15" customHeight="1">
      <c r="A663" s="86"/>
      <c r="B663" s="95" t="s">
        <v>12</v>
      </c>
      <c r="C663" s="91">
        <v>116333.80469659</v>
      </c>
      <c r="D663" s="91">
        <v>123744.639948517</v>
      </c>
      <c r="E663" s="91">
        <v>90686.817918568806</v>
      </c>
      <c r="F663" s="91">
        <v>54316.556993544102</v>
      </c>
      <c r="G663" s="91">
        <v>52080.098187536001</v>
      </c>
      <c r="H663" s="312"/>
      <c r="I663" s="209"/>
      <c r="L663" s="209"/>
      <c r="M663" s="209"/>
      <c r="N663" s="209"/>
    </row>
    <row r="664" spans="1:31" ht="28">
      <c r="A664" s="86"/>
      <c r="B664" s="92" t="s">
        <v>13</v>
      </c>
      <c r="C664" s="96">
        <v>28.347999999999999</v>
      </c>
      <c r="D664" s="96">
        <v>36.143999999999998</v>
      </c>
      <c r="E664" s="96">
        <v>36.582999999999998</v>
      </c>
      <c r="F664" s="96">
        <v>26.344000000000001</v>
      </c>
      <c r="G664" s="96">
        <v>26.725999999999999</v>
      </c>
      <c r="H664" s="313"/>
      <c r="I664" s="209"/>
      <c r="L664" s="209"/>
      <c r="M664" s="209"/>
      <c r="N664" s="209"/>
    </row>
    <row r="665" spans="1:31" ht="54" customHeight="1">
      <c r="A665" s="86"/>
      <c r="B665" s="92" t="s">
        <v>14</v>
      </c>
      <c r="C665" s="96">
        <v>17.901</v>
      </c>
      <c r="D665" s="96">
        <v>25.765000000000001</v>
      </c>
      <c r="E665" s="96">
        <v>20.033999999999999</v>
      </c>
      <c r="F665" s="96">
        <v>14.035</v>
      </c>
      <c r="G665" s="96">
        <v>13.007</v>
      </c>
      <c r="H665" s="313"/>
      <c r="I665" s="209"/>
      <c r="L665" s="209"/>
      <c r="M665" s="209"/>
      <c r="N665" s="209"/>
    </row>
    <row r="666" spans="1:31" ht="33" customHeight="1">
      <c r="A666" s="86"/>
      <c r="B666" s="92" t="s">
        <v>15</v>
      </c>
      <c r="C666" s="97">
        <v>752.01842152792904</v>
      </c>
      <c r="D666" s="97">
        <v>729.17819864734997</v>
      </c>
      <c r="E666" s="97">
        <v>770.12297626486895</v>
      </c>
      <c r="F666" s="98" t="s">
        <v>22</v>
      </c>
      <c r="G666" s="98" t="s">
        <v>22</v>
      </c>
      <c r="H666" s="314"/>
      <c r="I666" s="209"/>
      <c r="L666" s="209"/>
      <c r="M666" s="209"/>
      <c r="N666" s="209"/>
    </row>
    <row r="667" spans="1:31">
      <c r="A667" s="86"/>
      <c r="B667" s="99" t="s">
        <v>23</v>
      </c>
      <c r="C667" s="91">
        <v>410383.29073303897</v>
      </c>
      <c r="D667" s="91">
        <v>342365.85428497201</v>
      </c>
      <c r="E667" s="91">
        <v>247895.15801372399</v>
      </c>
      <c r="F667" s="91">
        <v>206182.78197589499</v>
      </c>
      <c r="G667" s="91">
        <v>194866.609983712</v>
      </c>
      <c r="H667" s="312"/>
      <c r="I667" s="209"/>
      <c r="L667" s="209"/>
      <c r="M667" s="209"/>
      <c r="N667" s="209"/>
    </row>
    <row r="668" spans="1:31">
      <c r="I668" s="209"/>
      <c r="L668" s="209"/>
      <c r="M668" s="209"/>
      <c r="N668" s="209"/>
    </row>
    <row r="669" spans="1:31">
      <c r="I669" s="209"/>
      <c r="L669" s="209"/>
      <c r="M669" s="209"/>
      <c r="N669" s="209"/>
    </row>
    <row r="670" spans="1:31">
      <c r="A670" s="100" t="s">
        <v>35</v>
      </c>
      <c r="B670" s="86"/>
      <c r="C670" s="86"/>
      <c r="D670" s="86"/>
      <c r="E670" s="86"/>
      <c r="F670" s="86"/>
      <c r="G670" s="86"/>
      <c r="H670" s="86"/>
      <c r="I670" s="209"/>
      <c r="L670" s="209"/>
      <c r="M670" s="209"/>
      <c r="N670" s="209"/>
    </row>
    <row r="671" spans="1:31">
      <c r="A671" s="101" t="s">
        <v>36</v>
      </c>
      <c r="B671" s="86"/>
      <c r="C671" s="86"/>
      <c r="D671" s="86"/>
      <c r="E671" s="86"/>
      <c r="F671" s="86"/>
      <c r="G671" s="86"/>
      <c r="H671" s="86"/>
      <c r="I671" s="209"/>
      <c r="L671" s="209"/>
      <c r="M671" s="209"/>
      <c r="N671" s="209"/>
    </row>
    <row r="672" spans="1:31">
      <c r="A672" s="86"/>
      <c r="B672" s="87"/>
      <c r="C672" s="87">
        <v>2018</v>
      </c>
      <c r="D672" s="87">
        <v>2017</v>
      </c>
      <c r="E672" s="87" t="s">
        <v>33</v>
      </c>
      <c r="F672" s="87" t="s">
        <v>26</v>
      </c>
      <c r="G672" s="87" t="s">
        <v>21</v>
      </c>
      <c r="H672" s="87"/>
      <c r="I672" s="209"/>
      <c r="L672" s="209"/>
      <c r="M672" s="209"/>
      <c r="N672" s="209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</row>
    <row r="673" spans="1:31">
      <c r="A673" s="86"/>
      <c r="B673" s="88" t="s">
        <v>1</v>
      </c>
      <c r="C673" s="89">
        <v>37635861.204952002</v>
      </c>
      <c r="D673" s="89">
        <v>32653729.934602998</v>
      </c>
      <c r="E673" s="89">
        <v>29644739.3991202</v>
      </c>
      <c r="F673" s="89">
        <v>32273053.027004</v>
      </c>
      <c r="G673" s="89">
        <v>61832894.147157699</v>
      </c>
      <c r="H673" s="311"/>
      <c r="I673" s="209"/>
      <c r="L673" s="209"/>
      <c r="M673" s="209"/>
      <c r="N673" s="209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</row>
    <row r="674" spans="1:31">
      <c r="A674" s="86"/>
      <c r="B674" s="87"/>
      <c r="C674" s="87"/>
      <c r="D674" s="87"/>
      <c r="E674" s="87"/>
      <c r="F674" s="87"/>
      <c r="G674" s="87"/>
      <c r="H674" s="87"/>
      <c r="I674" s="209"/>
      <c r="L674" s="209"/>
      <c r="M674" s="209"/>
      <c r="N674" s="209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</row>
    <row r="675" spans="1:31" ht="28">
      <c r="A675" s="86"/>
      <c r="B675" s="90" t="s">
        <v>11</v>
      </c>
      <c r="C675" s="91">
        <v>18964267.3634887</v>
      </c>
      <c r="D675" s="91">
        <v>17583566.611737002</v>
      </c>
      <c r="E675" s="91">
        <v>18416444.593548801</v>
      </c>
      <c r="F675" s="91">
        <v>27452657.4956179</v>
      </c>
      <c r="G675" s="91">
        <v>28019736.5748882</v>
      </c>
      <c r="H675" s="312"/>
      <c r="I675" s="209"/>
      <c r="L675" s="209"/>
      <c r="M675" s="209"/>
      <c r="N675" s="209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</row>
    <row r="676" spans="1:31">
      <c r="A676" s="86"/>
      <c r="B676" s="92" t="s">
        <v>2</v>
      </c>
      <c r="C676" s="91">
        <v>18397300.782173902</v>
      </c>
      <c r="D676" s="91">
        <v>15272261.227011699</v>
      </c>
      <c r="E676" s="91">
        <v>11599757.917448901</v>
      </c>
      <c r="F676" s="91">
        <v>12464153.227359099</v>
      </c>
      <c r="G676" s="91">
        <v>21647697.1619725</v>
      </c>
      <c r="H676" s="312"/>
      <c r="I676" s="209"/>
      <c r="L676" s="209"/>
      <c r="M676" s="209"/>
      <c r="N676" s="209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</row>
    <row r="677" spans="1:31">
      <c r="A677" s="86"/>
      <c r="B677" s="92" t="s">
        <v>3</v>
      </c>
      <c r="C677" s="91">
        <v>3633419.02530193</v>
      </c>
      <c r="D677" s="91">
        <v>4010489.5511269602</v>
      </c>
      <c r="E677" s="91">
        <v>6509794.3004667796</v>
      </c>
      <c r="F677" s="91">
        <v>6501606.8969368897</v>
      </c>
      <c r="G677" s="91">
        <v>31913486.537754498</v>
      </c>
      <c r="H677" s="312"/>
      <c r="I677" s="209"/>
      <c r="L677" s="209"/>
      <c r="M677" s="209"/>
      <c r="N677" s="209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</row>
    <row r="678" spans="1:31">
      <c r="A678" s="86"/>
      <c r="B678" s="93" t="s">
        <v>8</v>
      </c>
      <c r="C678" s="94">
        <f t="shared" ref="C678:G678" si="311">SUM(C676:C677)</f>
        <v>22030719.807475831</v>
      </c>
      <c r="D678" s="94">
        <f t="shared" si="311"/>
        <v>19282750.77813866</v>
      </c>
      <c r="E678" s="94">
        <f t="shared" si="311"/>
        <v>18109552.21791568</v>
      </c>
      <c r="F678" s="94">
        <f t="shared" si="311"/>
        <v>18965760.124295987</v>
      </c>
      <c r="G678" s="94">
        <f t="shared" si="311"/>
        <v>53561183.699726999</v>
      </c>
      <c r="H678" s="94"/>
      <c r="I678" s="209"/>
      <c r="L678" s="209"/>
      <c r="M678" s="209"/>
      <c r="N678" s="209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</row>
    <row r="679" spans="1:31">
      <c r="A679" s="86"/>
      <c r="B679" s="95" t="s">
        <v>12</v>
      </c>
      <c r="C679" s="91">
        <v>6000771.2118029604</v>
      </c>
      <c r="D679" s="91">
        <v>2878438.2576048402</v>
      </c>
      <c r="E679" s="91">
        <v>2921281.6796377301</v>
      </c>
      <c r="F679" s="91">
        <v>9242397.9864418507</v>
      </c>
      <c r="G679" s="91">
        <v>6954440.7231509704</v>
      </c>
      <c r="H679" s="312"/>
      <c r="I679" s="209"/>
      <c r="L679" s="209"/>
      <c r="M679" s="209"/>
      <c r="N679" s="209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</row>
    <row r="680" spans="1:31" ht="28">
      <c r="A680" s="86"/>
      <c r="B680" s="92" t="s">
        <v>13</v>
      </c>
      <c r="C680" s="96">
        <v>38.453000000000003</v>
      </c>
      <c r="D680" s="96">
        <v>21.527999999999999</v>
      </c>
      <c r="E680" s="96">
        <v>25.324999999999999</v>
      </c>
      <c r="F680" s="96">
        <v>69.453000000000003</v>
      </c>
      <c r="G680" s="96">
        <v>84.075000000000003</v>
      </c>
      <c r="H680" s="313"/>
      <c r="I680" s="209"/>
      <c r="L680" s="209"/>
      <c r="M680" s="209"/>
      <c r="N680" s="209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</row>
    <row r="681" spans="1:31" ht="28">
      <c r="A681" s="86"/>
      <c r="B681" s="92" t="s">
        <v>14</v>
      </c>
      <c r="C681" s="96">
        <v>15.944000000000001</v>
      </c>
      <c r="D681" s="96">
        <v>8.8149999999999995</v>
      </c>
      <c r="E681" s="96">
        <v>9.8539999999999992</v>
      </c>
      <c r="F681" s="96">
        <v>28.638000000000002</v>
      </c>
      <c r="G681" s="96">
        <v>11.247</v>
      </c>
      <c r="H681" s="313"/>
      <c r="I681" s="209"/>
      <c r="L681" s="209"/>
      <c r="M681" s="209"/>
      <c r="N681" s="209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</row>
    <row r="682" spans="1:31" ht="28">
      <c r="A682" s="86"/>
      <c r="B682" s="92" t="s">
        <v>15</v>
      </c>
      <c r="C682" s="97">
        <v>441.02947352765602</v>
      </c>
      <c r="D682" s="97">
        <v>418.65634794844999</v>
      </c>
      <c r="E682" s="97">
        <v>418.55555888932702</v>
      </c>
      <c r="F682" s="97">
        <v>442.78479828451799</v>
      </c>
      <c r="G682" s="98" t="s">
        <v>22</v>
      </c>
      <c r="H682" s="314"/>
      <c r="I682" s="209"/>
      <c r="L682" s="209"/>
      <c r="M682" s="209"/>
      <c r="N682" s="209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</row>
    <row r="683" spans="1:31">
      <c r="A683" s="86"/>
      <c r="B683" s="99" t="s">
        <v>23</v>
      </c>
      <c r="C683" s="91">
        <v>15605269.9321806</v>
      </c>
      <c r="D683" s="91">
        <v>13370979.156464299</v>
      </c>
      <c r="E683" s="91">
        <v>11535187.1812046</v>
      </c>
      <c r="F683" s="91">
        <v>13307416.5121019</v>
      </c>
      <c r="G683" s="91">
        <v>8271710.4474306097</v>
      </c>
      <c r="H683" s="312"/>
      <c r="I683" s="209"/>
      <c r="L683" s="209"/>
      <c r="M683" s="209"/>
      <c r="N683" s="209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</row>
    <row r="684" spans="1:31">
      <c r="I684" s="209"/>
      <c r="L684" s="209"/>
      <c r="M684" s="209"/>
      <c r="N684" s="209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</row>
    <row r="685" spans="1:31">
      <c r="A685" s="16" t="s">
        <v>37</v>
      </c>
      <c r="I685" s="209"/>
      <c r="L685" s="209"/>
      <c r="M685" s="209"/>
      <c r="N685" s="209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</row>
    <row r="686" spans="1:31">
      <c r="I686" s="209"/>
      <c r="L686" s="209"/>
      <c r="M686" s="209"/>
      <c r="N686" s="209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</row>
    <row r="687" spans="1:31">
      <c r="B687" s="158"/>
      <c r="C687" s="158">
        <v>2017</v>
      </c>
      <c r="D687" s="158">
        <v>2016</v>
      </c>
      <c r="E687" s="158" t="s">
        <v>26</v>
      </c>
      <c r="F687" s="349" t="s">
        <v>20</v>
      </c>
      <c r="G687" s="158" t="s">
        <v>21</v>
      </c>
      <c r="H687" s="195"/>
      <c r="I687" s="209"/>
      <c r="L687" s="209"/>
      <c r="M687" s="209"/>
      <c r="N687" s="209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</row>
    <row r="688" spans="1:31">
      <c r="B688" s="202" t="s">
        <v>1</v>
      </c>
      <c r="C688" s="35">
        <f>51543361.9805351/1000</f>
        <v>51543.361980535097</v>
      </c>
      <c r="D688" s="35">
        <f>68077029.7769308/1000</f>
        <v>68077.029776930794</v>
      </c>
      <c r="E688" s="35">
        <f>61168102.8863937/1000</f>
        <v>61168.102886393703</v>
      </c>
      <c r="F688" s="359">
        <f>59050877.5331378/1000</f>
        <v>59050.877533137798</v>
      </c>
      <c r="G688" s="35">
        <f>87932071.5298355/1000</f>
        <v>87932.071529835506</v>
      </c>
      <c r="H688" s="309"/>
      <c r="I688" s="209"/>
      <c r="L688" s="209"/>
      <c r="M688" s="209"/>
      <c r="N688" s="209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</row>
    <row r="689" spans="1:31">
      <c r="B689" s="158"/>
      <c r="C689" s="158"/>
      <c r="D689" s="158"/>
      <c r="E689" s="158"/>
      <c r="F689" s="349"/>
      <c r="G689" s="158"/>
      <c r="H689" s="195"/>
      <c r="I689" s="209"/>
      <c r="L689" s="209"/>
      <c r="M689" s="209"/>
      <c r="N689" s="209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</row>
    <row r="690" spans="1:31" ht="28">
      <c r="B690" s="211" t="s">
        <v>11</v>
      </c>
      <c r="C690" s="30">
        <f>8159683.34890157/1000</f>
        <v>8159.6833489015698</v>
      </c>
      <c r="D690" s="30">
        <f>5861484.88560319/1000</f>
        <v>5861.4848856031904</v>
      </c>
      <c r="E690" s="30">
        <f>6901021.39261365/1000</f>
        <v>6901.0213926136503</v>
      </c>
      <c r="F690" s="355">
        <f>4597981.36781156/1000</f>
        <v>4597.9813678115597</v>
      </c>
      <c r="G690" s="30">
        <f>3603618.38668585/1000</f>
        <v>3603.6183866858501</v>
      </c>
      <c r="H690" s="72"/>
      <c r="I690" s="209"/>
      <c r="L690" s="209"/>
      <c r="M690" s="209"/>
      <c r="N690" s="209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</row>
    <row r="691" spans="1:31">
      <c r="B691" s="208" t="s">
        <v>2</v>
      </c>
      <c r="C691" s="30">
        <f>15503654.1485414/1000</f>
        <v>15503.6541485414</v>
      </c>
      <c r="D691" s="30">
        <f>43256960.3119045/1000</f>
        <v>43256.960311904499</v>
      </c>
      <c r="E691" s="30">
        <f>41414414.3940657/1000</f>
        <v>41414.414394065701</v>
      </c>
      <c r="F691" s="355">
        <f>43171065.2319938/1000</f>
        <v>43171.065231993802</v>
      </c>
      <c r="G691" s="30">
        <f>6685690.72571397/1000</f>
        <v>6685.6907257139701</v>
      </c>
      <c r="H691" s="72"/>
      <c r="I691" s="209"/>
      <c r="L691" s="209"/>
      <c r="M691" s="209"/>
      <c r="N691" s="209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</row>
    <row r="692" spans="1:31">
      <c r="B692" s="208" t="s">
        <v>3</v>
      </c>
      <c r="C692" s="30">
        <f>22271011.060141/1000</f>
        <v>22271.011060141002</v>
      </c>
      <c r="D692" s="30">
        <f>25870069.4590807/1000</f>
        <v>25870.0694590807</v>
      </c>
      <c r="E692" s="30">
        <f>17209874.7084886/1000</f>
        <v>17209.874708488598</v>
      </c>
      <c r="F692" s="355">
        <f>10312382.7059418/1000</f>
        <v>10312.3827059418</v>
      </c>
      <c r="G692" s="30">
        <f>40421052.2460938/1000</f>
        <v>40421.052246093801</v>
      </c>
      <c r="H692" s="72"/>
      <c r="I692" s="209"/>
      <c r="L692" s="209"/>
      <c r="M692" s="209"/>
      <c r="N692" s="209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</row>
    <row r="693" spans="1:31">
      <c r="B693" s="206" t="s">
        <v>8</v>
      </c>
      <c r="C693" s="207">
        <f t="shared" ref="C693:G693" si="312">SUM(C691:C692)</f>
        <v>37774.665208682403</v>
      </c>
      <c r="D693" s="207">
        <f t="shared" si="312"/>
        <v>69127.029770985202</v>
      </c>
      <c r="E693" s="207">
        <f t="shared" si="312"/>
        <v>58624.289102554299</v>
      </c>
      <c r="F693" s="344">
        <f t="shared" si="312"/>
        <v>53483.447937935605</v>
      </c>
      <c r="G693" s="207">
        <f t="shared" si="312"/>
        <v>47106.742971807769</v>
      </c>
      <c r="H693" s="207"/>
      <c r="I693" s="209"/>
      <c r="L693" s="209"/>
      <c r="M693" s="209"/>
      <c r="N693" s="209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</row>
    <row r="694" spans="1:31">
      <c r="B694" s="210" t="s">
        <v>12</v>
      </c>
      <c r="C694" s="30">
        <f>-2115590.75229615/1000</f>
        <v>-2115.5907522961502</v>
      </c>
      <c r="D694" s="30">
        <f>-3649883.970052/1000</f>
        <v>-3649.8839700520002</v>
      </c>
      <c r="E694" s="30">
        <f>-2151532.29542077/1000</f>
        <v>-2151.53229542077</v>
      </c>
      <c r="F694" s="355">
        <f>-27914806.1222285/1000</f>
        <v>-27914.8061222285</v>
      </c>
      <c r="G694" s="30">
        <f>-10546545.9520519/1000</f>
        <v>-10546.5459520519</v>
      </c>
      <c r="H694" s="72"/>
      <c r="I694" s="209"/>
      <c r="L694" s="209"/>
      <c r="M694" s="209"/>
      <c r="N694" s="209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</row>
    <row r="695" spans="1:31" ht="28">
      <c r="B695" s="208" t="s">
        <v>13</v>
      </c>
      <c r="C695" s="32">
        <v>-15.365</v>
      </c>
      <c r="D695" s="34" t="s">
        <v>4</v>
      </c>
      <c r="E695" s="32">
        <v>-84.578999999999994</v>
      </c>
      <c r="F695" s="357">
        <v>-501.39499999999998</v>
      </c>
      <c r="G695" s="32">
        <v>-25.832999999999998</v>
      </c>
      <c r="H695" s="307"/>
      <c r="I695" s="209"/>
      <c r="L695" s="209"/>
      <c r="M695" s="209"/>
      <c r="N695" s="209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</row>
    <row r="696" spans="1:31" ht="28">
      <c r="B696" s="208" t="s">
        <v>14</v>
      </c>
      <c r="C696" s="32">
        <v>-4.1040000000000001</v>
      </c>
      <c r="D696" s="32">
        <v>-5.3609999999999998</v>
      </c>
      <c r="E696" s="32">
        <v>-3.5169999999999999</v>
      </c>
      <c r="F696" s="357">
        <v>-47.271999999999998</v>
      </c>
      <c r="G696" s="32">
        <v>-11.994</v>
      </c>
      <c r="H696" s="307"/>
      <c r="I696" s="209"/>
      <c r="L696" s="209"/>
      <c r="M696" s="209"/>
      <c r="N696" s="209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</row>
    <row r="697" spans="1:31" ht="28">
      <c r="B697" s="208" t="s">
        <v>15</v>
      </c>
      <c r="C697" s="33">
        <v>8159.6833489015698</v>
      </c>
      <c r="D697" s="33">
        <v>5861.4848856031904</v>
      </c>
      <c r="E697" s="33">
        <v>985.86019889616102</v>
      </c>
      <c r="F697" s="358" t="s">
        <v>22</v>
      </c>
      <c r="G697" s="34" t="s">
        <v>22</v>
      </c>
      <c r="H697" s="308"/>
      <c r="I697" s="209"/>
      <c r="L697" s="209"/>
      <c r="M697" s="209"/>
      <c r="N697" s="209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</row>
    <row r="698" spans="1:31">
      <c r="B698" s="203" t="s">
        <v>23</v>
      </c>
      <c r="C698" s="30">
        <f>26161388.6655495/1000</f>
        <v>26161.388665549501</v>
      </c>
      <c r="D698" s="30">
        <f>-1049999.99405444/1000</f>
        <v>-1049.9999940544399</v>
      </c>
      <c r="E698" s="30">
        <f>2543813.78383934/1000</f>
        <v>2543.81378383934</v>
      </c>
      <c r="F698" s="355">
        <f>5567429.59520221/1000</f>
        <v>5567.4295952022103</v>
      </c>
      <c r="G698" s="30">
        <f>40825328.5580277/1000</f>
        <v>40825.328558027701</v>
      </c>
      <c r="H698" s="72"/>
      <c r="I698" s="209"/>
      <c r="L698" s="209"/>
      <c r="M698" s="209"/>
      <c r="N698" s="209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</row>
    <row r="699" spans="1:31">
      <c r="I699" s="209"/>
      <c r="L699" s="209"/>
      <c r="M699" s="209"/>
      <c r="N699" s="209"/>
      <c r="O699" s="118"/>
      <c r="P699" s="118"/>
      <c r="Q699" s="118"/>
      <c r="R699" s="118"/>
      <c r="S699" s="118"/>
      <c r="T699" s="118"/>
      <c r="U699" s="118"/>
      <c r="V699" s="118"/>
      <c r="W699" s="104"/>
      <c r="X699" s="104"/>
      <c r="Y699" s="104"/>
      <c r="Z699" s="104"/>
      <c r="AA699" s="104"/>
      <c r="AB699" s="104"/>
      <c r="AC699" s="104"/>
      <c r="AD699" s="104"/>
      <c r="AE699" s="104"/>
    </row>
    <row r="700" spans="1:31">
      <c r="I700" s="209"/>
      <c r="L700" s="209"/>
      <c r="M700" s="209"/>
      <c r="N700" s="209"/>
      <c r="O700" s="119"/>
      <c r="P700" s="119"/>
      <c r="Q700" s="119"/>
      <c r="R700" s="119"/>
      <c r="S700" s="119"/>
      <c r="T700" s="119"/>
      <c r="U700" s="119"/>
      <c r="V700" s="119"/>
      <c r="W700" s="104"/>
      <c r="X700" s="104"/>
      <c r="Y700" s="104"/>
      <c r="Z700" s="104"/>
      <c r="AA700" s="104"/>
      <c r="AB700" s="104"/>
      <c r="AC700" s="104"/>
      <c r="AD700" s="104"/>
      <c r="AE700" s="104"/>
    </row>
    <row r="701" spans="1:31">
      <c r="A701" s="102" t="s">
        <v>38</v>
      </c>
      <c r="B701" s="86"/>
      <c r="C701" s="86"/>
      <c r="D701" s="86"/>
      <c r="E701" s="86"/>
      <c r="F701" s="86"/>
      <c r="G701" s="86"/>
      <c r="H701" s="86"/>
      <c r="I701" s="209"/>
      <c r="L701" s="209"/>
      <c r="M701" s="209"/>
      <c r="N701" s="209"/>
      <c r="O701" s="121"/>
      <c r="P701" s="121"/>
      <c r="Q701" s="121"/>
      <c r="R701" s="121"/>
      <c r="S701" s="121"/>
      <c r="T701" s="121"/>
      <c r="U701" s="121"/>
      <c r="V701" s="121"/>
      <c r="W701" s="104"/>
      <c r="X701" s="104"/>
      <c r="Y701" s="104"/>
      <c r="Z701" s="104"/>
      <c r="AA701" s="104"/>
      <c r="AB701" s="104"/>
      <c r="AC701" s="104"/>
      <c r="AD701" s="104"/>
      <c r="AE701" s="104"/>
    </row>
    <row r="702" spans="1:31">
      <c r="A702" s="101" t="s">
        <v>39</v>
      </c>
      <c r="B702" s="86"/>
      <c r="C702" s="86"/>
      <c r="D702" s="86"/>
      <c r="E702" s="86"/>
      <c r="F702" s="86"/>
      <c r="G702" s="86"/>
      <c r="H702" s="86"/>
      <c r="I702" s="209"/>
      <c r="L702" s="209"/>
      <c r="M702" s="209"/>
      <c r="N702" s="209"/>
      <c r="O702" s="121"/>
      <c r="P702" s="121"/>
      <c r="Q702" s="121"/>
      <c r="R702" s="121"/>
      <c r="S702" s="121"/>
      <c r="T702" s="121"/>
      <c r="U702" s="121"/>
      <c r="V702" s="121"/>
      <c r="W702" s="104"/>
      <c r="X702" s="104"/>
      <c r="Y702" s="104"/>
      <c r="Z702" s="104"/>
      <c r="AA702" s="104"/>
      <c r="AB702" s="104"/>
      <c r="AC702" s="104"/>
      <c r="AD702" s="104"/>
      <c r="AE702" s="104"/>
    </row>
    <row r="703" spans="1:31">
      <c r="A703" s="86"/>
      <c r="B703" s="87"/>
      <c r="C703" s="87">
        <v>2018</v>
      </c>
      <c r="D703" s="87">
        <v>2017</v>
      </c>
      <c r="E703" s="87">
        <v>2016</v>
      </c>
      <c r="F703" s="87" t="s">
        <v>26</v>
      </c>
      <c r="G703" s="87" t="s">
        <v>21</v>
      </c>
      <c r="H703" s="87"/>
      <c r="I703" s="209"/>
      <c r="L703" s="209"/>
      <c r="M703" s="209"/>
      <c r="N703" s="209"/>
      <c r="O703" s="121"/>
      <c r="P703" s="121"/>
      <c r="Q703" s="121"/>
      <c r="R703" s="121"/>
      <c r="S703" s="121"/>
      <c r="T703" s="121"/>
      <c r="U703" s="121"/>
      <c r="V703" s="121"/>
      <c r="W703" s="104"/>
      <c r="X703" s="104"/>
      <c r="Y703" s="104"/>
      <c r="Z703" s="104"/>
      <c r="AA703" s="104"/>
      <c r="AB703" s="104"/>
      <c r="AC703" s="104"/>
      <c r="AD703" s="104"/>
      <c r="AE703" s="104"/>
    </row>
    <row r="704" spans="1:31">
      <c r="A704" s="86"/>
      <c r="B704" s="88" t="s">
        <v>1</v>
      </c>
      <c r="C704" s="89">
        <v>62743382.427737102</v>
      </c>
      <c r="D704" s="89">
        <v>76673776.3366476</v>
      </c>
      <c r="E704" s="89">
        <v>85427921.909168407</v>
      </c>
      <c r="F704" s="89">
        <v>76173024.334907502</v>
      </c>
      <c r="G704" s="89">
        <v>75076808.494538099</v>
      </c>
      <c r="H704" s="311"/>
      <c r="I704" s="209"/>
      <c r="L704" s="209"/>
      <c r="M704" s="209"/>
      <c r="N704" s="209"/>
      <c r="O704" s="124"/>
      <c r="P704" s="124"/>
      <c r="Q704" s="124"/>
      <c r="R704" s="124"/>
      <c r="S704" s="124"/>
      <c r="T704" s="124"/>
      <c r="U704" s="124"/>
      <c r="V704" s="124"/>
      <c r="W704" s="104"/>
      <c r="X704" s="104"/>
      <c r="Y704" s="104"/>
      <c r="Z704" s="104"/>
      <c r="AA704" s="104"/>
      <c r="AB704" s="104"/>
      <c r="AC704" s="104"/>
      <c r="AD704" s="104"/>
      <c r="AE704" s="104"/>
    </row>
    <row r="705" spans="1:31">
      <c r="A705" s="86"/>
      <c r="B705" s="87"/>
      <c r="C705" s="87"/>
      <c r="D705" s="87"/>
      <c r="E705" s="87"/>
      <c r="F705" s="87"/>
      <c r="G705" s="87"/>
      <c r="H705" s="87"/>
      <c r="I705" s="209"/>
      <c r="L705" s="209"/>
      <c r="M705" s="209"/>
      <c r="N705" s="209"/>
      <c r="O705" s="124"/>
      <c r="P705" s="12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</row>
    <row r="706" spans="1:31" ht="28">
      <c r="A706" s="86"/>
      <c r="B706" s="90" t="s">
        <v>11</v>
      </c>
      <c r="C706" s="91">
        <v>9261642.1679034792</v>
      </c>
      <c r="D706" s="91">
        <v>8622169.0274774991</v>
      </c>
      <c r="E706" s="91">
        <v>7288186.0109046102</v>
      </c>
      <c r="F706" s="91">
        <v>9114248.9265501499</v>
      </c>
      <c r="G706" s="91">
        <v>6276480.2033007098</v>
      </c>
      <c r="H706" s="312"/>
      <c r="I706" s="209"/>
      <c r="L706" s="209"/>
      <c r="M706" s="209"/>
      <c r="N706" s="209"/>
    </row>
    <row r="707" spans="1:31">
      <c r="A707" s="86"/>
      <c r="B707" s="92" t="s">
        <v>2</v>
      </c>
      <c r="C707" s="91">
        <v>0</v>
      </c>
      <c r="D707" s="91">
        <v>0</v>
      </c>
      <c r="E707" s="91">
        <v>0</v>
      </c>
      <c r="F707" s="91">
        <v>0</v>
      </c>
      <c r="G707" s="91">
        <v>27474835.264295299</v>
      </c>
      <c r="H707" s="312"/>
      <c r="I707" s="209"/>
      <c r="L707" s="209"/>
      <c r="M707" s="209"/>
      <c r="N707" s="209"/>
    </row>
    <row r="708" spans="1:31">
      <c r="A708" s="86"/>
      <c r="B708" s="92" t="s">
        <v>3</v>
      </c>
      <c r="C708" s="91">
        <v>5530637.2614949904</v>
      </c>
      <c r="D708" s="91">
        <v>21321811.132505499</v>
      </c>
      <c r="E708" s="91">
        <v>29703579.354733199</v>
      </c>
      <c r="F708" s="91">
        <v>20699744.553863999</v>
      </c>
      <c r="G708" s="91">
        <v>28536841.833114602</v>
      </c>
      <c r="H708" s="312"/>
      <c r="I708" s="209"/>
      <c r="L708" s="209"/>
      <c r="M708" s="209"/>
      <c r="N708" s="209"/>
    </row>
    <row r="709" spans="1:31">
      <c r="A709" s="86"/>
      <c r="B709" s="93" t="s">
        <v>8</v>
      </c>
      <c r="C709" s="94">
        <f t="shared" ref="C709:G709" si="313">SUM(C707:C708)</f>
        <v>5530637.2614949904</v>
      </c>
      <c r="D709" s="94">
        <f t="shared" si="313"/>
        <v>21321811.132505499</v>
      </c>
      <c r="E709" s="94">
        <f t="shared" si="313"/>
        <v>29703579.354733199</v>
      </c>
      <c r="F709" s="94">
        <f t="shared" si="313"/>
        <v>20699744.553863999</v>
      </c>
      <c r="G709" s="94">
        <f t="shared" si="313"/>
        <v>56011677.097409904</v>
      </c>
      <c r="H709" s="94"/>
      <c r="I709" s="209"/>
      <c r="L709" s="209"/>
      <c r="M709" s="209"/>
      <c r="N709" s="209"/>
    </row>
    <row r="710" spans="1:31">
      <c r="A710" s="86"/>
      <c r="B710" s="95" t="s">
        <v>12</v>
      </c>
      <c r="C710" s="91">
        <v>996813.72667849099</v>
      </c>
      <c r="D710" s="91">
        <v>864719.88242119597</v>
      </c>
      <c r="E710" s="91">
        <v>3693198.0163976601</v>
      </c>
      <c r="F710" s="91">
        <v>6292875.0161230601</v>
      </c>
      <c r="G710" s="91">
        <v>161677.630037069</v>
      </c>
      <c r="H710" s="312"/>
      <c r="I710" s="209"/>
      <c r="L710" s="209"/>
      <c r="M710" s="209"/>
      <c r="N710" s="209"/>
    </row>
    <row r="711" spans="1:31" ht="28">
      <c r="A711" s="86"/>
      <c r="B711" s="92" t="s">
        <v>13</v>
      </c>
      <c r="C711" s="96">
        <v>1.742</v>
      </c>
      <c r="D711" s="96">
        <v>1.5620000000000001</v>
      </c>
      <c r="E711" s="96">
        <v>6.6280000000000001</v>
      </c>
      <c r="F711" s="96">
        <v>11.343999999999999</v>
      </c>
      <c r="G711" s="96">
        <v>0.84799999999999998</v>
      </c>
      <c r="H711" s="313"/>
      <c r="I711" s="209"/>
      <c r="L711" s="209"/>
      <c r="M711" s="209"/>
      <c r="N711" s="209"/>
    </row>
    <row r="712" spans="1:31" ht="28">
      <c r="A712" s="86"/>
      <c r="B712" s="92" t="s">
        <v>14</v>
      </c>
      <c r="C712" s="96">
        <v>1.589</v>
      </c>
      <c r="D712" s="96">
        <v>1.1279999999999999</v>
      </c>
      <c r="E712" s="96">
        <v>4.3230000000000004</v>
      </c>
      <c r="F712" s="96">
        <v>8.2609999999999992</v>
      </c>
      <c r="G712" s="96">
        <v>0.215</v>
      </c>
      <c r="H712" s="313"/>
      <c r="I712" s="209"/>
      <c r="L712" s="209"/>
      <c r="M712" s="209"/>
      <c r="N712" s="209"/>
    </row>
    <row r="713" spans="1:31" ht="28">
      <c r="A713" s="86"/>
      <c r="B713" s="92" t="s">
        <v>15</v>
      </c>
      <c r="C713" s="97">
        <v>120.281067055151</v>
      </c>
      <c r="D713" s="97">
        <v>191.60375621914</v>
      </c>
      <c r="E713" s="97">
        <v>173.52823839464901</v>
      </c>
      <c r="F713" s="97">
        <v>246.33105204829201</v>
      </c>
      <c r="G713" s="98" t="s">
        <v>22</v>
      </c>
      <c r="H713" s="314"/>
      <c r="I713" s="209"/>
      <c r="L713" s="209"/>
      <c r="M713" s="209"/>
      <c r="N713" s="209"/>
    </row>
    <row r="714" spans="1:31">
      <c r="A714" s="86"/>
      <c r="B714" s="99" t="s">
        <v>23</v>
      </c>
      <c r="C714" s="91">
        <v>57212745.1662421</v>
      </c>
      <c r="D714" s="91">
        <v>55351965.204141997</v>
      </c>
      <c r="E714" s="91">
        <v>55724223.222695298</v>
      </c>
      <c r="F714" s="91">
        <v>55473279.7810435</v>
      </c>
      <c r="G714" s="91">
        <v>19065131.397128101</v>
      </c>
      <c r="H714" s="312"/>
      <c r="I714" s="209"/>
      <c r="L714" s="209"/>
      <c r="M714" s="209"/>
      <c r="N714" s="209"/>
    </row>
    <row r="715" spans="1:31">
      <c r="I715" s="209"/>
      <c r="L715" s="209"/>
      <c r="M715" s="209"/>
      <c r="N715" s="209"/>
    </row>
    <row r="716" spans="1:31">
      <c r="A716" s="217" t="s">
        <v>40</v>
      </c>
      <c r="I716" s="209"/>
      <c r="L716" s="209"/>
      <c r="M716" s="209"/>
      <c r="N716" s="209"/>
    </row>
    <row r="717" spans="1:31">
      <c r="B717" s="158"/>
      <c r="C717" s="158">
        <v>2016</v>
      </c>
      <c r="D717" s="158">
        <v>2015</v>
      </c>
      <c r="E717" s="158" t="s">
        <v>43</v>
      </c>
      <c r="F717" s="349" t="s">
        <v>41</v>
      </c>
      <c r="G717" s="158" t="s">
        <v>42</v>
      </c>
      <c r="H717" s="195"/>
      <c r="I717" s="209"/>
      <c r="L717" s="209"/>
      <c r="M717" s="209"/>
      <c r="N717" s="209"/>
    </row>
    <row r="718" spans="1:31">
      <c r="B718" s="202" t="s">
        <v>1</v>
      </c>
      <c r="C718" s="35">
        <f>123602899.532124/1000</f>
        <v>123602.89953212399</v>
      </c>
      <c r="D718" s="35">
        <f>163935410.17355/1000</f>
        <v>163935.41017355002</v>
      </c>
      <c r="E718" s="35">
        <f>135881029.096305/1000</f>
        <v>135881.02909630502</v>
      </c>
      <c r="F718" s="359">
        <f>164640787.903547/1000</f>
        <v>164640.787903547</v>
      </c>
      <c r="G718" s="35">
        <f>228186714.202166/1000</f>
        <v>228186.71420216598</v>
      </c>
      <c r="H718" s="309"/>
      <c r="I718" s="209"/>
      <c r="L718" s="209"/>
      <c r="M718" s="209"/>
      <c r="N718" s="209"/>
    </row>
    <row r="719" spans="1:31">
      <c r="B719" s="158"/>
      <c r="C719" s="158"/>
      <c r="D719" s="158"/>
      <c r="E719" s="158"/>
      <c r="F719" s="349"/>
      <c r="G719" s="158"/>
      <c r="H719" s="195"/>
      <c r="I719" s="209"/>
      <c r="L719" s="209"/>
      <c r="M719" s="209"/>
      <c r="N719" s="209"/>
    </row>
    <row r="720" spans="1:31" ht="28">
      <c r="B720" s="211" t="s">
        <v>11</v>
      </c>
      <c r="C720" s="30">
        <f>6616589.28968012/1000</f>
        <v>6616.5892896801197</v>
      </c>
      <c r="D720" s="30">
        <f>4491600.34091771/1000</f>
        <v>4491.6003409177101</v>
      </c>
      <c r="E720" s="30">
        <f>4346568.16653907/1000</f>
        <v>4346.5681665390703</v>
      </c>
      <c r="F720" s="355">
        <f>2192927.61066556/1000</f>
        <v>2192.9276106655598</v>
      </c>
      <c r="G720" s="30">
        <f>2396409.33215618/1000</f>
        <v>2396.40933215618</v>
      </c>
      <c r="H720" s="72"/>
      <c r="I720" s="209"/>
      <c r="L720" s="209"/>
      <c r="M720" s="209"/>
      <c r="N720" s="209"/>
    </row>
    <row r="721" spans="1:14">
      <c r="B721" s="208" t="s">
        <v>2</v>
      </c>
      <c r="C721" s="30">
        <f>538283.059597015/1000</f>
        <v>538.28305959701504</v>
      </c>
      <c r="D721" s="30">
        <f>1053234.93374884/1000</f>
        <v>1053.2349337488399</v>
      </c>
      <c r="E721" s="30">
        <f>3230013.60671222/1000</f>
        <v>3230.0136067122198</v>
      </c>
      <c r="F721" s="355">
        <f>3207236.81151867/1000</f>
        <v>3207.23681151867</v>
      </c>
      <c r="G721" s="30">
        <f>131238.778978586/1000</f>
        <v>131.238778978586</v>
      </c>
      <c r="H721" s="72"/>
      <c r="I721" s="209"/>
      <c r="L721" s="209"/>
      <c r="M721" s="209"/>
      <c r="N721" s="209"/>
    </row>
    <row r="722" spans="1:14">
      <c r="B722" s="208" t="s">
        <v>3</v>
      </c>
      <c r="C722" s="30">
        <f>65369025.1518935/1000</f>
        <v>65369.025151893497</v>
      </c>
      <c r="D722" s="30">
        <f>110579792.901993/1000</f>
        <v>110579.792901993</v>
      </c>
      <c r="E722" s="30">
        <f>80512924.2753834/1000</f>
        <v>80512.924275383397</v>
      </c>
      <c r="F722" s="355">
        <f>78074670.3080535/1000</f>
        <v>78074.670308053493</v>
      </c>
      <c r="G722" s="30">
        <f>132125134.453028/1000</f>
        <v>132125.134453028</v>
      </c>
      <c r="H722" s="72"/>
      <c r="I722" s="209"/>
      <c r="L722" s="209"/>
      <c r="M722" s="209"/>
      <c r="N722" s="209"/>
    </row>
    <row r="723" spans="1:14">
      <c r="B723" s="206" t="s">
        <v>8</v>
      </c>
      <c r="C723" s="207">
        <f t="shared" ref="C723:G723" si="314">SUM(C721:C722)</f>
        <v>65907.308211490512</v>
      </c>
      <c r="D723" s="207">
        <f t="shared" si="314"/>
        <v>111633.02783574184</v>
      </c>
      <c r="E723" s="207">
        <f t="shared" si="314"/>
        <v>83742.937882095619</v>
      </c>
      <c r="F723" s="344">
        <f t="shared" si="314"/>
        <v>81281.907119572163</v>
      </c>
      <c r="G723" s="207">
        <f t="shared" si="314"/>
        <v>132256.37323200659</v>
      </c>
      <c r="H723" s="207"/>
      <c r="I723" s="209"/>
      <c r="L723" s="209"/>
      <c r="M723" s="209"/>
      <c r="N723" s="209"/>
    </row>
    <row r="724" spans="1:14">
      <c r="B724" s="210" t="s">
        <v>12</v>
      </c>
      <c r="C724" s="30">
        <f>30736194.7215497/1000</f>
        <v>30736.194721549702</v>
      </c>
      <c r="D724" s="30">
        <f>36037683.5419536/1000</f>
        <v>36037.6835419536</v>
      </c>
      <c r="E724" s="30">
        <f>886406.500846148/1000</f>
        <v>886.40650084614799</v>
      </c>
      <c r="F724" s="355">
        <f>-4540624.95669723/1000</f>
        <v>-4540.6249566972301</v>
      </c>
      <c r="G724" s="30">
        <f>5773967.67541766/1000</f>
        <v>5773.9676754176598</v>
      </c>
      <c r="H724" s="72"/>
      <c r="I724" s="209"/>
      <c r="L724" s="209"/>
      <c r="M724" s="209"/>
      <c r="N724" s="209"/>
    </row>
    <row r="725" spans="1:14" ht="28">
      <c r="B725" s="208" t="s">
        <v>13</v>
      </c>
      <c r="C725" s="32">
        <v>53.273000000000003</v>
      </c>
      <c r="D725" s="32">
        <v>68.903000000000006</v>
      </c>
      <c r="E725" s="32">
        <v>1.7</v>
      </c>
      <c r="F725" s="357">
        <v>-5.4470000000000001</v>
      </c>
      <c r="G725" s="32">
        <v>6.0190000000000001</v>
      </c>
      <c r="H725" s="307"/>
      <c r="I725" s="209"/>
      <c r="L725" s="209"/>
      <c r="M725" s="209"/>
      <c r="N725" s="209"/>
    </row>
    <row r="726" spans="1:14" ht="28">
      <c r="B726" s="208" t="s">
        <v>14</v>
      </c>
      <c r="C726" s="32">
        <v>24.867000000000001</v>
      </c>
      <c r="D726" s="32">
        <v>21.983000000000001</v>
      </c>
      <c r="E726" s="32">
        <v>0.65200000000000002</v>
      </c>
      <c r="F726" s="357">
        <v>-2.758</v>
      </c>
      <c r="G726" s="32">
        <v>2.5299999999999998</v>
      </c>
      <c r="H726" s="307"/>
      <c r="I726" s="209"/>
      <c r="L726" s="209"/>
      <c r="M726" s="209"/>
      <c r="N726" s="209"/>
    </row>
    <row r="727" spans="1:14" ht="28">
      <c r="B727" s="208" t="s">
        <v>15</v>
      </c>
      <c r="C727" s="33">
        <v>264.66357158720501</v>
      </c>
      <c r="D727" s="33">
        <v>160.414297889918</v>
      </c>
      <c r="E727" s="34" t="s">
        <v>22</v>
      </c>
      <c r="F727" s="358" t="s">
        <v>22</v>
      </c>
      <c r="G727" s="34" t="s">
        <v>22</v>
      </c>
      <c r="H727" s="308"/>
      <c r="I727" s="209"/>
      <c r="L727" s="209"/>
      <c r="M727" s="209"/>
      <c r="N727" s="209"/>
    </row>
    <row r="728" spans="1:14">
      <c r="B728" s="203" t="s">
        <v>23</v>
      </c>
      <c r="C728" s="30">
        <f>57695591.3206339/1000</f>
        <v>57695.591320633903</v>
      </c>
      <c r="D728" s="30">
        <f>52302268.8304335/1000</f>
        <v>52302.268830433502</v>
      </c>
      <c r="E728" s="30">
        <f>52138225.803718/1000</f>
        <v>52138.225803718</v>
      </c>
      <c r="F728" s="355">
        <f>83358880.7839751/1000</f>
        <v>83358.880783975095</v>
      </c>
      <c r="G728" s="30">
        <f>95930340.9701586/1000</f>
        <v>95930.340970158606</v>
      </c>
      <c r="H728" s="72"/>
      <c r="I728" s="209"/>
      <c r="L728" s="209"/>
      <c r="M728" s="209"/>
      <c r="N728" s="209"/>
    </row>
    <row r="729" spans="1:14">
      <c r="I729" s="209"/>
      <c r="L729" s="209"/>
      <c r="M729" s="209"/>
      <c r="N729" s="209"/>
    </row>
    <row r="730" spans="1:14">
      <c r="I730" s="209"/>
      <c r="L730" s="209"/>
      <c r="M730" s="209"/>
      <c r="N730" s="209"/>
    </row>
    <row r="731" spans="1:14">
      <c r="A731" s="217" t="s">
        <v>44</v>
      </c>
      <c r="I731" s="209"/>
      <c r="L731" s="209"/>
      <c r="M731" s="209"/>
      <c r="N731" s="209"/>
    </row>
    <row r="732" spans="1:14" ht="20">
      <c r="A732" s="218"/>
      <c r="I732" s="209"/>
      <c r="L732" s="209"/>
      <c r="M732" s="209"/>
      <c r="N732" s="209"/>
    </row>
    <row r="733" spans="1:14">
      <c r="A733" s="221"/>
      <c r="I733" s="209"/>
      <c r="L733" s="209"/>
      <c r="M733" s="209"/>
      <c r="N733" s="209"/>
    </row>
    <row r="734" spans="1:14">
      <c r="B734" s="158"/>
      <c r="C734" s="158">
        <v>2015</v>
      </c>
      <c r="D734" s="158">
        <v>2014</v>
      </c>
      <c r="E734" s="38" t="s">
        <v>45</v>
      </c>
      <c r="F734" s="362" t="s">
        <v>46</v>
      </c>
      <c r="G734" s="38" t="s">
        <v>47</v>
      </c>
      <c r="H734" s="38"/>
      <c r="I734" s="209"/>
      <c r="L734" s="209"/>
      <c r="M734" s="209"/>
      <c r="N734" s="209"/>
    </row>
    <row r="735" spans="1:14">
      <c r="B735" s="202" t="s">
        <v>1</v>
      </c>
      <c r="C735" s="216">
        <f>81697999.9857351/1000</f>
        <v>81697.999985735107</v>
      </c>
      <c r="D735" s="216">
        <f>191983000.034245/1000</f>
        <v>191983.00003424502</v>
      </c>
      <c r="E735" s="216">
        <f>195189999.947734/1000</f>
        <v>195189.999947734</v>
      </c>
      <c r="F735" s="363">
        <f>60915000.0887628/1000</f>
        <v>60915.000088762798</v>
      </c>
      <c r="G735" s="216">
        <f>59996999.9257389/1000</f>
        <v>59996.999925738899</v>
      </c>
      <c r="H735" s="207"/>
      <c r="I735" s="209"/>
      <c r="L735" s="209"/>
      <c r="M735" s="209"/>
      <c r="N735" s="209"/>
    </row>
    <row r="736" spans="1:14">
      <c r="B736" s="158"/>
      <c r="C736" s="158"/>
      <c r="D736" s="158"/>
      <c r="E736" s="158"/>
      <c r="F736" s="349"/>
      <c r="G736" s="158"/>
      <c r="H736" s="195"/>
      <c r="I736" s="209"/>
      <c r="L736" s="209"/>
      <c r="M736" s="209"/>
      <c r="N736" s="209"/>
    </row>
    <row r="737" spans="1:14" ht="28">
      <c r="B737" s="211" t="s">
        <v>11</v>
      </c>
      <c r="C737" s="212">
        <f>4229000.00700863/1000</f>
        <v>4229.0000070086298</v>
      </c>
      <c r="D737" s="212">
        <f>1973999.95571421/1000</f>
        <v>1973.99995571421</v>
      </c>
      <c r="E737" s="212">
        <f>1651999.9842453/1000</f>
        <v>1651.9999842453001</v>
      </c>
      <c r="F737" s="364">
        <f>848999.998734891/1000</f>
        <v>848.99999873489094</v>
      </c>
      <c r="G737" s="212">
        <f>116999.998552948/1000</f>
        <v>116.999998552948</v>
      </c>
      <c r="H737" s="203"/>
      <c r="I737" s="209"/>
      <c r="L737" s="209"/>
      <c r="M737" s="209"/>
      <c r="N737" s="209"/>
    </row>
    <row r="738" spans="1:14">
      <c r="B738" s="208" t="s">
        <v>2</v>
      </c>
      <c r="C738" s="212">
        <f>19666999.9587562/1000</f>
        <v>19666.999958756202</v>
      </c>
      <c r="D738" s="212">
        <f>21633000.0475089/1000</f>
        <v>21633.0000475089</v>
      </c>
      <c r="E738" s="212">
        <f>23599999.9394065/1000</f>
        <v>23599.999939406498</v>
      </c>
      <c r="F738" s="364">
        <f>25566999.9619022/1000</f>
        <v>25566.999961902202</v>
      </c>
      <c r="G738" s="212">
        <f>27532999.9933627/1000</f>
        <v>27532.9999933627</v>
      </c>
      <c r="H738" s="203"/>
      <c r="I738" s="209"/>
      <c r="L738" s="209"/>
      <c r="M738" s="209"/>
      <c r="N738" s="209"/>
    </row>
    <row r="739" spans="1:14">
      <c r="B739" s="208" t="s">
        <v>3</v>
      </c>
      <c r="C739" s="212">
        <f>4511999.99988185/1000</f>
        <v>4511.9999998818494</v>
      </c>
      <c r="D739" s="212">
        <f>3414000.02158926/1000</f>
        <v>3414.0000215892601</v>
      </c>
      <c r="E739" s="212">
        <f>3746999.96426582/1000</f>
        <v>3746.9999642658199</v>
      </c>
      <c r="F739" s="364">
        <f>3142999.99531657/1000</f>
        <v>3142.9999953165702</v>
      </c>
      <c r="G739" s="212">
        <f>3190999.96053383/1000</f>
        <v>3190.9999605338298</v>
      </c>
      <c r="H739" s="203"/>
      <c r="I739" s="209"/>
      <c r="L739" s="209"/>
      <c r="M739" s="209"/>
      <c r="N739" s="209"/>
    </row>
    <row r="740" spans="1:14">
      <c r="B740" s="206" t="s">
        <v>8</v>
      </c>
      <c r="C740" s="207">
        <f t="shared" ref="C740:G740" si="315">SUM(C738:C739)</f>
        <v>24178.999958638051</v>
      </c>
      <c r="D740" s="207">
        <f t="shared" si="315"/>
        <v>25047.000069098161</v>
      </c>
      <c r="E740" s="207">
        <f t="shared" si="315"/>
        <v>27346.999903672317</v>
      </c>
      <c r="F740" s="344">
        <f t="shared" si="315"/>
        <v>28709.999957218773</v>
      </c>
      <c r="G740" s="207">
        <f t="shared" si="315"/>
        <v>30723.999953896531</v>
      </c>
      <c r="H740" s="207"/>
      <c r="I740" s="209"/>
      <c r="L740" s="209"/>
      <c r="M740" s="209"/>
      <c r="N740" s="209"/>
    </row>
    <row r="741" spans="1:14">
      <c r="B741" s="210" t="s">
        <v>12</v>
      </c>
      <c r="C741" s="212">
        <f>5585999.97283535/1000</f>
        <v>5585.9999728353496</v>
      </c>
      <c r="D741" s="212">
        <f>-893000.040851682/1000</f>
        <v>-893.000040851682</v>
      </c>
      <c r="E741" s="212">
        <f>-1516999.98553276/1000</f>
        <v>-1516.9999855327599</v>
      </c>
      <c r="F741" s="364">
        <f>2904999.99567121/1000</f>
        <v>2904.9999956712099</v>
      </c>
      <c r="G741" s="212">
        <f>-2674999.9669157/1000</f>
        <v>-2674.9999669157</v>
      </c>
      <c r="H741" s="203"/>
      <c r="I741" s="209"/>
      <c r="L741" s="209"/>
      <c r="M741" s="209"/>
      <c r="N741" s="209"/>
    </row>
    <row r="742" spans="1:14" ht="28">
      <c r="B742" s="208" t="s">
        <v>13</v>
      </c>
      <c r="C742" s="213">
        <v>9.7110000000000003</v>
      </c>
      <c r="D742" s="213">
        <v>-0.53500000000000003</v>
      </c>
      <c r="E742" s="213">
        <v>-0.90400000000000003</v>
      </c>
      <c r="F742" s="365">
        <v>9.02</v>
      </c>
      <c r="G742" s="213">
        <v>-9.1379999999999999</v>
      </c>
      <c r="H742" s="22"/>
      <c r="I742" s="209"/>
      <c r="L742" s="209"/>
      <c r="M742" s="209"/>
      <c r="N742" s="209"/>
    </row>
    <row r="743" spans="1:14" ht="28">
      <c r="B743" s="208" t="s">
        <v>14</v>
      </c>
      <c r="C743" s="213">
        <v>6.8369999999999997</v>
      </c>
      <c r="D743" s="213">
        <v>-0.46500000000000002</v>
      </c>
      <c r="E743" s="213">
        <v>-0.77700000000000002</v>
      </c>
      <c r="F743" s="365">
        <v>4.7690000000000001</v>
      </c>
      <c r="G743" s="213">
        <v>-4.4589999999999996</v>
      </c>
      <c r="H743" s="22"/>
      <c r="I743" s="209"/>
      <c r="L743" s="209"/>
      <c r="M743" s="209"/>
      <c r="N743" s="209"/>
    </row>
    <row r="744" spans="1:14" ht="28">
      <c r="B744" s="208" t="s">
        <v>15</v>
      </c>
      <c r="C744" s="214">
        <v>528.62500087607805</v>
      </c>
      <c r="D744" s="215" t="s">
        <v>22</v>
      </c>
      <c r="E744" s="215" t="s">
        <v>22</v>
      </c>
      <c r="F744" s="366" t="s">
        <v>22</v>
      </c>
      <c r="G744" s="215" t="s">
        <v>22</v>
      </c>
      <c r="H744" s="8"/>
      <c r="I744" s="209"/>
      <c r="L744" s="104"/>
      <c r="M744" s="104"/>
      <c r="N744" s="104"/>
    </row>
    <row r="745" spans="1:14">
      <c r="B745" s="203" t="s">
        <v>23</v>
      </c>
      <c r="C745" s="212">
        <f>57520000.0270719/1000</f>
        <v>57520.000027071903</v>
      </c>
      <c r="D745" s="212">
        <f>166935999.965147/1000</f>
        <v>166935.999965147</v>
      </c>
      <c r="E745" s="212">
        <f>167841000.04408/1000</f>
        <v>167841.00004407999</v>
      </c>
      <c r="F745" s="364">
        <f>32204999.9520108/1000</f>
        <v>32204.999952010799</v>
      </c>
      <c r="G745" s="212">
        <f>29272999.9718424/1000</f>
        <v>29272.999971842401</v>
      </c>
      <c r="H745" s="203"/>
      <c r="I745" s="209"/>
      <c r="L745" s="104"/>
      <c r="M745" s="104"/>
      <c r="N745" s="104"/>
    </row>
    <row r="746" spans="1:14">
      <c r="I746" s="209"/>
      <c r="L746" s="105"/>
      <c r="M746" s="104"/>
      <c r="N746" s="104"/>
    </row>
    <row r="747" spans="1:14">
      <c r="I747" s="209"/>
      <c r="L747" s="269"/>
      <c r="M747" s="104"/>
      <c r="N747" s="104"/>
    </row>
    <row r="748" spans="1:14">
      <c r="A748" s="217" t="s">
        <v>48</v>
      </c>
      <c r="I748" s="209"/>
      <c r="L748" s="106"/>
      <c r="M748" s="104"/>
      <c r="N748" s="104"/>
    </row>
    <row r="749" spans="1:14">
      <c r="A749" s="26" t="s">
        <v>49</v>
      </c>
      <c r="I749" s="209"/>
      <c r="L749" s="106"/>
      <c r="M749" s="104"/>
      <c r="N749" s="104"/>
    </row>
    <row r="750" spans="1:14">
      <c r="A750" s="220" t="s">
        <v>50</v>
      </c>
      <c r="I750" s="209"/>
      <c r="L750" s="106"/>
      <c r="M750" s="104"/>
      <c r="N750" s="104"/>
    </row>
    <row r="751" spans="1:14">
      <c r="B751" s="158"/>
      <c r="C751" s="158">
        <v>2015</v>
      </c>
      <c r="D751" s="158">
        <v>2014</v>
      </c>
      <c r="E751" s="38" t="s">
        <v>45</v>
      </c>
      <c r="F751" s="362" t="s">
        <v>46</v>
      </c>
      <c r="G751" s="38" t="s">
        <v>47</v>
      </c>
      <c r="H751" s="38"/>
      <c r="I751" s="209"/>
      <c r="L751" s="106"/>
      <c r="M751" s="104"/>
      <c r="N751" s="104"/>
    </row>
    <row r="752" spans="1:14">
      <c r="B752" s="202" t="s">
        <v>1</v>
      </c>
      <c r="C752" s="216">
        <v>81697999.985735103</v>
      </c>
      <c r="D752" s="216">
        <v>191983000.03424501</v>
      </c>
      <c r="E752" s="216">
        <v>195189999.947734</v>
      </c>
      <c r="F752" s="363">
        <v>60915000.088762797</v>
      </c>
      <c r="G752" s="216">
        <v>59996999.925738901</v>
      </c>
      <c r="H752" s="207"/>
      <c r="I752" s="209"/>
      <c r="L752" s="106"/>
      <c r="M752" s="104"/>
      <c r="N752" s="104"/>
    </row>
    <row r="753" spans="1:14">
      <c r="B753" s="158"/>
      <c r="C753" s="158"/>
      <c r="D753" s="158"/>
      <c r="E753" s="158"/>
      <c r="F753" s="349"/>
      <c r="G753" s="158"/>
      <c r="H753" s="195"/>
      <c r="I753" s="209"/>
      <c r="L753" s="159"/>
      <c r="M753" s="161"/>
      <c r="N753" s="161"/>
    </row>
    <row r="754" spans="1:14" ht="28">
      <c r="B754" s="211" t="s">
        <v>11</v>
      </c>
      <c r="C754" s="212">
        <v>4229000.0070086299</v>
      </c>
      <c r="D754" s="212">
        <v>1973999.9557142099</v>
      </c>
      <c r="E754" s="212">
        <v>1651999.9842453001</v>
      </c>
      <c r="F754" s="364">
        <v>848999.99873489095</v>
      </c>
      <c r="G754" s="212">
        <v>116999.998552948</v>
      </c>
      <c r="H754" s="203"/>
      <c r="I754" s="209"/>
      <c r="L754" s="159"/>
      <c r="M754" s="161"/>
      <c r="N754" s="161"/>
    </row>
    <row r="755" spans="1:14" ht="16">
      <c r="B755" s="208" t="s">
        <v>2</v>
      </c>
      <c r="C755" s="212">
        <v>19666999.958756201</v>
      </c>
      <c r="D755" s="212">
        <v>21633000.047508899</v>
      </c>
      <c r="E755" s="212">
        <v>23599999.939406499</v>
      </c>
      <c r="F755" s="364">
        <v>25566999.961902201</v>
      </c>
      <c r="G755" s="212">
        <v>27532999.993362699</v>
      </c>
      <c r="H755" s="203"/>
      <c r="I755" s="209"/>
      <c r="L755" s="159"/>
      <c r="M755" s="162"/>
      <c r="N755" s="162"/>
    </row>
    <row r="756" spans="1:14">
      <c r="B756" s="208" t="s">
        <v>3</v>
      </c>
      <c r="C756" s="212">
        <v>4511999.9998818496</v>
      </c>
      <c r="D756" s="212">
        <v>3414000.0215892601</v>
      </c>
      <c r="E756" s="212">
        <v>3746999.9642658201</v>
      </c>
      <c r="F756" s="364">
        <v>3142999.9953165702</v>
      </c>
      <c r="G756" s="212">
        <v>3190999.9605338299</v>
      </c>
      <c r="H756" s="203"/>
      <c r="I756" s="209"/>
      <c r="L756" s="159"/>
      <c r="M756" s="159"/>
      <c r="N756" s="159"/>
    </row>
    <row r="757" spans="1:14">
      <c r="B757" s="206" t="s">
        <v>8</v>
      </c>
      <c r="C757" s="207">
        <f t="shared" ref="C757:G757" si="316">SUM(C755:C756)</f>
        <v>24178999.95863805</v>
      </c>
      <c r="D757" s="207">
        <f t="shared" si="316"/>
        <v>25047000.06909816</v>
      </c>
      <c r="E757" s="207">
        <f t="shared" si="316"/>
        <v>27346999.903672319</v>
      </c>
      <c r="F757" s="344">
        <f t="shared" si="316"/>
        <v>28709999.95721877</v>
      </c>
      <c r="G757" s="207">
        <f t="shared" si="316"/>
        <v>30723999.95389653</v>
      </c>
      <c r="H757" s="207"/>
      <c r="I757" s="209"/>
      <c r="L757" s="159"/>
      <c r="M757" s="159"/>
      <c r="N757" s="107"/>
    </row>
    <row r="758" spans="1:14">
      <c r="B758" s="210" t="s">
        <v>12</v>
      </c>
      <c r="C758" s="212">
        <v>5585999.9728353499</v>
      </c>
      <c r="D758" s="212">
        <v>-893000.04085168196</v>
      </c>
      <c r="E758" s="212">
        <v>-1516999.9855327599</v>
      </c>
      <c r="F758" s="364">
        <v>2904999.9956712099</v>
      </c>
      <c r="G758" s="212">
        <v>-2674999.9669157001</v>
      </c>
      <c r="H758" s="203"/>
      <c r="I758" s="209"/>
      <c r="L758" s="159"/>
      <c r="M758" s="159"/>
      <c r="N758" s="107"/>
    </row>
    <row r="759" spans="1:14" ht="28">
      <c r="B759" s="208" t="s">
        <v>13</v>
      </c>
      <c r="C759" s="213">
        <v>9.7110000000000003</v>
      </c>
      <c r="D759" s="213">
        <v>-0.53500000000000003</v>
      </c>
      <c r="E759" s="213">
        <v>-0.90400000000000003</v>
      </c>
      <c r="F759" s="365">
        <v>9.02</v>
      </c>
      <c r="G759" s="213">
        <v>-9.1379999999999999</v>
      </c>
      <c r="H759" s="22"/>
      <c r="I759" s="209"/>
      <c r="L759" s="108"/>
      <c r="M759" s="104"/>
      <c r="N759" s="104"/>
    </row>
    <row r="760" spans="1:14" ht="28">
      <c r="B760" s="208" t="s">
        <v>14</v>
      </c>
      <c r="C760" s="213">
        <v>6.8369999999999997</v>
      </c>
      <c r="D760" s="213">
        <v>-0.46500000000000002</v>
      </c>
      <c r="E760" s="213">
        <v>-0.77700000000000002</v>
      </c>
      <c r="F760" s="365">
        <v>4.7690000000000001</v>
      </c>
      <c r="G760" s="213">
        <v>-4.4589999999999996</v>
      </c>
      <c r="H760" s="22"/>
      <c r="I760" s="209"/>
      <c r="L760" s="109"/>
      <c r="M760" s="104"/>
      <c r="N760" s="104"/>
    </row>
    <row r="761" spans="1:14" ht="28">
      <c r="B761" s="208" t="s">
        <v>15</v>
      </c>
      <c r="C761" s="214">
        <v>528.62500087607805</v>
      </c>
      <c r="D761" s="215" t="s">
        <v>22</v>
      </c>
      <c r="E761" s="215" t="s">
        <v>22</v>
      </c>
      <c r="F761" s="366" t="s">
        <v>22</v>
      </c>
      <c r="G761" s="215" t="s">
        <v>22</v>
      </c>
      <c r="H761" s="8"/>
      <c r="I761" s="209"/>
      <c r="L761" s="110"/>
      <c r="M761" s="104"/>
      <c r="N761" s="104"/>
    </row>
    <row r="762" spans="1:14">
      <c r="B762" s="203" t="s">
        <v>23</v>
      </c>
      <c r="C762" s="212">
        <v>57520000.027071901</v>
      </c>
      <c r="D762" s="212">
        <v>166935999.96514699</v>
      </c>
      <c r="E762" s="212">
        <v>167841000.04407999</v>
      </c>
      <c r="F762" s="364">
        <v>32204999.952010799</v>
      </c>
      <c r="G762" s="212">
        <v>29272999.971842401</v>
      </c>
      <c r="H762" s="203"/>
      <c r="I762" s="209"/>
      <c r="L762" s="111"/>
      <c r="M762" s="104"/>
      <c r="N762" s="104"/>
    </row>
    <row r="763" spans="1:14">
      <c r="I763" s="209"/>
      <c r="L763" s="111"/>
      <c r="M763" s="104"/>
      <c r="N763" s="104"/>
    </row>
    <row r="764" spans="1:14">
      <c r="A764" s="126" t="s">
        <v>51</v>
      </c>
      <c r="I764" s="209"/>
      <c r="L764" s="111"/>
      <c r="M764" s="104"/>
      <c r="N764" s="104"/>
    </row>
    <row r="765" spans="1:14">
      <c r="I765" s="209"/>
      <c r="L765" s="112"/>
      <c r="M765" s="104"/>
      <c r="N765" s="104"/>
    </row>
    <row r="766" spans="1:14">
      <c r="I766" s="209"/>
      <c r="L766" s="113"/>
      <c r="M766" s="104"/>
      <c r="N766" s="104"/>
    </row>
    <row r="767" spans="1:14">
      <c r="A767" s="200"/>
      <c r="B767" s="200"/>
      <c r="C767" s="200"/>
      <c r="D767" s="200"/>
      <c r="E767" s="200"/>
      <c r="F767" s="87"/>
      <c r="G767" s="200"/>
      <c r="H767" s="200"/>
      <c r="I767" s="209"/>
      <c r="L767" s="114"/>
      <c r="M767" s="104"/>
      <c r="N767" s="104"/>
    </row>
    <row r="768" spans="1:14">
      <c r="A768" s="200"/>
      <c r="B768" s="158"/>
      <c r="C768" s="158">
        <v>2018</v>
      </c>
      <c r="D768" s="158">
        <v>2017</v>
      </c>
      <c r="E768" s="38" t="s">
        <v>55</v>
      </c>
      <c r="F768" s="362" t="s">
        <v>53</v>
      </c>
      <c r="G768" s="38" t="s">
        <v>54</v>
      </c>
      <c r="H768" s="38"/>
      <c r="I768" s="209"/>
      <c r="L768" s="115"/>
      <c r="M768" s="104"/>
      <c r="N768" s="104"/>
    </row>
    <row r="769" spans="1:14">
      <c r="A769" s="217" t="s">
        <v>52</v>
      </c>
      <c r="B769" s="202" t="s">
        <v>1</v>
      </c>
      <c r="C769" s="216">
        <v>1746273</v>
      </c>
      <c r="D769" s="216">
        <v>2045075</v>
      </c>
      <c r="E769" s="216">
        <v>2413390</v>
      </c>
      <c r="F769" s="363">
        <v>2035122</v>
      </c>
      <c r="G769" s="216">
        <v>2260584</v>
      </c>
      <c r="H769" s="207"/>
      <c r="I769" s="209"/>
      <c r="L769" s="116"/>
      <c r="M769" s="104"/>
      <c r="N769" s="104"/>
    </row>
    <row r="770" spans="1:14">
      <c r="A770" s="200"/>
      <c r="B770" s="158"/>
      <c r="C770" s="158"/>
      <c r="D770" s="158"/>
      <c r="E770" s="158"/>
      <c r="F770" s="349"/>
      <c r="G770" s="158"/>
      <c r="H770" s="195"/>
      <c r="I770" s="209"/>
      <c r="L770" s="117"/>
      <c r="M770" s="104"/>
      <c r="N770" s="104"/>
    </row>
    <row r="771" spans="1:14" ht="28">
      <c r="A771" s="200"/>
      <c r="B771" s="211" t="s">
        <v>11</v>
      </c>
      <c r="C771" s="212">
        <v>322226</v>
      </c>
      <c r="D771" s="212">
        <v>415309</v>
      </c>
      <c r="E771" s="212">
        <v>487435</v>
      </c>
      <c r="F771" s="364">
        <v>422449</v>
      </c>
      <c r="G771" s="212">
        <v>491312</v>
      </c>
      <c r="H771" s="203"/>
      <c r="I771" s="209"/>
      <c r="L771" s="160"/>
      <c r="M771" s="118"/>
      <c r="N771" s="118"/>
    </row>
    <row r="772" spans="1:14">
      <c r="A772" s="200"/>
      <c r="B772" s="208" t="s">
        <v>2</v>
      </c>
      <c r="C772" s="212">
        <v>1099360</v>
      </c>
      <c r="D772" s="212">
        <v>1346648</v>
      </c>
      <c r="E772" s="212">
        <v>1420695</v>
      </c>
      <c r="F772" s="364">
        <v>1139166</v>
      </c>
      <c r="G772" s="212">
        <v>1154742</v>
      </c>
      <c r="H772" s="203"/>
      <c r="I772" s="209"/>
      <c r="L772" s="160"/>
      <c r="M772" s="160"/>
      <c r="N772" s="160"/>
    </row>
    <row r="773" spans="1:14">
      <c r="A773" s="200"/>
      <c r="B773" s="208" t="s">
        <v>3</v>
      </c>
      <c r="C773" s="212">
        <v>180823</v>
      </c>
      <c r="D773" s="212">
        <v>224816</v>
      </c>
      <c r="E773" s="212">
        <v>344710</v>
      </c>
      <c r="F773" s="364">
        <v>230448</v>
      </c>
      <c r="G773" s="212">
        <v>282193</v>
      </c>
      <c r="H773" s="203"/>
      <c r="I773" s="209"/>
      <c r="L773" s="120"/>
      <c r="M773" s="159"/>
      <c r="N773" s="159"/>
    </row>
    <row r="774" spans="1:14">
      <c r="A774" s="200"/>
      <c r="B774" s="206" t="s">
        <v>8</v>
      </c>
      <c r="C774" s="207">
        <f t="shared" ref="C774:F774" si="317">SUM(C772:C773)</f>
        <v>1280183</v>
      </c>
      <c r="D774" s="207">
        <f t="shared" si="317"/>
        <v>1571464</v>
      </c>
      <c r="E774" s="207">
        <f t="shared" si="317"/>
        <v>1765405</v>
      </c>
      <c r="F774" s="344">
        <f t="shared" si="317"/>
        <v>1369614</v>
      </c>
      <c r="G774" s="207">
        <f>SUM(G772:G773)</f>
        <v>1436935</v>
      </c>
      <c r="H774" s="207"/>
      <c r="I774" s="209"/>
      <c r="L774" s="120"/>
      <c r="M774" s="159"/>
      <c r="N774" s="159"/>
    </row>
    <row r="775" spans="1:14">
      <c r="A775" s="200"/>
      <c r="B775" s="210" t="s">
        <v>12</v>
      </c>
      <c r="C775" s="212">
        <v>-94051</v>
      </c>
      <c r="D775" s="212">
        <v>-204044</v>
      </c>
      <c r="E775" s="212">
        <v>-155905</v>
      </c>
      <c r="F775" s="364">
        <v>-144106</v>
      </c>
      <c r="G775" s="212">
        <v>117702</v>
      </c>
      <c r="H775" s="203"/>
      <c r="I775" s="209"/>
      <c r="L775" s="122"/>
      <c r="M775" s="159"/>
      <c r="N775" s="159"/>
    </row>
    <row r="776" spans="1:14" ht="28">
      <c r="A776" s="200"/>
      <c r="B776" s="208" t="s">
        <v>13</v>
      </c>
      <c r="C776" s="213">
        <v>3.4220000000000002</v>
      </c>
      <c r="D776" s="213">
        <v>-34.695999999999998</v>
      </c>
      <c r="E776" s="213">
        <v>-21.981000000000002</v>
      </c>
      <c r="F776" s="365">
        <v>-28.053000000000001</v>
      </c>
      <c r="G776" s="213">
        <v>7.06</v>
      </c>
      <c r="H776" s="22"/>
      <c r="I776" s="209"/>
      <c r="L776" s="123"/>
      <c r="M776" s="124"/>
      <c r="N776" s="124"/>
    </row>
    <row r="777" spans="1:14" ht="28">
      <c r="A777" s="200"/>
      <c r="B777" s="208" t="s">
        <v>14</v>
      </c>
      <c r="C777" s="213">
        <v>0.91300000000000003</v>
      </c>
      <c r="D777" s="213">
        <v>-8.0350000000000001</v>
      </c>
      <c r="E777" s="213">
        <v>-5.9020000000000001</v>
      </c>
      <c r="F777" s="365">
        <v>-9.1739999999999995</v>
      </c>
      <c r="G777" s="213">
        <v>2.5720000000000001</v>
      </c>
      <c r="H777" s="22"/>
      <c r="I777" s="209"/>
      <c r="L777" s="125"/>
      <c r="M777" s="124"/>
      <c r="N777" s="124"/>
    </row>
    <row r="778" spans="1:14" ht="28">
      <c r="A778" s="200"/>
      <c r="B778" s="208" t="s">
        <v>15</v>
      </c>
      <c r="C778" s="214">
        <v>241.36779000000001</v>
      </c>
      <c r="D778" s="214">
        <v>351.36125199999998</v>
      </c>
      <c r="E778" s="214">
        <v>460.71361100000001</v>
      </c>
      <c r="F778" s="367">
        <v>445.15173900000002</v>
      </c>
      <c r="G778" s="214">
        <v>457.88630000000001</v>
      </c>
      <c r="H778" s="9"/>
      <c r="I778" s="209"/>
      <c r="L778" s="209"/>
      <c r="M778" s="209"/>
      <c r="N778" s="209"/>
    </row>
    <row r="779" spans="1:14">
      <c r="A779" s="200"/>
      <c r="B779" s="203" t="s">
        <v>23</v>
      </c>
      <c r="C779" s="212">
        <v>466090</v>
      </c>
      <c r="D779" s="212">
        <v>473611</v>
      </c>
      <c r="E779" s="212">
        <v>647985</v>
      </c>
      <c r="F779" s="364">
        <v>665508</v>
      </c>
      <c r="G779" s="212">
        <v>823649</v>
      </c>
      <c r="H779" s="203"/>
      <c r="I779" s="209"/>
      <c r="L779" s="209"/>
      <c r="M779" s="209"/>
      <c r="N779" s="209"/>
    </row>
    <row r="780" spans="1:14">
      <c r="A780" s="200"/>
      <c r="B780" s="200"/>
      <c r="C780" s="200"/>
      <c r="D780" s="200"/>
      <c r="E780" s="200"/>
      <c r="F780" s="87"/>
      <c r="G780" s="200"/>
      <c r="H780" s="200"/>
      <c r="I780" s="209"/>
      <c r="L780" s="209"/>
      <c r="M780" s="209"/>
      <c r="N780" s="209"/>
    </row>
    <row r="781" spans="1:14">
      <c r="A781" s="200"/>
      <c r="B781" s="200"/>
      <c r="C781" s="200"/>
      <c r="D781" s="200"/>
      <c r="E781" s="200"/>
      <c r="F781" s="87"/>
      <c r="G781" s="200"/>
      <c r="H781" s="200"/>
      <c r="I781" s="209"/>
      <c r="L781" s="209"/>
      <c r="M781" s="209"/>
      <c r="N781" s="209"/>
    </row>
    <row r="782" spans="1:14">
      <c r="A782" s="200"/>
      <c r="B782" s="200"/>
      <c r="C782" s="200"/>
      <c r="D782" s="200"/>
      <c r="E782" s="200"/>
      <c r="F782" s="87"/>
      <c r="G782" s="200"/>
      <c r="H782" s="200"/>
      <c r="I782" s="209"/>
      <c r="L782" s="209"/>
      <c r="M782" s="209"/>
      <c r="N782" s="209"/>
    </row>
    <row r="783" spans="1:14">
      <c r="A783" s="217" t="s">
        <v>56</v>
      </c>
      <c r="B783" s="200"/>
      <c r="C783" s="200"/>
      <c r="D783" s="200"/>
      <c r="E783" s="200"/>
      <c r="F783" s="87"/>
      <c r="G783" s="200"/>
      <c r="H783" s="200"/>
      <c r="I783" s="209"/>
      <c r="L783" s="209"/>
      <c r="M783" s="209"/>
      <c r="N783" s="209"/>
    </row>
    <row r="784" spans="1:14">
      <c r="A784" s="200"/>
      <c r="B784" s="158"/>
      <c r="C784" s="158">
        <v>2019</v>
      </c>
      <c r="D784" s="158">
        <v>2018</v>
      </c>
      <c r="E784" s="38" t="s">
        <v>59</v>
      </c>
      <c r="F784" s="362" t="s">
        <v>57</v>
      </c>
      <c r="G784" s="38" t="s">
        <v>58</v>
      </c>
      <c r="H784" s="38"/>
      <c r="I784" s="209"/>
      <c r="L784" s="209"/>
      <c r="M784" s="209"/>
      <c r="N784" s="209"/>
    </row>
    <row r="785" spans="1:14">
      <c r="A785" s="200"/>
      <c r="B785" s="202" t="s">
        <v>1</v>
      </c>
      <c r="C785" s="216">
        <f>24009794.7131246/1000</f>
        <v>24009.7947131246</v>
      </c>
      <c r="D785" s="216">
        <f>149846000.02919/1000</f>
        <v>149846.00002919001</v>
      </c>
      <c r="E785" s="216">
        <f>149781000.0494/1000</f>
        <v>149781.0000494</v>
      </c>
      <c r="F785" s="363">
        <f>142540000.004941/1000</f>
        <v>142540.00000494099</v>
      </c>
      <c r="G785" s="216">
        <f>214708000.04137/1000</f>
        <v>214708.00004137002</v>
      </c>
      <c r="H785" s="207"/>
      <c r="I785" s="209"/>
      <c r="L785" s="209"/>
      <c r="M785" s="209"/>
      <c r="N785" s="209"/>
    </row>
    <row r="786" spans="1:14">
      <c r="A786" s="200"/>
      <c r="B786" s="158"/>
      <c r="C786" s="158"/>
      <c r="D786" s="158"/>
      <c r="E786" s="158"/>
      <c r="F786" s="349"/>
      <c r="G786" s="158"/>
      <c r="H786" s="195"/>
      <c r="I786" s="209"/>
      <c r="L786" s="209"/>
      <c r="M786" s="209"/>
      <c r="N786" s="209"/>
    </row>
    <row r="787" spans="1:14" ht="28">
      <c r="A787" s="200"/>
      <c r="B787" s="211" t="s">
        <v>11</v>
      </c>
      <c r="C787" s="212">
        <f>9133598.98404032/1000</f>
        <v>9133.5989840403199</v>
      </c>
      <c r="D787" s="212">
        <f>22999.9999691546/1000</f>
        <v>22.999999969154601</v>
      </c>
      <c r="E787" s="212">
        <f>40000.0001758337/1000</f>
        <v>40.000000175833705</v>
      </c>
      <c r="F787" s="364">
        <f>86999.9995073676/1000</f>
        <v>86.99999950736759</v>
      </c>
      <c r="G787" s="212">
        <f>49999.9987408519/1000</f>
        <v>49.9999987408519</v>
      </c>
      <c r="H787" s="203"/>
      <c r="I787" s="209"/>
      <c r="L787" s="209"/>
      <c r="M787" s="209"/>
      <c r="N787" s="209"/>
    </row>
    <row r="788" spans="1:14">
      <c r="A788" s="200"/>
      <c r="B788" s="208" t="s">
        <v>2</v>
      </c>
      <c r="C788" s="212">
        <v>0</v>
      </c>
      <c r="D788" s="212">
        <v>0</v>
      </c>
      <c r="E788" s="212">
        <v>0</v>
      </c>
      <c r="F788" s="364">
        <f>19737000.0042497/1000</f>
        <v>19737.000004249698</v>
      </c>
      <c r="G788" s="212">
        <f>22127000.0103135/1000</f>
        <v>22127.000010313499</v>
      </c>
      <c r="H788" s="203"/>
      <c r="I788" s="209"/>
      <c r="L788" s="209"/>
      <c r="M788" s="209"/>
      <c r="N788" s="209"/>
    </row>
    <row r="789" spans="1:14">
      <c r="A789" s="200"/>
      <c r="B789" s="208" t="s">
        <v>3</v>
      </c>
      <c r="C789" s="212">
        <f>2324829.13050056/1000</f>
        <v>2324.82913050056</v>
      </c>
      <c r="D789" s="212">
        <f>27053999.9637178/1000</f>
        <v>27053.999963717801</v>
      </c>
      <c r="E789" s="212">
        <f>25903999.9920672/1000</f>
        <v>25903.999992067198</v>
      </c>
      <c r="F789" s="364">
        <f>6493999.96322811/1000</f>
        <v>6493.9999632281106</v>
      </c>
      <c r="G789" s="212">
        <f>18243999.9945915/1000</f>
        <v>18243.999994591501</v>
      </c>
      <c r="H789" s="203"/>
      <c r="I789" s="209"/>
      <c r="L789" s="209"/>
      <c r="M789" s="209"/>
      <c r="N789" s="209"/>
    </row>
    <row r="790" spans="1:14">
      <c r="A790" s="200"/>
      <c r="B790" s="206" t="s">
        <v>8</v>
      </c>
      <c r="C790" s="207">
        <f t="shared" ref="C790:F790" si="318">SUM(C788:C789)</f>
        <v>2324.82913050056</v>
      </c>
      <c r="D790" s="207">
        <f t="shared" si="318"/>
        <v>27053.999963717801</v>
      </c>
      <c r="E790" s="207">
        <f t="shared" si="318"/>
        <v>25903.999992067198</v>
      </c>
      <c r="F790" s="344">
        <f t="shared" si="318"/>
        <v>26230.999967477808</v>
      </c>
      <c r="G790" s="207">
        <f>SUM(G788:G789)</f>
        <v>40371.000004905</v>
      </c>
      <c r="H790" s="207"/>
      <c r="I790" s="209"/>
      <c r="L790" s="209"/>
      <c r="M790" s="209"/>
      <c r="N790" s="209"/>
    </row>
    <row r="791" spans="1:14">
      <c r="A791" s="200"/>
      <c r="B791" s="210" t="s">
        <v>12</v>
      </c>
      <c r="C791" s="212">
        <f>7699544.33079064/1000</f>
        <v>7699.5443307906398</v>
      </c>
      <c r="D791" s="212">
        <f>-1086999.99854222/1000</f>
        <v>-1086.9999985422201</v>
      </c>
      <c r="E791" s="212">
        <f>7568000.03326774/1000</f>
        <v>7568.00003326774</v>
      </c>
      <c r="F791" s="364">
        <f>-53962000.0424712/1000</f>
        <v>-53962.000042471198</v>
      </c>
      <c r="G791" s="212">
        <f>-1646999.95852366/1000</f>
        <v>-1646.9999585236599</v>
      </c>
      <c r="H791" s="203"/>
      <c r="I791" s="209"/>
      <c r="L791" s="209"/>
      <c r="M791" s="209"/>
      <c r="N791" s="209"/>
    </row>
    <row r="792" spans="1:14" ht="28">
      <c r="A792" s="200"/>
      <c r="B792" s="208" t="s">
        <v>13</v>
      </c>
      <c r="C792" s="213">
        <v>35.506</v>
      </c>
      <c r="D792" s="213">
        <v>-0.88500000000000001</v>
      </c>
      <c r="E792" s="213">
        <v>6.109</v>
      </c>
      <c r="F792" s="365">
        <v>-46.395000000000003</v>
      </c>
      <c r="G792" s="213">
        <v>-0.94499999999999995</v>
      </c>
      <c r="H792" s="22"/>
      <c r="I792" s="209"/>
      <c r="L792" s="209"/>
      <c r="M792" s="209"/>
      <c r="N792" s="209"/>
    </row>
    <row r="793" spans="1:14" ht="28">
      <c r="A793" s="200"/>
      <c r="B793" s="208" t="s">
        <v>14</v>
      </c>
      <c r="C793" s="213">
        <v>32.067999999999998</v>
      </c>
      <c r="D793" s="213">
        <v>-0.72499999999999998</v>
      </c>
      <c r="E793" s="213">
        <v>5.0529999999999999</v>
      </c>
      <c r="F793" s="365">
        <v>-37.856999999999999</v>
      </c>
      <c r="G793" s="213">
        <v>-0.76700000000000002</v>
      </c>
      <c r="H793" s="22"/>
      <c r="I793" s="209"/>
      <c r="L793" s="209"/>
      <c r="M793" s="209"/>
      <c r="N793" s="209"/>
    </row>
    <row r="794" spans="1:14" ht="28">
      <c r="A794" s="200"/>
      <c r="B794" s="208" t="s">
        <v>15</v>
      </c>
      <c r="C794" s="215" t="s">
        <v>22</v>
      </c>
      <c r="D794" s="214">
        <v>22.999999969154601</v>
      </c>
      <c r="E794" s="214">
        <v>3.33333338858704</v>
      </c>
      <c r="F794" s="367">
        <v>6.6923076187177299</v>
      </c>
      <c r="G794" s="214">
        <v>3.8461537056396198</v>
      </c>
      <c r="H794" s="9"/>
      <c r="I794" s="209"/>
      <c r="L794" s="209"/>
      <c r="M794" s="209"/>
      <c r="N794" s="209"/>
    </row>
    <row r="795" spans="1:14">
      <c r="A795" s="200"/>
      <c r="B795" s="203" t="s">
        <v>23</v>
      </c>
      <c r="C795" s="212">
        <f>21684965.5826241/1000</f>
        <v>21684.9655826241</v>
      </c>
      <c r="D795" s="212">
        <f>122790999.950399/1000</f>
        <v>122790.999950399</v>
      </c>
      <c r="E795" s="212">
        <f>123878000.057337/1000</f>
        <v>123878.00005733701</v>
      </c>
      <c r="F795" s="364">
        <f>116309000.037463/1000</f>
        <v>116309.00003746299</v>
      </c>
      <c r="G795" s="212">
        <f>174337000.036465/1000</f>
        <v>174337.00003646497</v>
      </c>
      <c r="H795" s="203"/>
      <c r="I795" s="209"/>
      <c r="L795" s="209"/>
      <c r="M795" s="209"/>
      <c r="N795" s="209"/>
    </row>
    <row r="796" spans="1:14">
      <c r="A796" s="200"/>
      <c r="B796" s="200"/>
      <c r="C796" s="200"/>
      <c r="D796" s="200"/>
      <c r="E796" s="200"/>
      <c r="F796" s="87"/>
      <c r="G796" s="200"/>
      <c r="H796" s="200"/>
      <c r="I796" s="209"/>
      <c r="L796" s="209"/>
      <c r="M796" s="209"/>
      <c r="N796" s="209"/>
    </row>
    <row r="797" spans="1:14">
      <c r="A797" s="200"/>
      <c r="B797" s="200"/>
      <c r="C797" s="200"/>
      <c r="D797" s="200"/>
      <c r="E797" s="200"/>
      <c r="F797" s="87"/>
      <c r="G797" s="200"/>
      <c r="H797" s="200"/>
      <c r="I797" s="209"/>
      <c r="L797" s="209"/>
      <c r="M797" s="209"/>
      <c r="N797" s="209"/>
    </row>
    <row r="798" spans="1:14">
      <c r="A798" s="127" t="s">
        <v>60</v>
      </c>
      <c r="B798" s="128"/>
      <c r="C798" s="128">
        <v>2020</v>
      </c>
      <c r="D798" s="128">
        <v>2019</v>
      </c>
      <c r="E798" s="129" t="s">
        <v>63</v>
      </c>
      <c r="F798" s="368" t="s">
        <v>61</v>
      </c>
      <c r="G798" s="129" t="s">
        <v>62</v>
      </c>
      <c r="H798" s="129"/>
      <c r="I798" s="209"/>
      <c r="L798" s="209"/>
      <c r="M798" s="209"/>
      <c r="N798" s="209"/>
    </row>
    <row r="799" spans="1:14">
      <c r="A799" s="130" t="s">
        <v>149</v>
      </c>
      <c r="B799" s="131" t="s">
        <v>1</v>
      </c>
      <c r="C799" s="132">
        <v>163226.49056532999</v>
      </c>
      <c r="D799" s="132">
        <v>165432.11655287401</v>
      </c>
      <c r="E799" s="132">
        <v>171142.232221574</v>
      </c>
      <c r="F799" s="369">
        <v>171020.58540464201</v>
      </c>
      <c r="G799" s="132">
        <v>168405.451482609</v>
      </c>
      <c r="H799" s="137"/>
      <c r="I799" s="209"/>
      <c r="L799" s="209"/>
      <c r="M799" s="209"/>
      <c r="N799" s="209"/>
    </row>
    <row r="800" spans="1:14">
      <c r="A800" s="128"/>
      <c r="B800" s="128"/>
      <c r="C800" s="128"/>
      <c r="D800" s="128"/>
      <c r="E800" s="128"/>
      <c r="F800" s="87"/>
      <c r="G800" s="128"/>
      <c r="H800" s="128"/>
      <c r="I800" s="209"/>
      <c r="L800" s="209"/>
      <c r="M800" s="209"/>
      <c r="N800" s="209"/>
    </row>
    <row r="801" spans="1:14" ht="28">
      <c r="A801" s="128"/>
      <c r="B801" s="133" t="s">
        <v>11</v>
      </c>
      <c r="C801" s="134">
        <v>0</v>
      </c>
      <c r="D801" s="134">
        <v>0</v>
      </c>
      <c r="E801" s="134">
        <v>0</v>
      </c>
      <c r="F801" s="370">
        <v>25.578562840819401</v>
      </c>
      <c r="G801" s="134">
        <v>0</v>
      </c>
      <c r="H801" s="141"/>
      <c r="I801" s="209"/>
      <c r="L801" s="209"/>
      <c r="M801" s="209"/>
      <c r="N801" s="209"/>
    </row>
    <row r="802" spans="1:14">
      <c r="A802" s="128"/>
      <c r="B802" s="135" t="s">
        <v>2</v>
      </c>
      <c r="C802" s="134">
        <v>11566.3537498266</v>
      </c>
      <c r="D802" s="134">
        <v>26816.172813042998</v>
      </c>
      <c r="E802" s="134">
        <v>32764.671992883101</v>
      </c>
      <c r="F802" s="370">
        <v>42204.628687351898</v>
      </c>
      <c r="G802" s="134">
        <v>40314.1529039741</v>
      </c>
      <c r="H802" s="141"/>
      <c r="I802" s="209"/>
      <c r="L802" s="209"/>
      <c r="M802" s="209"/>
      <c r="N802" s="209"/>
    </row>
    <row r="803" spans="1:14">
      <c r="A803" s="128"/>
      <c r="B803" s="135" t="s">
        <v>3</v>
      </c>
      <c r="C803" s="134">
        <v>6005.0408786386297</v>
      </c>
      <c r="D803" s="134">
        <v>6097.38034006208</v>
      </c>
      <c r="E803" s="134">
        <v>9097.6984918266498</v>
      </c>
      <c r="F803" s="370">
        <v>884.16565553098906</v>
      </c>
      <c r="G803" s="134">
        <v>389.79118108749401</v>
      </c>
      <c r="H803" s="141"/>
      <c r="I803" s="209"/>
      <c r="L803" s="209"/>
      <c r="M803" s="209"/>
      <c r="N803" s="209"/>
    </row>
    <row r="804" spans="1:14">
      <c r="A804" s="128"/>
      <c r="B804" s="136" t="s">
        <v>8</v>
      </c>
      <c r="C804" s="137">
        <f t="shared" ref="C804:F804" si="319">SUM(C802:C803)</f>
        <v>17571.39462846523</v>
      </c>
      <c r="D804" s="137">
        <f t="shared" si="319"/>
        <v>32913.55315310508</v>
      </c>
      <c r="E804" s="137">
        <f t="shared" si="319"/>
        <v>41862.370484709754</v>
      </c>
      <c r="F804" s="94">
        <f t="shared" si="319"/>
        <v>43088.794342882888</v>
      </c>
      <c r="G804" s="137">
        <f>SUM(G802:G803)</f>
        <v>40703.944085061594</v>
      </c>
      <c r="H804" s="137"/>
      <c r="I804" s="209"/>
      <c r="L804" s="209"/>
      <c r="M804" s="209"/>
      <c r="N804" s="209"/>
    </row>
    <row r="805" spans="1:14">
      <c r="A805" s="128"/>
      <c r="B805" s="138" t="s">
        <v>12</v>
      </c>
      <c r="C805" s="134">
        <v>9252.6375133544207</v>
      </c>
      <c r="D805" s="134">
        <v>4563.8951640352598</v>
      </c>
      <c r="E805" s="134">
        <v>8414.4994133412802</v>
      </c>
      <c r="F805" s="370">
        <v>261.51035437732901</v>
      </c>
      <c r="G805" s="134">
        <v>2079.2343269735602</v>
      </c>
      <c r="H805" s="141"/>
      <c r="I805" s="209"/>
      <c r="L805" s="209"/>
      <c r="M805" s="209"/>
      <c r="N805" s="209"/>
    </row>
    <row r="806" spans="1:14" ht="28">
      <c r="A806" s="128"/>
      <c r="B806" s="135" t="s">
        <v>13</v>
      </c>
      <c r="C806" s="139">
        <v>6.3520000000000003</v>
      </c>
      <c r="D806" s="139">
        <v>3.444</v>
      </c>
      <c r="E806" s="139">
        <v>6.5090000000000003</v>
      </c>
      <c r="F806" s="371">
        <v>0.20399999999999999</v>
      </c>
      <c r="G806" s="139">
        <v>1.6279999999999999</v>
      </c>
      <c r="H806" s="315"/>
      <c r="I806" s="209"/>
      <c r="L806" s="209"/>
      <c r="M806" s="209"/>
      <c r="N806" s="209"/>
    </row>
    <row r="807" spans="1:14" ht="28">
      <c r="A807" s="128"/>
      <c r="B807" s="135" t="s">
        <v>14</v>
      </c>
      <c r="C807" s="139">
        <v>5.6689999999999996</v>
      </c>
      <c r="D807" s="139">
        <v>2.7589999999999999</v>
      </c>
      <c r="E807" s="139">
        <v>4.9169999999999998</v>
      </c>
      <c r="F807" s="371">
        <v>0.153</v>
      </c>
      <c r="G807" s="139">
        <v>1.2350000000000001</v>
      </c>
      <c r="H807" s="315"/>
      <c r="I807" s="209"/>
      <c r="L807" s="209"/>
      <c r="M807" s="209"/>
      <c r="N807" s="209"/>
    </row>
    <row r="808" spans="1:14" ht="28">
      <c r="A808" s="128"/>
      <c r="B808" s="135" t="s">
        <v>15</v>
      </c>
      <c r="C808" s="140" t="s">
        <v>22</v>
      </c>
      <c r="D808" s="140" t="s">
        <v>22</v>
      </c>
      <c r="E808" s="140" t="s">
        <v>4</v>
      </c>
      <c r="F808" s="372" t="s">
        <v>4</v>
      </c>
      <c r="G808" s="140" t="s">
        <v>4</v>
      </c>
      <c r="H808" s="316"/>
      <c r="I808" s="209"/>
      <c r="L808" s="209"/>
      <c r="M808" s="209"/>
      <c r="N808" s="209"/>
    </row>
    <row r="809" spans="1:14">
      <c r="A809" s="128"/>
      <c r="B809" s="141" t="s">
        <v>23</v>
      </c>
      <c r="C809" s="134">
        <v>145655.213170156</v>
      </c>
      <c r="D809" s="134">
        <v>132518.56339976899</v>
      </c>
      <c r="E809" s="134">
        <v>129279.861736864</v>
      </c>
      <c r="F809" s="370">
        <v>127931.791061759</v>
      </c>
      <c r="G809" s="134">
        <v>127701.507397547</v>
      </c>
      <c r="H809" s="141"/>
      <c r="I809" s="209"/>
      <c r="L809" s="209"/>
      <c r="M809" s="209"/>
      <c r="N809" s="209"/>
    </row>
    <row r="810" spans="1:14">
      <c r="A810" s="200"/>
      <c r="B810" s="200"/>
      <c r="C810" s="200"/>
      <c r="D810" s="200"/>
      <c r="E810" s="200"/>
      <c r="F810" s="87"/>
      <c r="G810" s="200"/>
      <c r="H810" s="200"/>
      <c r="I810" s="209"/>
      <c r="L810" s="209"/>
      <c r="M810" s="209"/>
      <c r="N810" s="209"/>
    </row>
    <row r="811" spans="1:14">
      <c r="A811" s="200"/>
      <c r="B811" s="200"/>
      <c r="C811" s="200"/>
      <c r="D811" s="200"/>
      <c r="E811" s="200"/>
      <c r="F811" s="87"/>
      <c r="G811" s="200"/>
      <c r="H811" s="200"/>
      <c r="I811" s="209"/>
      <c r="L811" s="209"/>
      <c r="M811" s="209"/>
      <c r="N811" s="209"/>
    </row>
    <row r="812" spans="1:14">
      <c r="A812" s="217" t="s">
        <v>64</v>
      </c>
      <c r="B812" s="158"/>
      <c r="C812" s="158">
        <v>2020</v>
      </c>
      <c r="D812" s="158">
        <v>2019</v>
      </c>
      <c r="E812" s="38" t="s">
        <v>63</v>
      </c>
      <c r="F812" s="362" t="s">
        <v>61</v>
      </c>
      <c r="G812" s="38" t="s">
        <v>62</v>
      </c>
      <c r="H812" s="38"/>
      <c r="I812" s="209"/>
      <c r="L812" s="209"/>
      <c r="M812" s="209"/>
      <c r="N812" s="209"/>
    </row>
    <row r="813" spans="1:14">
      <c r="A813" s="200"/>
      <c r="B813" s="202" t="s">
        <v>1</v>
      </c>
      <c r="C813" s="216">
        <v>3961000</v>
      </c>
      <c r="D813" s="216">
        <v>9279000</v>
      </c>
      <c r="E813" s="216">
        <v>10848000</v>
      </c>
      <c r="F813" s="363">
        <v>17982000</v>
      </c>
      <c r="G813" s="216">
        <v>21666000</v>
      </c>
      <c r="H813" s="207"/>
      <c r="I813" s="209"/>
      <c r="L813" s="209"/>
      <c r="M813" s="209"/>
      <c r="N813" s="209"/>
    </row>
    <row r="814" spans="1:14">
      <c r="A814" s="200"/>
      <c r="B814" s="158"/>
      <c r="C814" s="158"/>
      <c r="D814" s="158"/>
      <c r="E814" s="158"/>
      <c r="F814" s="349"/>
      <c r="G814" s="158"/>
      <c r="H814" s="195"/>
      <c r="I814" s="209"/>
      <c r="L814" s="209"/>
      <c r="M814" s="209"/>
      <c r="N814" s="209"/>
    </row>
    <row r="815" spans="1:14" ht="28">
      <c r="A815" s="200"/>
      <c r="B815" s="211" t="s">
        <v>11</v>
      </c>
      <c r="C815" s="212">
        <v>1059000</v>
      </c>
      <c r="D815" s="212">
        <v>1417000</v>
      </c>
      <c r="E815" s="212">
        <v>562000</v>
      </c>
      <c r="F815" s="364">
        <v>2115000</v>
      </c>
      <c r="G815" s="212">
        <v>3237000</v>
      </c>
      <c r="H815" s="203"/>
      <c r="I815" s="209"/>
      <c r="L815" s="209"/>
      <c r="M815" s="209"/>
      <c r="N815" s="209"/>
    </row>
    <row r="816" spans="1:14">
      <c r="A816" s="200"/>
      <c r="B816" s="208" t="s">
        <v>2</v>
      </c>
      <c r="C816" s="212">
        <v>556000</v>
      </c>
      <c r="D816" s="212">
        <v>6716000</v>
      </c>
      <c r="E816" s="212">
        <v>7349000</v>
      </c>
      <c r="F816" s="364">
        <v>10164000</v>
      </c>
      <c r="G816" s="212">
        <v>6880000</v>
      </c>
      <c r="H816" s="203"/>
      <c r="I816" s="209"/>
      <c r="L816" s="209"/>
      <c r="M816" s="209"/>
      <c r="N816" s="209"/>
    </row>
    <row r="817" spans="1:14">
      <c r="A817" s="200"/>
      <c r="B817" s="208" t="s">
        <v>3</v>
      </c>
      <c r="C817" s="212">
        <v>6545000</v>
      </c>
      <c r="D817" s="212">
        <v>770000</v>
      </c>
      <c r="E817" s="212">
        <v>464000</v>
      </c>
      <c r="F817" s="364">
        <v>859000</v>
      </c>
      <c r="G817" s="212">
        <v>4723000</v>
      </c>
      <c r="H817" s="203"/>
      <c r="I817" s="209"/>
      <c r="L817" s="209"/>
      <c r="M817" s="209"/>
      <c r="N817" s="209"/>
    </row>
    <row r="818" spans="1:14">
      <c r="A818" s="200"/>
      <c r="B818" s="206" t="s">
        <v>8</v>
      </c>
      <c r="C818" s="207">
        <f t="shared" ref="C818:F818" si="320">SUM(C816:C817)</f>
        <v>7101000</v>
      </c>
      <c r="D818" s="207">
        <f t="shared" si="320"/>
        <v>7486000</v>
      </c>
      <c r="E818" s="207">
        <f t="shared" si="320"/>
        <v>7813000</v>
      </c>
      <c r="F818" s="344">
        <f t="shared" si="320"/>
        <v>11023000</v>
      </c>
      <c r="G818" s="207">
        <f>SUM(G816:G817)</f>
        <v>11603000</v>
      </c>
      <c r="H818" s="207"/>
      <c r="I818" s="209"/>
      <c r="L818" s="209"/>
      <c r="M818" s="209"/>
      <c r="N818" s="209"/>
    </row>
    <row r="819" spans="1:14">
      <c r="A819" s="200"/>
      <c r="B819" s="210" t="s">
        <v>12</v>
      </c>
      <c r="C819" s="212">
        <v>-4663000</v>
      </c>
      <c r="D819" s="212">
        <v>-1222000</v>
      </c>
      <c r="E819" s="212">
        <v>-605000</v>
      </c>
      <c r="F819" s="364">
        <v>-3102000</v>
      </c>
      <c r="G819" s="212">
        <v>-155000</v>
      </c>
      <c r="H819" s="203"/>
      <c r="I819" s="209"/>
      <c r="L819" s="209"/>
      <c r="M819" s="209"/>
      <c r="N819" s="209"/>
    </row>
    <row r="820" spans="1:14" ht="28">
      <c r="A820" s="200"/>
      <c r="B820" s="208" t="s">
        <v>13</v>
      </c>
      <c r="C820" s="215" t="s">
        <v>4</v>
      </c>
      <c r="D820" s="213">
        <v>-67.986999999999995</v>
      </c>
      <c r="E820" s="213">
        <v>-19.835000000000001</v>
      </c>
      <c r="F820" s="365">
        <v>-42.722000000000001</v>
      </c>
      <c r="G820" s="213">
        <v>-1.7989999999999999</v>
      </c>
      <c r="H820" s="22"/>
      <c r="I820" s="209"/>
      <c r="L820" s="209"/>
      <c r="M820" s="209"/>
      <c r="N820" s="209"/>
    </row>
    <row r="821" spans="1:14" ht="28">
      <c r="A821" s="200"/>
      <c r="B821" s="208" t="s">
        <v>14</v>
      </c>
      <c r="C821" s="215" t="s">
        <v>4</v>
      </c>
      <c r="D821" s="213">
        <v>-13.137</v>
      </c>
      <c r="E821" s="213">
        <v>-11.099</v>
      </c>
      <c r="F821" s="365">
        <v>-16.533000000000001</v>
      </c>
      <c r="G821" s="213">
        <v>-0.83499999999999996</v>
      </c>
      <c r="H821" s="22"/>
      <c r="I821" s="209"/>
      <c r="L821" s="209"/>
      <c r="M821" s="209"/>
      <c r="N821" s="209"/>
    </row>
    <row r="822" spans="1:14" ht="28">
      <c r="A822" s="200"/>
      <c r="B822" s="208" t="s">
        <v>15</v>
      </c>
      <c r="C822" s="214">
        <v>333.54330700000003</v>
      </c>
      <c r="D822" s="214">
        <v>312.252093</v>
      </c>
      <c r="E822" s="214">
        <v>229.95089999999999</v>
      </c>
      <c r="F822" s="367">
        <v>488.67837300000002</v>
      </c>
      <c r="G822" s="214">
        <v>677.19665299999997</v>
      </c>
      <c r="H822" s="9"/>
      <c r="I822" s="209"/>
      <c r="L822" s="209"/>
      <c r="M822" s="209"/>
      <c r="N822" s="209"/>
    </row>
    <row r="823" spans="1:14">
      <c r="A823" s="200"/>
      <c r="B823" s="203" t="s">
        <v>23</v>
      </c>
      <c r="C823" s="212">
        <v>-3140000</v>
      </c>
      <c r="D823" s="212">
        <v>1793000</v>
      </c>
      <c r="E823" s="212">
        <v>3035000</v>
      </c>
      <c r="F823" s="364">
        <v>6959000</v>
      </c>
      <c r="G823" s="212">
        <v>10063000</v>
      </c>
      <c r="H823" s="203"/>
      <c r="I823" s="209"/>
      <c r="L823" s="209"/>
      <c r="M823" s="209"/>
      <c r="N823" s="209"/>
    </row>
    <row r="824" spans="1:14">
      <c r="A824" s="200"/>
      <c r="B824" s="200"/>
      <c r="C824" s="200"/>
      <c r="D824" s="200"/>
      <c r="E824" s="200"/>
      <c r="F824" s="87"/>
      <c r="G824" s="200"/>
      <c r="H824" s="200"/>
      <c r="I824" s="209"/>
      <c r="L824" s="209"/>
      <c r="M824" s="209"/>
      <c r="N824" s="209"/>
    </row>
    <row r="825" spans="1:14">
      <c r="A825" s="200"/>
      <c r="B825" s="200"/>
      <c r="C825" s="200"/>
      <c r="D825" s="200"/>
      <c r="E825" s="200"/>
      <c r="F825" s="87"/>
      <c r="G825" s="200"/>
      <c r="H825" s="200"/>
      <c r="I825" s="209"/>
      <c r="L825" s="209"/>
      <c r="M825" s="209"/>
      <c r="N825" s="209"/>
    </row>
    <row r="826" spans="1:14" ht="16" thickBot="1">
      <c r="A826" s="217" t="s">
        <v>65</v>
      </c>
      <c r="B826" s="164">
        <v>41981</v>
      </c>
      <c r="C826" s="158" t="s">
        <v>261</v>
      </c>
      <c r="D826" s="158" t="s">
        <v>33</v>
      </c>
      <c r="E826" s="38" t="s">
        <v>26</v>
      </c>
      <c r="F826" s="362">
        <v>2014</v>
      </c>
      <c r="G826" s="38" t="s">
        <v>21</v>
      </c>
      <c r="H826" s="38"/>
      <c r="I826" s="209"/>
      <c r="L826" s="209"/>
      <c r="M826" s="209"/>
      <c r="N826" s="209"/>
    </row>
    <row r="827" spans="1:14" ht="16" thickBot="1">
      <c r="A827" s="222" t="s">
        <v>66</v>
      </c>
      <c r="B827" s="202" t="s">
        <v>1</v>
      </c>
      <c r="C827" s="170">
        <v>1386492</v>
      </c>
      <c r="D827" s="170">
        <v>1213538</v>
      </c>
      <c r="E827" s="170">
        <v>1257378</v>
      </c>
      <c r="F827" s="373">
        <v>1440471</v>
      </c>
      <c r="G827" s="170">
        <v>1973026</v>
      </c>
      <c r="H827" s="317"/>
      <c r="I827" s="209" t="s">
        <v>151</v>
      </c>
      <c r="L827" s="209"/>
      <c r="M827" s="209"/>
      <c r="N827" s="209"/>
    </row>
    <row r="828" spans="1:14" ht="16" thickBot="1">
      <c r="A828" s="222" t="s">
        <v>67</v>
      </c>
      <c r="B828" s="158"/>
      <c r="C828" s="171"/>
      <c r="D828" s="171"/>
      <c r="E828" s="171"/>
      <c r="F828" s="374"/>
      <c r="G828" s="171"/>
      <c r="H828" s="171"/>
      <c r="I828" s="209"/>
      <c r="L828" s="209"/>
      <c r="M828" s="209"/>
      <c r="N828" s="209"/>
    </row>
    <row r="829" spans="1:14" ht="29" thickBot="1">
      <c r="A829" s="200"/>
      <c r="B829" s="211" t="s">
        <v>11</v>
      </c>
      <c r="C829" s="172">
        <v>1534275</v>
      </c>
      <c r="D829" s="172">
        <v>1420951</v>
      </c>
      <c r="E829" s="172">
        <v>1460953</v>
      </c>
      <c r="F829" s="375">
        <v>1730969</v>
      </c>
      <c r="G829" s="172">
        <v>2085937</v>
      </c>
      <c r="H829" s="318"/>
      <c r="I829" s="209" t="s">
        <v>152</v>
      </c>
      <c r="L829" s="209"/>
      <c r="M829" s="209"/>
      <c r="N829" s="209"/>
    </row>
    <row r="830" spans="1:14" ht="16" thickBot="1">
      <c r="A830" s="200"/>
      <c r="B830" s="208" t="s">
        <v>2</v>
      </c>
      <c r="C830" s="172">
        <v>598015</v>
      </c>
      <c r="D830" s="172">
        <v>839594</v>
      </c>
      <c r="E830" s="172">
        <v>612645</v>
      </c>
      <c r="F830" s="375">
        <v>475868</v>
      </c>
      <c r="G830" s="172">
        <v>628405</v>
      </c>
      <c r="H830" s="318"/>
      <c r="I830" s="209"/>
      <c r="L830" s="209"/>
      <c r="M830" s="209"/>
      <c r="N830" s="209"/>
    </row>
    <row r="831" spans="1:14" ht="16" thickBot="1">
      <c r="A831" s="200"/>
      <c r="B831" s="208" t="s">
        <v>3</v>
      </c>
      <c r="C831" s="172">
        <v>393934</v>
      </c>
      <c r="D831" s="172">
        <v>351462</v>
      </c>
      <c r="E831" s="172">
        <v>401192</v>
      </c>
      <c r="F831" s="375">
        <v>388910</v>
      </c>
      <c r="G831" s="172">
        <v>465296</v>
      </c>
      <c r="H831" s="318"/>
      <c r="I831" s="209"/>
      <c r="L831" s="209"/>
      <c r="M831" s="209"/>
      <c r="N831" s="209"/>
    </row>
    <row r="832" spans="1:14" ht="16" thickBot="1">
      <c r="A832" s="200"/>
      <c r="B832" s="206" t="s">
        <v>8</v>
      </c>
      <c r="C832" s="207">
        <f>SUM(C830:C831)</f>
        <v>991949</v>
      </c>
      <c r="D832" s="207">
        <f>SUM(D830:D831)</f>
        <v>1191056</v>
      </c>
      <c r="E832" s="207">
        <f>SUM(E830:E831)</f>
        <v>1013837</v>
      </c>
      <c r="F832" s="344">
        <f>SUM(F830:F831)</f>
        <v>864778</v>
      </c>
      <c r="G832" s="207">
        <f>SUM(G830:G831)</f>
        <v>1093701</v>
      </c>
      <c r="H832" s="207"/>
      <c r="I832" s="209" t="s">
        <v>153</v>
      </c>
      <c r="L832" s="209"/>
      <c r="M832" s="209"/>
      <c r="N832" s="209"/>
    </row>
    <row r="833" spans="1:14" ht="16" thickBot="1">
      <c r="A833" s="200"/>
      <c r="B833" s="210" t="s">
        <v>12</v>
      </c>
      <c r="C833" s="172">
        <v>-31937</v>
      </c>
      <c r="D833" s="172">
        <v>34814</v>
      </c>
      <c r="E833" s="172">
        <v>-160125</v>
      </c>
      <c r="F833" s="375">
        <v>-117241</v>
      </c>
      <c r="G833" s="172">
        <v>-12763</v>
      </c>
      <c r="H833" s="318"/>
      <c r="I833" s="209" t="s">
        <v>154</v>
      </c>
      <c r="L833" s="209"/>
      <c r="M833" s="209"/>
      <c r="N833" s="209"/>
    </row>
    <row r="834" spans="1:14" ht="28">
      <c r="A834" s="200"/>
      <c r="B834" s="208" t="s">
        <v>13</v>
      </c>
      <c r="C834" s="215" t="s">
        <v>156</v>
      </c>
      <c r="D834" s="213" t="s">
        <v>156</v>
      </c>
      <c r="E834" s="213" t="s">
        <v>156</v>
      </c>
      <c r="F834" s="365" t="s">
        <v>156</v>
      </c>
      <c r="G834" s="213" t="s">
        <v>156</v>
      </c>
      <c r="H834" s="22"/>
      <c r="I834" s="209"/>
      <c r="L834" s="209"/>
      <c r="M834" s="209"/>
      <c r="N834" s="209"/>
    </row>
    <row r="835" spans="1:14" ht="28">
      <c r="A835" s="200"/>
      <c r="B835" s="208" t="s">
        <v>14</v>
      </c>
      <c r="C835" s="215" t="s">
        <v>156</v>
      </c>
      <c r="D835" s="213" t="s">
        <v>156</v>
      </c>
      <c r="E835" s="213" t="s">
        <v>156</v>
      </c>
      <c r="F835" s="365" t="s">
        <v>156</v>
      </c>
      <c r="G835" s="213" t="s">
        <v>156</v>
      </c>
      <c r="H835" s="22"/>
      <c r="I835" s="209"/>
      <c r="L835" s="209"/>
      <c r="M835" s="209"/>
      <c r="N835" s="209"/>
    </row>
    <row r="836" spans="1:14" ht="29" thickBot="1">
      <c r="A836" s="200"/>
      <c r="B836" s="208" t="s">
        <v>15</v>
      </c>
      <c r="C836" s="214" t="s">
        <v>156</v>
      </c>
      <c r="D836" s="214" t="s">
        <v>156</v>
      </c>
      <c r="E836" s="214" t="s">
        <v>156</v>
      </c>
      <c r="F836" s="367" t="s">
        <v>156</v>
      </c>
      <c r="G836" s="214" t="s">
        <v>156</v>
      </c>
      <c r="H836" s="9"/>
      <c r="I836" s="209"/>
      <c r="L836" s="209"/>
      <c r="M836" s="209"/>
      <c r="N836" s="209"/>
    </row>
    <row r="837" spans="1:14" ht="16" thickBot="1">
      <c r="A837" s="200"/>
      <c r="B837" s="203" t="s">
        <v>23</v>
      </c>
      <c r="C837" s="172">
        <v>394543</v>
      </c>
      <c r="D837" s="172">
        <v>22483</v>
      </c>
      <c r="E837" s="172">
        <v>243541</v>
      </c>
      <c r="F837" s="375">
        <v>575693</v>
      </c>
      <c r="G837" s="172">
        <v>879326</v>
      </c>
      <c r="H837" s="318"/>
      <c r="I837" s="209" t="s">
        <v>155</v>
      </c>
      <c r="L837" s="209"/>
      <c r="M837" s="209"/>
      <c r="N837" s="209"/>
    </row>
    <row r="838" spans="1:14">
      <c r="A838" s="200"/>
      <c r="B838" s="200"/>
      <c r="C838" s="200"/>
      <c r="D838" s="200"/>
      <c r="E838" s="200"/>
      <c r="F838" s="87"/>
      <c r="G838" s="200"/>
      <c r="H838" s="200"/>
      <c r="I838" s="209"/>
      <c r="L838" s="209"/>
      <c r="M838" s="209"/>
      <c r="N838" s="209"/>
    </row>
    <row r="839" spans="1:14">
      <c r="A839" s="200"/>
      <c r="B839" s="200"/>
      <c r="C839" s="200"/>
      <c r="D839" s="200"/>
      <c r="E839" s="200"/>
      <c r="F839" s="87"/>
      <c r="G839" s="200"/>
      <c r="H839" s="200"/>
      <c r="I839" s="209"/>
      <c r="L839" s="209"/>
      <c r="M839" s="209"/>
      <c r="N839" s="209"/>
    </row>
    <row r="840" spans="1:14">
      <c r="A840" s="217" t="s">
        <v>68</v>
      </c>
      <c r="B840" s="158"/>
      <c r="C840" s="209"/>
      <c r="D840" s="209"/>
      <c r="E840" s="38" t="s">
        <v>71</v>
      </c>
      <c r="F840" s="362" t="s">
        <v>69</v>
      </c>
      <c r="G840" s="38" t="s">
        <v>70</v>
      </c>
      <c r="H840" s="38"/>
      <c r="I840" s="209"/>
      <c r="L840" s="209"/>
      <c r="M840" s="209"/>
      <c r="N840" s="209"/>
    </row>
    <row r="841" spans="1:14">
      <c r="A841" s="200"/>
      <c r="B841" s="142" t="s">
        <v>1</v>
      </c>
      <c r="C841" s="51"/>
      <c r="D841" s="51"/>
      <c r="E841" s="146">
        <v>271148.99660785502</v>
      </c>
      <c r="F841" s="363">
        <v>237221.40957883</v>
      </c>
      <c r="G841" s="216">
        <v>188396.66257818</v>
      </c>
      <c r="H841" s="207"/>
      <c r="I841" s="209"/>
      <c r="L841" s="209"/>
      <c r="M841" s="209"/>
      <c r="N841" s="209"/>
    </row>
    <row r="842" spans="1:14">
      <c r="A842" s="200"/>
      <c r="B842" s="158"/>
      <c r="C842" s="51"/>
      <c r="D842" s="51"/>
      <c r="E842" s="158"/>
      <c r="F842" s="349"/>
      <c r="G842" s="158"/>
      <c r="H842" s="195"/>
      <c r="I842" s="209"/>
      <c r="L842" s="209"/>
      <c r="M842" s="209"/>
      <c r="N842" s="209"/>
    </row>
    <row r="843" spans="1:14" ht="28">
      <c r="A843" s="200"/>
      <c r="B843" s="143" t="s">
        <v>11</v>
      </c>
      <c r="C843" s="51">
        <v>0</v>
      </c>
      <c r="D843" s="51">
        <v>0</v>
      </c>
      <c r="E843" s="147">
        <v>232907.02806295501</v>
      </c>
      <c r="F843" s="364">
        <v>212584.052230537</v>
      </c>
      <c r="G843" s="212">
        <v>171235.09758393501</v>
      </c>
      <c r="H843" s="203"/>
      <c r="I843" s="209"/>
      <c r="L843" s="209"/>
      <c r="M843" s="209"/>
      <c r="N843" s="209"/>
    </row>
    <row r="844" spans="1:14">
      <c r="A844" s="200"/>
      <c r="B844" s="144" t="s">
        <v>2</v>
      </c>
      <c r="C844" s="51"/>
      <c r="D844" s="51"/>
      <c r="E844" s="147">
        <v>51820.1628061831</v>
      </c>
      <c r="F844" s="364">
        <v>55499.657677553601</v>
      </c>
      <c r="G844" s="212">
        <v>65119.102329239198</v>
      </c>
      <c r="H844" s="203"/>
      <c r="I844" s="209"/>
      <c r="L844" s="209"/>
      <c r="M844" s="209"/>
      <c r="N844" s="209"/>
    </row>
    <row r="845" spans="1:14">
      <c r="A845" s="200"/>
      <c r="B845" s="144" t="s">
        <v>3</v>
      </c>
      <c r="C845" s="51"/>
      <c r="D845" s="51"/>
      <c r="E845" s="147">
        <v>69180.185810491399</v>
      </c>
      <c r="F845" s="364">
        <v>61349.202029570901</v>
      </c>
      <c r="G845" s="212">
        <v>60778.941230341799</v>
      </c>
      <c r="H845" s="203"/>
      <c r="I845" s="209"/>
      <c r="L845" s="209"/>
      <c r="M845" s="209"/>
      <c r="N845" s="209"/>
    </row>
    <row r="846" spans="1:14">
      <c r="A846" s="200"/>
      <c r="B846" s="206" t="s">
        <v>8</v>
      </c>
      <c r="C846" s="51">
        <v>0</v>
      </c>
      <c r="D846" s="51">
        <v>0</v>
      </c>
      <c r="E846" s="207">
        <f t="shared" ref="E846:G846" si="321">SUM(E844:E845)</f>
        <v>121000.3486166745</v>
      </c>
      <c r="F846" s="344">
        <f t="shared" si="321"/>
        <v>116848.8597071245</v>
      </c>
      <c r="G846" s="207">
        <f t="shared" si="321"/>
        <v>125898.043559581</v>
      </c>
      <c r="H846" s="207"/>
      <c r="I846" s="209"/>
      <c r="L846" s="209"/>
      <c r="M846" s="209"/>
      <c r="N846" s="209"/>
    </row>
    <row r="847" spans="1:14">
      <c r="A847" s="200"/>
      <c r="B847" s="145" t="s">
        <v>12</v>
      </c>
      <c r="C847" s="51">
        <v>0</v>
      </c>
      <c r="D847" s="51">
        <v>0</v>
      </c>
      <c r="E847" s="147">
        <v>22942.203401342002</v>
      </c>
      <c r="F847" s="364">
        <v>17708.769728474301</v>
      </c>
      <c r="G847" s="212">
        <v>6141.7721436619804</v>
      </c>
      <c r="H847" s="203"/>
      <c r="I847" s="209"/>
      <c r="L847" s="209"/>
      <c r="M847" s="209"/>
      <c r="N847" s="209"/>
    </row>
    <row r="848" spans="1:14" ht="28">
      <c r="A848" s="200"/>
      <c r="B848" s="144" t="s">
        <v>13</v>
      </c>
      <c r="C848" s="51"/>
      <c r="D848" s="51"/>
      <c r="E848" s="223">
        <v>15.28</v>
      </c>
      <c r="F848" s="376">
        <v>14.71</v>
      </c>
      <c r="G848" s="223">
        <v>9.83</v>
      </c>
      <c r="H848" s="319"/>
      <c r="I848" s="209"/>
      <c r="L848" s="209"/>
      <c r="M848" s="209"/>
      <c r="N848" s="209"/>
    </row>
    <row r="849" spans="1:14" ht="28">
      <c r="A849" s="200"/>
      <c r="B849" s="144" t="s">
        <v>14</v>
      </c>
      <c r="C849" s="51"/>
      <c r="D849" s="51"/>
      <c r="E849" s="148">
        <v>8.4610000000000003</v>
      </c>
      <c r="F849" s="365">
        <v>7.4649999999999999</v>
      </c>
      <c r="G849" s="213">
        <v>3.26</v>
      </c>
      <c r="H849" s="22"/>
      <c r="I849" s="209"/>
      <c r="L849" s="209"/>
      <c r="M849" s="209"/>
      <c r="N849" s="209"/>
    </row>
    <row r="850" spans="1:14" ht="28">
      <c r="A850" s="200"/>
      <c r="B850" s="144" t="s">
        <v>15</v>
      </c>
      <c r="C850" s="51"/>
      <c r="D850" s="51"/>
      <c r="E850" s="224">
        <v>21173</v>
      </c>
      <c r="F850" s="377" t="s">
        <v>22</v>
      </c>
      <c r="G850" s="224">
        <v>24462</v>
      </c>
      <c r="H850" s="320"/>
      <c r="I850" s="209"/>
      <c r="L850" s="209"/>
      <c r="M850" s="209"/>
      <c r="N850" s="209"/>
    </row>
    <row r="851" spans="1:14">
      <c r="A851" s="200"/>
      <c r="B851" s="203" t="s">
        <v>23</v>
      </c>
      <c r="C851" s="51">
        <v>0</v>
      </c>
      <c r="D851" s="51">
        <v>0</v>
      </c>
      <c r="E851" s="147">
        <v>150148.64799118001</v>
      </c>
      <c r="F851" s="364">
        <v>120372.54987170501</v>
      </c>
      <c r="G851" s="212">
        <v>62498.619018599398</v>
      </c>
      <c r="H851" s="203"/>
      <c r="I851" s="209"/>
      <c r="L851" s="209"/>
      <c r="M851" s="209"/>
      <c r="N851" s="209"/>
    </row>
    <row r="852" spans="1:14">
      <c r="I852" s="209"/>
      <c r="L852" s="209"/>
      <c r="M852" s="209"/>
      <c r="N852" s="209"/>
    </row>
    <row r="853" spans="1:14">
      <c r="I853" s="209"/>
      <c r="L853" s="209"/>
      <c r="M853" s="209"/>
      <c r="N853" s="209"/>
    </row>
    <row r="854" spans="1:14">
      <c r="A854" s="200"/>
      <c r="B854" s="623"/>
      <c r="C854" s="628">
        <v>2021</v>
      </c>
      <c r="D854" s="219" t="s">
        <v>159</v>
      </c>
      <c r="E854" s="219" t="s">
        <v>160</v>
      </c>
      <c r="F854" s="362" t="s">
        <v>161</v>
      </c>
      <c r="G854" s="219" t="s">
        <v>162</v>
      </c>
      <c r="H854" s="219"/>
      <c r="I854" s="209"/>
      <c r="L854" s="209"/>
      <c r="M854" s="209"/>
      <c r="N854" s="209"/>
    </row>
    <row r="855" spans="1:14">
      <c r="A855" s="204" t="s">
        <v>188</v>
      </c>
      <c r="B855" s="142" t="s">
        <v>246</v>
      </c>
      <c r="C855" s="629">
        <v>8090126</v>
      </c>
      <c r="D855" s="629">
        <v>7748212</v>
      </c>
      <c r="E855" s="629">
        <v>7435673</v>
      </c>
      <c r="F855" s="204">
        <v>2287843</v>
      </c>
      <c r="G855" s="204">
        <v>2267431</v>
      </c>
      <c r="H855" s="321"/>
      <c r="I855" s="209"/>
      <c r="L855" s="209"/>
      <c r="M855" s="209"/>
      <c r="N855" s="209"/>
    </row>
    <row r="856" spans="1:14">
      <c r="A856" s="236">
        <v>1</v>
      </c>
      <c r="B856" s="623"/>
      <c r="C856" s="630"/>
      <c r="D856" s="623"/>
      <c r="E856" s="623"/>
      <c r="F856" s="349"/>
      <c r="G856" s="623"/>
      <c r="H856" s="201"/>
      <c r="I856" s="209"/>
      <c r="L856" s="209"/>
      <c r="M856" s="209"/>
      <c r="N856" s="209"/>
    </row>
    <row r="857" spans="1:14" ht="28">
      <c r="A857" s="200"/>
      <c r="B857" s="143" t="s">
        <v>247</v>
      </c>
      <c r="C857" s="629">
        <v>4317868</v>
      </c>
      <c r="D857" s="629">
        <v>3481709</v>
      </c>
      <c r="E857" s="629">
        <v>3169006</v>
      </c>
      <c r="F857" s="379">
        <v>3166088</v>
      </c>
      <c r="G857" s="570">
        <v>3078859</v>
      </c>
      <c r="H857" s="281"/>
      <c r="I857" s="209"/>
      <c r="L857" s="209"/>
      <c r="M857" s="209"/>
      <c r="N857" s="209"/>
    </row>
    <row r="858" spans="1:14">
      <c r="A858" s="200"/>
      <c r="B858" s="144" t="s">
        <v>248</v>
      </c>
      <c r="C858" s="629">
        <v>2988622</v>
      </c>
      <c r="D858" s="629">
        <v>3474610</v>
      </c>
      <c r="E858" s="629">
        <v>3471307</v>
      </c>
      <c r="F858" s="204">
        <v>510545</v>
      </c>
      <c r="G858" s="204">
        <v>511360</v>
      </c>
      <c r="H858" s="281"/>
      <c r="I858" s="209"/>
      <c r="L858" s="209"/>
      <c r="M858" s="209"/>
      <c r="N858" s="209"/>
    </row>
    <row r="859" spans="1:14">
      <c r="A859" s="200"/>
      <c r="B859" s="144" t="s">
        <v>249</v>
      </c>
      <c r="C859" s="630"/>
      <c r="D859" s="275"/>
      <c r="E859" s="570"/>
      <c r="F859" s="379"/>
      <c r="G859" s="570"/>
      <c r="H859" s="281"/>
      <c r="I859" s="209"/>
      <c r="L859" s="209"/>
      <c r="M859" s="209"/>
      <c r="N859" s="209"/>
    </row>
    <row r="860" spans="1:14">
      <c r="A860" s="200"/>
      <c r="B860" s="206" t="s">
        <v>250</v>
      </c>
      <c r="C860" s="629">
        <v>5007156</v>
      </c>
      <c r="D860" s="629">
        <v>4178702</v>
      </c>
      <c r="E860" s="629">
        <v>3984457</v>
      </c>
      <c r="F860" s="204">
        <v>1133785</v>
      </c>
      <c r="G860" s="204">
        <v>1195551</v>
      </c>
      <c r="H860" s="207"/>
      <c r="I860" s="209"/>
      <c r="L860" s="209"/>
      <c r="M860" s="209"/>
      <c r="N860" s="209"/>
    </row>
    <row r="861" spans="1:14">
      <c r="A861" s="200"/>
      <c r="B861" s="145" t="s">
        <v>251</v>
      </c>
      <c r="C861" s="629">
        <v>272097</v>
      </c>
      <c r="D861" s="629">
        <v>139432</v>
      </c>
      <c r="E861" s="629">
        <v>151027</v>
      </c>
      <c r="F861" s="204">
        <v>333058</v>
      </c>
      <c r="G861" s="204">
        <v>332601</v>
      </c>
      <c r="H861" s="203"/>
      <c r="I861" s="209"/>
      <c r="L861" s="209"/>
      <c r="M861" s="209"/>
      <c r="N861" s="209"/>
    </row>
    <row r="862" spans="1:14">
      <c r="A862" s="200"/>
      <c r="B862" s="144" t="s">
        <v>252</v>
      </c>
      <c r="C862" s="630"/>
      <c r="D862" s="148"/>
      <c r="E862" s="213"/>
      <c r="F862" s="365"/>
      <c r="G862" s="213"/>
      <c r="H862" s="22"/>
      <c r="I862" s="209"/>
      <c r="L862" s="209"/>
      <c r="M862" s="209"/>
      <c r="N862" s="209"/>
    </row>
    <row r="863" spans="1:14">
      <c r="A863" s="200"/>
      <c r="B863" s="144" t="s">
        <v>253</v>
      </c>
      <c r="C863" s="630"/>
      <c r="D863" s="148"/>
      <c r="E863" s="213"/>
      <c r="F863" s="365"/>
      <c r="G863" s="213"/>
      <c r="H863" s="22"/>
      <c r="I863" s="209"/>
      <c r="L863" s="209"/>
      <c r="M863" s="209"/>
      <c r="N863" s="209"/>
    </row>
    <row r="864" spans="1:14" ht="28">
      <c r="A864" s="200"/>
      <c r="B864" s="144" t="s">
        <v>254</v>
      </c>
      <c r="C864" s="630"/>
      <c r="D864" s="152"/>
      <c r="E864" s="214"/>
      <c r="F864" s="367"/>
      <c r="G864" s="214"/>
      <c r="H864" s="9"/>
      <c r="I864" s="209"/>
      <c r="L864" s="209"/>
      <c r="M864" s="209"/>
      <c r="N864" s="209"/>
    </row>
    <row r="865" spans="1:14">
      <c r="A865" s="200"/>
      <c r="B865" s="203" t="s">
        <v>255</v>
      </c>
      <c r="C865" s="629">
        <v>3082970</v>
      </c>
      <c r="D865" s="629">
        <v>3569510</v>
      </c>
      <c r="E865" s="629">
        <v>3451215</v>
      </c>
      <c r="F865" s="204">
        <v>1154059</v>
      </c>
      <c r="G865" s="204">
        <v>1071880</v>
      </c>
      <c r="H865" s="203"/>
      <c r="I865" s="209"/>
      <c r="L865" s="209"/>
      <c r="M865" s="209"/>
      <c r="N865" s="209"/>
    </row>
    <row r="866" spans="1:14">
      <c r="A866" s="200"/>
      <c r="I866" s="209"/>
      <c r="L866" s="209"/>
      <c r="M866" s="209"/>
      <c r="N866" s="209"/>
    </row>
    <row r="867" spans="1:14">
      <c r="A867" s="200"/>
      <c r="I867" s="209"/>
      <c r="L867" s="209"/>
      <c r="M867" s="209"/>
      <c r="N867" s="209"/>
    </row>
    <row r="868" spans="1:14">
      <c r="A868" s="200"/>
      <c r="B868" s="200"/>
      <c r="C868" s="200"/>
      <c r="D868" s="200"/>
      <c r="E868" s="200"/>
      <c r="F868" s="87"/>
      <c r="G868" s="200"/>
      <c r="H868" s="200"/>
      <c r="I868" s="209"/>
      <c r="L868" s="209"/>
      <c r="M868" s="209"/>
      <c r="N868" s="209"/>
    </row>
    <row r="869" spans="1:14">
      <c r="A869" s="200"/>
      <c r="B869" s="201"/>
      <c r="C869" s="201" t="s">
        <v>163</v>
      </c>
      <c r="D869" s="201" t="s">
        <v>159</v>
      </c>
      <c r="E869" s="219" t="s">
        <v>160</v>
      </c>
      <c r="F869" s="362" t="s">
        <v>164</v>
      </c>
      <c r="G869" s="219" t="s">
        <v>162</v>
      </c>
      <c r="H869" s="219"/>
      <c r="I869" s="209"/>
      <c r="L869" s="209"/>
      <c r="M869" s="209"/>
      <c r="N869" s="209"/>
    </row>
    <row r="870" spans="1:14">
      <c r="A870" s="200" t="s">
        <v>189</v>
      </c>
      <c r="B870" s="202" t="s">
        <v>1</v>
      </c>
      <c r="C870" s="216">
        <v>6635912.03625526</v>
      </c>
      <c r="D870" s="216">
        <v>6565456.1046869503</v>
      </c>
      <c r="E870" s="216">
        <v>5587974.53725091</v>
      </c>
      <c r="F870" s="363">
        <v>6662690.4398563504</v>
      </c>
      <c r="G870" s="216">
        <v>6277076.0324651496</v>
      </c>
      <c r="H870" s="207"/>
      <c r="I870" s="209"/>
      <c r="L870" s="209"/>
      <c r="M870" s="209"/>
      <c r="N870" s="209"/>
    </row>
    <row r="871" spans="1:14">
      <c r="A871" s="236">
        <v>1</v>
      </c>
      <c r="B871" s="201"/>
      <c r="C871" s="201"/>
      <c r="D871" s="201"/>
      <c r="E871" s="201"/>
      <c r="F871" s="349"/>
      <c r="G871" s="201"/>
      <c r="H871" s="201"/>
      <c r="I871" s="209"/>
      <c r="L871" s="209"/>
      <c r="M871" s="209"/>
      <c r="N871" s="209"/>
    </row>
    <row r="872" spans="1:14" ht="28">
      <c r="A872" s="200"/>
      <c r="B872" s="211" t="s">
        <v>11</v>
      </c>
      <c r="C872" s="212">
        <v>78454.759438030407</v>
      </c>
      <c r="D872" s="212">
        <v>84950.759851783499</v>
      </c>
      <c r="E872" s="212">
        <v>118767.99408146</v>
      </c>
      <c r="F872" s="364">
        <v>117525.31629808201</v>
      </c>
      <c r="G872" s="212">
        <v>120860.049252354</v>
      </c>
      <c r="H872" s="203"/>
      <c r="I872" s="209"/>
      <c r="L872" s="209"/>
      <c r="M872" s="209"/>
      <c r="N872" s="209"/>
    </row>
    <row r="873" spans="1:14">
      <c r="A873" s="200"/>
      <c r="B873" s="208" t="s">
        <v>165</v>
      </c>
      <c r="C873" s="212">
        <v>504500.21089515102</v>
      </c>
      <c r="D873" s="212">
        <v>489950.74953198398</v>
      </c>
      <c r="E873" s="212">
        <v>406848.17300840502</v>
      </c>
      <c r="F873" s="364">
        <v>504535.67251093697</v>
      </c>
      <c r="G873" s="212">
        <v>474984.41134495998</v>
      </c>
      <c r="H873" s="203"/>
      <c r="I873" s="209"/>
      <c r="L873" s="209"/>
      <c r="M873" s="209"/>
      <c r="N873" s="209"/>
    </row>
    <row r="874" spans="1:14">
      <c r="A874" s="222" t="s">
        <v>190</v>
      </c>
      <c r="B874" s="208" t="s">
        <v>166</v>
      </c>
      <c r="C874" s="216">
        <v>6635912.03625526</v>
      </c>
      <c r="D874" s="216">
        <v>6565456.1046869503</v>
      </c>
      <c r="E874" s="216">
        <v>5587974.53725091</v>
      </c>
      <c r="F874" s="363">
        <v>6662690.4398563504</v>
      </c>
      <c r="G874" s="216">
        <v>6277076.0324651496</v>
      </c>
      <c r="H874" s="207"/>
      <c r="I874" s="209"/>
      <c r="L874" s="209"/>
      <c r="M874" s="209"/>
      <c r="N874" s="209"/>
    </row>
    <row r="875" spans="1:14">
      <c r="A875" s="200"/>
      <c r="B875" s="206" t="s">
        <v>8</v>
      </c>
      <c r="C875" s="207">
        <v>6131411.8253601091</v>
      </c>
      <c r="D875" s="207">
        <v>6075505.355154966</v>
      </c>
      <c r="E875" s="207">
        <v>5181126.3642425053</v>
      </c>
      <c r="F875" s="344">
        <v>6158154.7673454136</v>
      </c>
      <c r="G875" s="207">
        <v>5802091.6211201893</v>
      </c>
      <c r="H875" s="207"/>
      <c r="I875" s="209"/>
      <c r="L875" s="209"/>
      <c r="M875" s="209"/>
      <c r="N875" s="209"/>
    </row>
    <row r="876" spans="1:14">
      <c r="A876" s="200"/>
      <c r="B876" s="210" t="s">
        <v>12</v>
      </c>
      <c r="C876" s="212">
        <v>30935.033040963099</v>
      </c>
      <c r="D876" s="212">
        <v>25912.895002082001</v>
      </c>
      <c r="E876" s="212">
        <v>27130.068025842302</v>
      </c>
      <c r="F876" s="364">
        <v>38535.903285488501</v>
      </c>
      <c r="G876" s="212">
        <v>55920.463096000298</v>
      </c>
      <c r="H876" s="203"/>
      <c r="I876" s="209"/>
      <c r="L876" s="209"/>
      <c r="M876" s="209"/>
      <c r="N876" s="209"/>
    </row>
    <row r="877" spans="1:14" ht="28">
      <c r="A877" s="200"/>
      <c r="B877" s="208" t="s">
        <v>13</v>
      </c>
      <c r="C877" s="213">
        <v>6.3239746287280001</v>
      </c>
      <c r="D877" s="213">
        <v>5.7031452483400003</v>
      </c>
      <c r="E877" s="213">
        <v>5.9875760097789996</v>
      </c>
      <c r="F877" s="365">
        <v>8.0848745605550008</v>
      </c>
      <c r="G877" s="213">
        <v>12.998374307835</v>
      </c>
      <c r="H877" s="22"/>
      <c r="I877" s="209"/>
      <c r="L877" s="209"/>
      <c r="M877" s="209"/>
      <c r="N877" s="209"/>
    </row>
    <row r="878" spans="1:14" ht="28">
      <c r="A878" s="200"/>
      <c r="B878" s="208" t="s">
        <v>14</v>
      </c>
      <c r="C878" s="213">
        <v>0.47645512234100001</v>
      </c>
      <c r="D878" s="213">
        <v>0.42075934558299999</v>
      </c>
      <c r="E878" s="213">
        <v>0.44539890480099997</v>
      </c>
      <c r="F878" s="365">
        <v>0.61201875760699997</v>
      </c>
      <c r="G878" s="213">
        <v>0.95386933032999999</v>
      </c>
      <c r="H878" s="22"/>
      <c r="I878" s="209"/>
      <c r="L878" s="209"/>
      <c r="M878" s="209"/>
      <c r="N878" s="209"/>
    </row>
    <row r="879" spans="1:14" ht="28">
      <c r="A879" s="200"/>
      <c r="B879" s="208" t="s">
        <v>15</v>
      </c>
      <c r="C879" s="155"/>
      <c r="D879" s="155"/>
      <c r="E879" s="155"/>
      <c r="F879" s="380"/>
      <c r="G879" s="155"/>
      <c r="H879" s="322"/>
      <c r="I879" s="209"/>
      <c r="L879" s="209"/>
      <c r="M879" s="209"/>
      <c r="N879" s="209"/>
    </row>
    <row r="880" spans="1:14">
      <c r="A880" s="200"/>
      <c r="B880" s="203" t="s">
        <v>23</v>
      </c>
      <c r="C880" s="212">
        <v>504500.21089515102</v>
      </c>
      <c r="D880" s="212">
        <v>489950.74953198398</v>
      </c>
      <c r="E880" s="212">
        <v>406848.17300840502</v>
      </c>
      <c r="F880" s="364">
        <v>504535.67251093697</v>
      </c>
      <c r="G880" s="212">
        <v>474984.41134495998</v>
      </c>
      <c r="H880" s="203"/>
      <c r="I880" s="209"/>
      <c r="L880" s="209"/>
      <c r="M880" s="209"/>
      <c r="N880" s="209"/>
    </row>
    <row r="881" spans="1:14">
      <c r="A881" s="200"/>
      <c r="I881" s="209"/>
      <c r="L881" s="209"/>
      <c r="M881" s="209"/>
      <c r="N881" s="209"/>
    </row>
    <row r="882" spans="1:14">
      <c r="A882" s="200"/>
      <c r="I882" s="209"/>
      <c r="L882" s="209"/>
      <c r="M882" s="209"/>
      <c r="N882" s="209"/>
    </row>
    <row r="883" spans="1:14">
      <c r="I883" s="209"/>
      <c r="L883" s="209"/>
      <c r="M883" s="209"/>
      <c r="N883" s="209"/>
    </row>
    <row r="884" spans="1:14">
      <c r="A884" s="200"/>
      <c r="B884" s="201"/>
      <c r="C884" s="201">
        <v>2015</v>
      </c>
      <c r="D884" s="219" t="s">
        <v>167</v>
      </c>
      <c r="E884" s="219" t="s">
        <v>168</v>
      </c>
      <c r="F884" s="362" t="s">
        <v>169</v>
      </c>
      <c r="G884" s="219" t="s">
        <v>170</v>
      </c>
      <c r="H884" s="219"/>
      <c r="I884" s="209"/>
      <c r="L884" s="209"/>
      <c r="M884" s="209"/>
      <c r="N884" s="209"/>
    </row>
    <row r="885" spans="1:14">
      <c r="A885" s="200"/>
      <c r="B885" s="202" t="s">
        <v>1</v>
      </c>
      <c r="C885" s="270">
        <f>391444239.744998/1000</f>
        <v>391444.23974499799</v>
      </c>
      <c r="D885" s="270">
        <f>453454432.857037/1000</f>
        <v>453454.432857037</v>
      </c>
      <c r="E885" s="270">
        <f>455240898.454537/1000</f>
        <v>455240.89845453697</v>
      </c>
      <c r="F885" s="378">
        <f>379195546.472657/1000</f>
        <v>379195.54647265701</v>
      </c>
      <c r="G885" s="270">
        <f>308724543.093225/1000</f>
        <v>308724.54309322499</v>
      </c>
      <c r="H885" s="321"/>
      <c r="I885" s="209"/>
      <c r="L885" s="209"/>
      <c r="M885" s="209"/>
      <c r="N885" s="209"/>
    </row>
    <row r="886" spans="1:14">
      <c r="A886" s="204" t="s">
        <v>191</v>
      </c>
      <c r="B886" s="201"/>
      <c r="C886" s="201"/>
      <c r="D886" s="201"/>
      <c r="E886" s="201"/>
      <c r="F886" s="349"/>
      <c r="G886" s="201"/>
      <c r="H886" s="201"/>
      <c r="I886" s="209"/>
      <c r="L886" s="209"/>
      <c r="M886" s="209"/>
      <c r="N886" s="209"/>
    </row>
    <row r="887" spans="1:14" ht="28">
      <c r="A887" s="222" t="s">
        <v>192</v>
      </c>
      <c r="B887" s="211" t="s">
        <v>11</v>
      </c>
      <c r="C887" s="271">
        <f>7681866.77590084/1000</f>
        <v>7681.8667759008395</v>
      </c>
      <c r="D887" s="271">
        <f>4172863.71713912/1000</f>
        <v>4172.8637171391201</v>
      </c>
      <c r="E887" s="271">
        <f>4413119.859229/1000</f>
        <v>4413.1198592290002</v>
      </c>
      <c r="F887" s="379">
        <f>4485959.77787554/1000</f>
        <v>4485.9597778755397</v>
      </c>
      <c r="G887" s="271">
        <f>4011090.1006414/1000</f>
        <v>4011.0901006414001</v>
      </c>
      <c r="H887" s="281"/>
      <c r="I887" s="209"/>
      <c r="L887" s="209"/>
      <c r="M887" s="209"/>
      <c r="N887" s="209"/>
    </row>
    <row r="888" spans="1:14">
      <c r="A888" s="236">
        <v>1</v>
      </c>
      <c r="B888" s="208" t="s">
        <v>2</v>
      </c>
      <c r="C888" s="271">
        <f>31300123.1618269/1000</f>
        <v>31300.123161826901</v>
      </c>
      <c r="D888" s="271">
        <f>35669061.5240654/1000</f>
        <v>35669.061524065401</v>
      </c>
      <c r="E888" s="271">
        <f>41510908.9791211/1000</f>
        <v>41510.908979121094</v>
      </c>
      <c r="F888" s="379">
        <f>42616618.4284173/1000</f>
        <v>42616.6184284173</v>
      </c>
      <c r="G888" s="271">
        <f>24713490.1784847/1000</f>
        <v>24713.490178484699</v>
      </c>
      <c r="H888" s="281"/>
      <c r="I888" s="209"/>
      <c r="L888" s="209"/>
      <c r="M888" s="209"/>
      <c r="N888" s="209"/>
    </row>
    <row r="889" spans="1:14">
      <c r="A889" s="200"/>
      <c r="B889" s="208" t="s">
        <v>3</v>
      </c>
      <c r="C889" s="271">
        <f>256510769.476735/1000</f>
        <v>256510.769476735</v>
      </c>
      <c r="D889" s="271">
        <f>299655811.151023/1000</f>
        <v>299655.81115102296</v>
      </c>
      <c r="E889" s="271">
        <f>253754393.632641/1000</f>
        <v>253754.39363264097</v>
      </c>
      <c r="F889" s="379">
        <f>176535713.740532/1000</f>
        <v>176535.71374053202</v>
      </c>
      <c r="G889" s="271">
        <f>119556361.125672/1000</f>
        <v>119556.361125672</v>
      </c>
      <c r="H889" s="281"/>
      <c r="I889" s="209"/>
      <c r="L889" s="209"/>
      <c r="M889" s="209"/>
      <c r="N889" s="209"/>
    </row>
    <row r="890" spans="1:14">
      <c r="A890" s="200"/>
      <c r="B890" s="206" t="s">
        <v>8</v>
      </c>
      <c r="C890" s="207">
        <f>287810892.638562/1000</f>
        <v>287810.89263856201</v>
      </c>
      <c r="D890" s="207">
        <f>335324872.675088/1000</f>
        <v>335324.872675088</v>
      </c>
      <c r="E890" s="207">
        <f>295265302.611762/1000</f>
        <v>295265.30261176196</v>
      </c>
      <c r="F890" s="344">
        <f>219152332.168949/1000</f>
        <v>219152.33216894901</v>
      </c>
      <c r="G890" s="207">
        <f>144269851.304157/1000</f>
        <v>144269.851304157</v>
      </c>
      <c r="H890" s="207"/>
      <c r="I890" s="209"/>
      <c r="L890" s="209"/>
      <c r="M890" s="209"/>
      <c r="N890" s="209"/>
    </row>
    <row r="891" spans="1:14">
      <c r="A891" s="200"/>
      <c r="B891" s="210" t="s">
        <v>12</v>
      </c>
      <c r="C891" s="271">
        <f>-2131674.52066545/1000</f>
        <v>-2131.67452066545</v>
      </c>
      <c r="D891" s="271">
        <f>-22791096.4665713/1000</f>
        <v>-22791.0964665713</v>
      </c>
      <c r="E891" s="271">
        <f>-6619679.87108034/1000</f>
        <v>-6619.6798710803396</v>
      </c>
      <c r="F891" s="379">
        <f>-7256699.80965346/1000</f>
        <v>-7256.6998096534599</v>
      </c>
      <c r="G891" s="271">
        <f>3493530.00687562/1000</f>
        <v>3493.5300068756201</v>
      </c>
      <c r="H891" s="281"/>
      <c r="I891" s="209"/>
      <c r="L891" s="209"/>
      <c r="M891" s="209"/>
      <c r="N891" s="209"/>
    </row>
    <row r="892" spans="1:14" ht="28">
      <c r="A892" s="200"/>
      <c r="B892" s="208" t="s">
        <v>13</v>
      </c>
      <c r="C892" s="272">
        <v>-2.0569999999999999</v>
      </c>
      <c r="D892" s="272">
        <v>-19.292999999999999</v>
      </c>
      <c r="E892" s="272">
        <v>-4.1379999999999999</v>
      </c>
      <c r="F892" s="381">
        <v>-4.5380000000000003</v>
      </c>
      <c r="G892" s="272">
        <v>2.1240000000000001</v>
      </c>
      <c r="H892" s="323"/>
      <c r="I892" s="209"/>
      <c r="L892" s="209"/>
      <c r="M892" s="209"/>
      <c r="N892" s="209"/>
    </row>
    <row r="893" spans="1:14" ht="28">
      <c r="A893" s="200"/>
      <c r="B893" s="208" t="s">
        <v>14</v>
      </c>
      <c r="C893" s="272">
        <v>-0.54500000000000004</v>
      </c>
      <c r="D893" s="272">
        <v>-5.0259999999999998</v>
      </c>
      <c r="E893" s="272">
        <v>-1.454</v>
      </c>
      <c r="F893" s="381">
        <v>-1.9139999999999999</v>
      </c>
      <c r="G893" s="272">
        <v>1.1319999999999999</v>
      </c>
      <c r="H893" s="323"/>
      <c r="I893" s="209"/>
      <c r="L893" s="209"/>
      <c r="M893" s="209"/>
      <c r="N893" s="209"/>
    </row>
    <row r="894" spans="1:14" ht="28">
      <c r="A894" s="200"/>
      <c r="B894" s="208" t="s">
        <v>15</v>
      </c>
      <c r="C894" s="274">
        <v>548.70476972341805</v>
      </c>
      <c r="D894" s="273" t="s">
        <v>22</v>
      </c>
      <c r="E894" s="273" t="s">
        <v>22</v>
      </c>
      <c r="F894" s="382" t="s">
        <v>22</v>
      </c>
      <c r="G894" s="273" t="s">
        <v>22</v>
      </c>
      <c r="H894" s="324"/>
      <c r="I894" s="209"/>
      <c r="L894" s="209"/>
      <c r="M894" s="209"/>
      <c r="N894" s="209"/>
    </row>
    <row r="895" spans="1:14">
      <c r="A895" s="200"/>
      <c r="B895" s="203" t="s">
        <v>23</v>
      </c>
      <c r="C895" s="271">
        <f>103633346.992929/1000</f>
        <v>103633.346992929</v>
      </c>
      <c r="D895" s="271">
        <f>118129560.047359/1000</f>
        <v>118129.560047359</v>
      </c>
      <c r="E895" s="271">
        <f>159975596.007249/1000</f>
        <v>159975.596007249</v>
      </c>
      <c r="F895" s="379">
        <f>159911274.267997/1000</f>
        <v>159911.27426799701</v>
      </c>
      <c r="G895" s="271">
        <f>164454691.622124/1000</f>
        <v>164454.691622124</v>
      </c>
      <c r="H895" s="281"/>
      <c r="I895" s="209"/>
      <c r="L895" s="209"/>
      <c r="M895" s="209"/>
      <c r="N895" s="209"/>
    </row>
    <row r="896" spans="1:14">
      <c r="A896" s="200"/>
      <c r="I896" s="209"/>
      <c r="L896" s="209"/>
      <c r="M896" s="209"/>
      <c r="N896" s="209"/>
    </row>
    <row r="897" spans="1:17">
      <c r="A897" s="200"/>
      <c r="I897" s="209"/>
      <c r="L897" s="209"/>
      <c r="M897" s="209"/>
      <c r="N897" s="209"/>
    </row>
    <row r="898" spans="1:17">
      <c r="A898" s="200"/>
      <c r="B898" s="200"/>
      <c r="C898" s="200"/>
      <c r="D898" s="200"/>
      <c r="E898" s="200"/>
      <c r="F898" s="87"/>
      <c r="G898" s="200"/>
      <c r="H898" s="200"/>
      <c r="I898" s="209"/>
      <c r="L898" s="209"/>
      <c r="M898" s="209"/>
      <c r="N898" s="209"/>
    </row>
    <row r="899" spans="1:17">
      <c r="A899" s="200"/>
      <c r="B899" s="201"/>
      <c r="C899" s="201">
        <v>2016</v>
      </c>
      <c r="D899" s="219" t="s">
        <v>171</v>
      </c>
      <c r="E899" s="219" t="s">
        <v>172</v>
      </c>
      <c r="F899" s="362" t="s">
        <v>173</v>
      </c>
      <c r="G899" s="219" t="s">
        <v>174</v>
      </c>
      <c r="H899" s="219"/>
      <c r="I899" s="209"/>
      <c r="L899" s="209"/>
      <c r="M899" s="209"/>
      <c r="N899" s="209"/>
    </row>
    <row r="900" spans="1:17">
      <c r="A900" s="204" t="s">
        <v>193</v>
      </c>
      <c r="B900" s="202" t="s">
        <v>1</v>
      </c>
      <c r="C900" s="216">
        <v>1555100</v>
      </c>
      <c r="D900" s="216">
        <v>1753700</v>
      </c>
      <c r="E900" s="216">
        <v>1991600</v>
      </c>
      <c r="F900" s="363">
        <v>2164200</v>
      </c>
      <c r="G900" s="216">
        <v>1719700</v>
      </c>
      <c r="H900" s="207"/>
      <c r="I900" s="209"/>
      <c r="L900" s="209"/>
      <c r="M900" s="209"/>
      <c r="N900" s="209"/>
    </row>
    <row r="901" spans="1:17">
      <c r="A901" s="236">
        <v>0.51</v>
      </c>
      <c r="B901" s="201"/>
      <c r="C901" s="201"/>
      <c r="D901" s="201"/>
      <c r="E901" s="201"/>
      <c r="F901" s="349"/>
      <c r="G901" s="201"/>
      <c r="H901" s="201"/>
      <c r="I901" s="209"/>
      <c r="L901" s="209"/>
      <c r="M901" s="209"/>
      <c r="N901" s="209"/>
    </row>
    <row r="902" spans="1:17" ht="28">
      <c r="A902" s="200"/>
      <c r="B902" s="211" t="s">
        <v>11</v>
      </c>
      <c r="C902" s="212">
        <v>237300</v>
      </c>
      <c r="D902" s="212">
        <v>366800</v>
      </c>
      <c r="E902" s="212">
        <v>321000</v>
      </c>
      <c r="F902" s="364">
        <v>249700</v>
      </c>
      <c r="G902" s="212">
        <v>173400</v>
      </c>
      <c r="H902" s="203"/>
      <c r="I902" s="209"/>
      <c r="L902" s="209"/>
      <c r="M902" s="209"/>
      <c r="N902" s="209"/>
    </row>
    <row r="903" spans="1:17">
      <c r="A903" s="200"/>
      <c r="B903" s="208" t="s">
        <v>2</v>
      </c>
      <c r="C903" s="212">
        <v>801200</v>
      </c>
      <c r="D903" s="212">
        <v>939400</v>
      </c>
      <c r="E903" s="212">
        <v>1188400</v>
      </c>
      <c r="F903" s="364">
        <v>1196200</v>
      </c>
      <c r="G903" s="212">
        <v>790900</v>
      </c>
      <c r="H903" s="203"/>
      <c r="I903" s="209"/>
      <c r="L903" s="209"/>
      <c r="M903" s="209"/>
      <c r="N903" s="209"/>
    </row>
    <row r="904" spans="1:17">
      <c r="A904" s="200"/>
      <c r="B904" s="208" t="s">
        <v>3</v>
      </c>
      <c r="C904" s="212">
        <v>441000</v>
      </c>
      <c r="D904" s="212">
        <v>408400</v>
      </c>
      <c r="E904" s="212">
        <v>245500</v>
      </c>
      <c r="F904" s="364">
        <v>284300</v>
      </c>
      <c r="G904" s="212">
        <v>266400</v>
      </c>
      <c r="H904" s="203"/>
      <c r="I904" s="209"/>
      <c r="L904" s="209"/>
      <c r="M904" s="209"/>
      <c r="N904" s="209"/>
    </row>
    <row r="905" spans="1:17">
      <c r="A905" s="200"/>
      <c r="B905" s="206" t="s">
        <v>8</v>
      </c>
      <c r="C905" s="207">
        <v>1242200</v>
      </c>
      <c r="D905" s="207">
        <v>1347800</v>
      </c>
      <c r="E905" s="207">
        <v>1433900</v>
      </c>
      <c r="F905" s="344">
        <v>1480500</v>
      </c>
      <c r="G905" s="207">
        <v>1057300</v>
      </c>
      <c r="H905" s="207"/>
      <c r="I905" s="209"/>
      <c r="L905" s="209"/>
      <c r="M905" s="209"/>
      <c r="N905" s="209"/>
    </row>
    <row r="906" spans="1:17">
      <c r="A906" s="200"/>
      <c r="B906" s="210" t="s">
        <v>12</v>
      </c>
      <c r="C906" s="212">
        <v>-85600</v>
      </c>
      <c r="D906" s="212">
        <v>-150900</v>
      </c>
      <c r="E906" s="212">
        <v>-118500</v>
      </c>
      <c r="F906" s="364">
        <v>-103700</v>
      </c>
      <c r="G906" s="212">
        <v>-31000</v>
      </c>
      <c r="H906" s="203"/>
      <c r="I906" s="209"/>
      <c r="L906" s="209"/>
      <c r="M906" s="209"/>
      <c r="N906" s="209"/>
    </row>
    <row r="907" spans="1:17" ht="28">
      <c r="A907" s="200"/>
      <c r="B907" s="208" t="s">
        <v>13</v>
      </c>
      <c r="C907" s="213">
        <v>-29.722000000000001</v>
      </c>
      <c r="D907" s="213">
        <v>-37.398000000000003</v>
      </c>
      <c r="E907" s="213">
        <v>-22.413</v>
      </c>
      <c r="F907" s="365">
        <v>-22.905000000000001</v>
      </c>
      <c r="G907" s="213">
        <v>-1.766</v>
      </c>
      <c r="H907" s="22"/>
      <c r="I907" s="209"/>
      <c r="L907" s="209"/>
      <c r="M907" s="209"/>
      <c r="N907" s="209"/>
    </row>
    <row r="908" spans="1:17" ht="28">
      <c r="A908" s="200"/>
      <c r="B908" s="208" t="s">
        <v>14</v>
      </c>
      <c r="C908" s="213">
        <v>-5.98</v>
      </c>
      <c r="D908" s="213">
        <v>-8.6560000000000006</v>
      </c>
      <c r="E908" s="213">
        <v>-6.2759999999999998</v>
      </c>
      <c r="F908" s="365">
        <v>-7.2359999999999998</v>
      </c>
      <c r="G908" s="213">
        <v>-0.68</v>
      </c>
      <c r="H908" s="22"/>
      <c r="I908" s="209"/>
      <c r="L908" s="209"/>
      <c r="M908" s="209"/>
      <c r="N908" s="209"/>
      <c r="Q908" s="157"/>
    </row>
    <row r="909" spans="1:17" ht="28">
      <c r="A909" s="200"/>
      <c r="B909" s="208" t="s">
        <v>15</v>
      </c>
      <c r="C909" s="215" t="s">
        <v>22</v>
      </c>
      <c r="D909" s="215" t="s">
        <v>22</v>
      </c>
      <c r="E909" s="214">
        <v>604.51977399999998</v>
      </c>
      <c r="F909" s="367">
        <v>480.19230800000003</v>
      </c>
      <c r="G909" s="214">
        <v>382.78145699999999</v>
      </c>
      <c r="H909" s="9"/>
      <c r="I909" s="209"/>
      <c r="L909" s="209"/>
      <c r="M909" s="209"/>
      <c r="N909" s="209"/>
    </row>
    <row r="910" spans="1:17">
      <c r="A910" s="200"/>
      <c r="B910" s="203" t="s">
        <v>23</v>
      </c>
      <c r="C910" s="212">
        <v>312900</v>
      </c>
      <c r="D910" s="212">
        <v>405900</v>
      </c>
      <c r="E910" s="212">
        <v>557700</v>
      </c>
      <c r="F910" s="364">
        <v>683700</v>
      </c>
      <c r="G910" s="212">
        <v>662400</v>
      </c>
      <c r="H910" s="203"/>
      <c r="I910" s="209"/>
      <c r="L910" s="209"/>
      <c r="M910" s="209"/>
      <c r="N910" s="209"/>
    </row>
    <row r="911" spans="1:17">
      <c r="A911" s="200"/>
      <c r="I911" s="209"/>
      <c r="L911" s="209"/>
      <c r="M911" s="209"/>
      <c r="N911" s="209"/>
    </row>
    <row r="912" spans="1:17">
      <c r="A912" s="200"/>
      <c r="I912" s="209"/>
      <c r="L912" s="209"/>
      <c r="M912" s="209"/>
      <c r="N912" s="209"/>
    </row>
    <row r="913" spans="1:14">
      <c r="I913" s="209"/>
      <c r="L913" s="209"/>
      <c r="M913" s="209"/>
      <c r="N913" s="209"/>
    </row>
    <row r="914" spans="1:14">
      <c r="A914" s="200"/>
      <c r="B914" s="201"/>
      <c r="C914" s="201">
        <v>2015</v>
      </c>
      <c r="D914" s="219" t="s">
        <v>167</v>
      </c>
      <c r="E914" s="219" t="s">
        <v>168</v>
      </c>
      <c r="F914" s="362" t="s">
        <v>169</v>
      </c>
      <c r="G914" s="219" t="s">
        <v>170</v>
      </c>
      <c r="H914" s="219"/>
      <c r="I914" s="209"/>
      <c r="L914" s="209"/>
      <c r="M914" s="209"/>
      <c r="N914" s="209"/>
    </row>
    <row r="915" spans="1:14">
      <c r="A915" s="200"/>
      <c r="B915" s="202" t="s">
        <v>1</v>
      </c>
      <c r="C915" s="216">
        <v>154597.04491496101</v>
      </c>
      <c r="D915" s="216">
        <v>19908.7492283881</v>
      </c>
      <c r="E915" s="216">
        <v>32138.8154829741</v>
      </c>
      <c r="F915" s="363">
        <v>76494.613889604807</v>
      </c>
      <c r="G915" s="216">
        <v>97959.765065565705</v>
      </c>
      <c r="H915" s="207"/>
      <c r="I915" s="209"/>
      <c r="L915" s="209"/>
      <c r="M915" s="209"/>
      <c r="N915" s="209"/>
    </row>
    <row r="916" spans="1:14">
      <c r="A916" s="200" t="s">
        <v>194</v>
      </c>
      <c r="B916" s="201"/>
      <c r="C916" s="201"/>
      <c r="D916" s="201"/>
      <c r="E916" s="201"/>
      <c r="F916" s="349"/>
      <c r="G916" s="201"/>
      <c r="H916" s="201"/>
      <c r="I916" s="209"/>
      <c r="L916" s="209"/>
      <c r="M916" s="209"/>
      <c r="N916" s="209"/>
    </row>
    <row r="917" spans="1:14" ht="28">
      <c r="A917" s="236">
        <v>0.25</v>
      </c>
      <c r="B917" s="211" t="s">
        <v>11</v>
      </c>
      <c r="C917" s="212">
        <v>103405.218735337</v>
      </c>
      <c r="D917" s="212">
        <v>34756.798359856002</v>
      </c>
      <c r="E917" s="212">
        <v>54802.137635260799</v>
      </c>
      <c r="F917" s="364">
        <v>47602.513394057802</v>
      </c>
      <c r="G917" s="212">
        <v>48185.141307219899</v>
      </c>
      <c r="H917" s="203"/>
      <c r="I917" s="209"/>
      <c r="L917" s="209"/>
      <c r="M917" s="209"/>
      <c r="N917" s="209"/>
    </row>
    <row r="918" spans="1:14">
      <c r="A918" s="200"/>
      <c r="B918" s="208" t="s">
        <v>2</v>
      </c>
      <c r="C918" s="212">
        <v>22474.460273981102</v>
      </c>
      <c r="D918" s="212">
        <v>720.18845824897301</v>
      </c>
      <c r="E918" s="212">
        <v>2259.7039258181999</v>
      </c>
      <c r="F918" s="364">
        <v>15130.5206237733</v>
      </c>
      <c r="G918" s="212">
        <v>67011.685314774499</v>
      </c>
      <c r="H918" s="203"/>
      <c r="I918" s="209"/>
      <c r="L918" s="209"/>
      <c r="M918" s="209"/>
      <c r="N918" s="209"/>
    </row>
    <row r="919" spans="1:14">
      <c r="A919" s="200"/>
      <c r="B919" s="208" t="s">
        <v>3</v>
      </c>
      <c r="C919" s="212">
        <v>49602.722927928</v>
      </c>
      <c r="D919" s="212">
        <v>9140.6464477628506</v>
      </c>
      <c r="E919" s="212">
        <v>20626.480066448501</v>
      </c>
      <c r="F919" s="364">
        <v>54026.570835113504</v>
      </c>
      <c r="G919" s="212">
        <v>63403.5050588995</v>
      </c>
      <c r="H919" s="203"/>
      <c r="I919" s="209"/>
      <c r="L919" s="209"/>
      <c r="M919" s="209"/>
      <c r="N919" s="209"/>
    </row>
    <row r="920" spans="1:14">
      <c r="A920" s="200"/>
      <c r="B920" s="206" t="s">
        <v>8</v>
      </c>
      <c r="C920" s="207">
        <v>72077.183201909094</v>
      </c>
      <c r="D920" s="207">
        <v>9860.8349060118235</v>
      </c>
      <c r="E920" s="207">
        <v>22886.183992266702</v>
      </c>
      <c r="F920" s="344">
        <v>69157.091458886804</v>
      </c>
      <c r="G920" s="207">
        <v>130415.19037367401</v>
      </c>
      <c r="H920" s="207"/>
      <c r="I920" s="209"/>
      <c r="L920" s="209"/>
      <c r="M920" s="209"/>
      <c r="N920" s="209"/>
    </row>
    <row r="921" spans="1:14">
      <c r="A921" s="200"/>
      <c r="B921" s="210" t="s">
        <v>12</v>
      </c>
      <c r="C921" s="212">
        <v>1021.56637609005</v>
      </c>
      <c r="D921" s="212">
        <v>869.17904379963898</v>
      </c>
      <c r="E921" s="212">
        <v>-8556.2499184012395</v>
      </c>
      <c r="F921" s="364">
        <v>-3546.14003062248</v>
      </c>
      <c r="G921" s="212">
        <v>-39318.697343423999</v>
      </c>
      <c r="H921" s="203"/>
      <c r="I921" s="209"/>
      <c r="L921" s="209"/>
      <c r="M921" s="209"/>
      <c r="N921" s="209"/>
    </row>
    <row r="922" spans="1:14" ht="28">
      <c r="A922" s="200"/>
      <c r="B922" s="208" t="s">
        <v>13</v>
      </c>
      <c r="C922" s="213">
        <v>6.327</v>
      </c>
      <c r="D922" s="213">
        <v>10.617000000000001</v>
      </c>
      <c r="E922" s="213">
        <v>-105.66</v>
      </c>
      <c r="F922" s="365">
        <v>-52.030999999999999</v>
      </c>
      <c r="G922" s="215" t="s">
        <v>4</v>
      </c>
      <c r="H922" s="8"/>
      <c r="I922" s="209"/>
      <c r="L922" s="209"/>
      <c r="M922" s="209"/>
      <c r="N922" s="209"/>
    </row>
    <row r="923" spans="1:14" ht="28">
      <c r="A923" s="200"/>
      <c r="B923" s="208" t="s">
        <v>14</v>
      </c>
      <c r="C923" s="213">
        <v>3.3769999999999998</v>
      </c>
      <c r="D923" s="213">
        <v>5.3579999999999997</v>
      </c>
      <c r="E923" s="213">
        <v>-30.419</v>
      </c>
      <c r="F923" s="365">
        <v>-4.9909999999999997</v>
      </c>
      <c r="G923" s="213">
        <v>-61.552</v>
      </c>
      <c r="H923" s="22"/>
      <c r="I923" s="209"/>
      <c r="L923" s="209"/>
      <c r="M923" s="209"/>
      <c r="N923" s="209"/>
    </row>
    <row r="924" spans="1:14" ht="28">
      <c r="A924" s="200"/>
      <c r="B924" s="208" t="s">
        <v>15</v>
      </c>
      <c r="C924" s="214">
        <v>156.437547252267</v>
      </c>
      <c r="D924" s="214">
        <v>82.951786028944795</v>
      </c>
      <c r="E924" s="214">
        <v>117.854059402372</v>
      </c>
      <c r="F924" s="367">
        <v>81.371817832067904</v>
      </c>
      <c r="G924" s="214">
        <v>62.014338798952103</v>
      </c>
      <c r="H924" s="9"/>
      <c r="I924" s="209"/>
      <c r="L924" s="209"/>
      <c r="M924" s="209"/>
      <c r="N924" s="209"/>
    </row>
    <row r="925" spans="1:14">
      <c r="A925" s="200"/>
      <c r="B925" s="203" t="s">
        <v>23</v>
      </c>
      <c r="C925" s="212">
        <v>82519.861713051796</v>
      </c>
      <c r="D925" s="212">
        <v>10047.9143223763</v>
      </c>
      <c r="E925" s="212">
        <v>9252.6314907073993</v>
      </c>
      <c r="F925" s="364">
        <v>7337.5224307179496</v>
      </c>
      <c r="G925" s="212">
        <v>-32455.425308108301</v>
      </c>
      <c r="H925" s="203"/>
      <c r="I925" s="209"/>
      <c r="L925" s="209"/>
      <c r="M925" s="209"/>
      <c r="N925" s="209"/>
    </row>
    <row r="926" spans="1:14">
      <c r="A926" s="200"/>
      <c r="I926" s="209"/>
      <c r="L926" s="209"/>
      <c r="M926" s="209"/>
      <c r="N926" s="209"/>
    </row>
    <row r="927" spans="1:14">
      <c r="A927" s="200"/>
      <c r="I927" s="209"/>
      <c r="L927" s="209"/>
      <c r="M927" s="209"/>
      <c r="N927" s="209"/>
    </row>
    <row r="928" spans="1:14">
      <c r="I928" s="209"/>
      <c r="L928" s="209"/>
      <c r="M928" s="209"/>
      <c r="N928" s="209"/>
    </row>
    <row r="929" spans="1:14">
      <c r="A929" s="200"/>
      <c r="B929" s="201"/>
      <c r="C929" s="201">
        <v>2019</v>
      </c>
      <c r="D929" s="219" t="s">
        <v>175</v>
      </c>
      <c r="E929" s="219" t="s">
        <v>176</v>
      </c>
      <c r="F929" s="362" t="s">
        <v>177</v>
      </c>
      <c r="G929" s="219" t="s">
        <v>178</v>
      </c>
      <c r="H929" s="219"/>
      <c r="I929" s="209"/>
      <c r="L929" s="209"/>
      <c r="M929" s="209"/>
      <c r="N929" s="209"/>
    </row>
    <row r="930" spans="1:14">
      <c r="A930" s="200"/>
      <c r="B930" s="202" t="s">
        <v>1</v>
      </c>
      <c r="C930" s="216">
        <v>21304.78335464</v>
      </c>
      <c r="D930" s="216">
        <v>24710.126549139601</v>
      </c>
      <c r="E930" s="216">
        <v>30118.635942384601</v>
      </c>
      <c r="F930" s="363">
        <v>33372.389602214098</v>
      </c>
      <c r="G930" s="216">
        <v>31277.184229373899</v>
      </c>
      <c r="H930" s="207"/>
      <c r="I930" s="209"/>
      <c r="L930" s="209"/>
      <c r="M930" s="209"/>
      <c r="N930" s="209"/>
    </row>
    <row r="931" spans="1:14">
      <c r="A931" s="200" t="s">
        <v>195</v>
      </c>
      <c r="B931" s="201"/>
      <c r="C931" s="201"/>
      <c r="D931" s="201"/>
      <c r="E931" s="201"/>
      <c r="F931" s="349"/>
      <c r="G931" s="201"/>
      <c r="H931" s="201"/>
      <c r="I931" s="209"/>
      <c r="L931" s="209"/>
      <c r="M931" s="209"/>
      <c r="N931" s="209"/>
    </row>
    <row r="932" spans="1:14" ht="28">
      <c r="A932" s="156" t="s">
        <v>208</v>
      </c>
      <c r="B932" s="211" t="s">
        <v>11</v>
      </c>
      <c r="C932" s="212">
        <v>21509.1113705188</v>
      </c>
      <c r="D932" s="212">
        <v>21176.294563084801</v>
      </c>
      <c r="E932" s="212">
        <v>31415.469078414098</v>
      </c>
      <c r="F932" s="364">
        <v>32291.183111816601</v>
      </c>
      <c r="G932" s="212">
        <v>28189.3295965791</v>
      </c>
      <c r="H932" s="203"/>
      <c r="I932" s="209"/>
      <c r="L932" s="209"/>
      <c r="M932" s="209"/>
      <c r="N932" s="209"/>
    </row>
    <row r="933" spans="1:14">
      <c r="A933" s="200"/>
      <c r="B933" s="208" t="s">
        <v>2</v>
      </c>
      <c r="C933" s="212">
        <v>3011.3894870877298</v>
      </c>
      <c r="D933" s="212">
        <v>2603.5673152655399</v>
      </c>
      <c r="E933" s="212">
        <v>4720.7064762934997</v>
      </c>
      <c r="F933" s="364">
        <v>4472.8538029789897</v>
      </c>
      <c r="G933" s="212">
        <v>6885.2438674718096</v>
      </c>
      <c r="H933" s="203"/>
      <c r="I933" s="209"/>
      <c r="L933" s="209"/>
      <c r="M933" s="209"/>
      <c r="N933" s="209"/>
    </row>
    <row r="934" spans="1:14">
      <c r="A934" s="200"/>
      <c r="B934" s="208" t="s">
        <v>3</v>
      </c>
      <c r="C934" s="212">
        <v>9269.3620804324692</v>
      </c>
      <c r="D934" s="212">
        <v>10677.100100755701</v>
      </c>
      <c r="E934" s="212">
        <v>13619.610291294801</v>
      </c>
      <c r="F934" s="364">
        <v>16633.8746157885</v>
      </c>
      <c r="G934" s="212">
        <v>10966.401539951599</v>
      </c>
      <c r="H934" s="203"/>
      <c r="I934" s="209"/>
      <c r="L934" s="209"/>
      <c r="M934" s="209"/>
      <c r="N934" s="209"/>
    </row>
    <row r="935" spans="1:14">
      <c r="A935" s="200"/>
      <c r="B935" s="206" t="s">
        <v>8</v>
      </c>
      <c r="C935" s="207">
        <v>12280.751567520199</v>
      </c>
      <c r="D935" s="207">
        <v>13280.667416021241</v>
      </c>
      <c r="E935" s="207">
        <v>18340.316767588301</v>
      </c>
      <c r="F935" s="344">
        <v>21106.728418767489</v>
      </c>
      <c r="G935" s="207">
        <v>17851.64540742341</v>
      </c>
      <c r="H935" s="207"/>
      <c r="I935" s="209"/>
      <c r="L935" s="209"/>
      <c r="M935" s="209"/>
      <c r="N935" s="209"/>
    </row>
    <row r="936" spans="1:14">
      <c r="A936" s="200"/>
      <c r="B936" s="210" t="s">
        <v>12</v>
      </c>
      <c r="C936" s="212">
        <v>-1762.7562440112199</v>
      </c>
      <c r="D936" s="212">
        <v>806.78941203653801</v>
      </c>
      <c r="E936" s="212">
        <v>-2086.7235170900799</v>
      </c>
      <c r="F936" s="364">
        <v>-1214.1531253755099</v>
      </c>
      <c r="G936" s="212">
        <v>-1169.01245637238</v>
      </c>
      <c r="H936" s="203"/>
      <c r="I936" s="209"/>
      <c r="L936" s="209"/>
      <c r="M936" s="209"/>
      <c r="N936" s="209"/>
    </row>
    <row r="937" spans="1:14" ht="25.5" customHeight="1">
      <c r="A937" s="200"/>
      <c r="B937" s="208" t="s">
        <v>13</v>
      </c>
      <c r="C937" s="213">
        <v>35.258000000000003</v>
      </c>
      <c r="D937" s="213">
        <v>7.3339999999999996</v>
      </c>
      <c r="E937" s="213">
        <v>-16.071999999999999</v>
      </c>
      <c r="F937" s="365">
        <v>-10.08</v>
      </c>
      <c r="G937" s="213">
        <v>-9.2430000000000003</v>
      </c>
      <c r="H937" s="22"/>
      <c r="I937" s="209"/>
      <c r="L937" s="209"/>
      <c r="M937" s="209"/>
      <c r="N937" s="209"/>
    </row>
    <row r="938" spans="1:14" ht="25.5" customHeight="1">
      <c r="A938" s="200"/>
      <c r="B938" s="208" t="s">
        <v>14</v>
      </c>
      <c r="C938" s="213">
        <v>14.933999999999999</v>
      </c>
      <c r="D938" s="213">
        <v>3.3919999999999999</v>
      </c>
      <c r="E938" s="213">
        <v>-6.2850000000000001</v>
      </c>
      <c r="F938" s="365">
        <v>-3.7050000000000001</v>
      </c>
      <c r="G938" s="213">
        <v>-3.9670000000000001</v>
      </c>
      <c r="H938" s="22"/>
      <c r="I938" s="209"/>
      <c r="L938" s="209"/>
      <c r="M938" s="209"/>
      <c r="N938" s="209"/>
    </row>
    <row r="939" spans="1:14" ht="28">
      <c r="A939" s="200"/>
      <c r="B939" s="208" t="s">
        <v>15</v>
      </c>
      <c r="C939" s="214">
        <v>896.21297377161704</v>
      </c>
      <c r="D939" s="214">
        <v>365.108526898153</v>
      </c>
      <c r="E939" s="214">
        <v>1308.9778782266601</v>
      </c>
      <c r="F939" s="367">
        <v>1076.3727703552199</v>
      </c>
      <c r="G939" s="214">
        <v>1127.57318386316</v>
      </c>
      <c r="H939" s="9"/>
      <c r="I939" s="209"/>
      <c r="L939" s="209"/>
      <c r="M939" s="209"/>
      <c r="N939" s="209"/>
    </row>
    <row r="940" spans="1:14">
      <c r="A940" s="200"/>
      <c r="B940" s="203" t="s">
        <v>23</v>
      </c>
      <c r="C940" s="212">
        <v>9024.0317871198095</v>
      </c>
      <c r="D940" s="212">
        <v>11429.4591331184</v>
      </c>
      <c r="E940" s="212">
        <v>11778.319174796299</v>
      </c>
      <c r="F940" s="364">
        <v>12265.6611834466</v>
      </c>
      <c r="G940" s="212">
        <v>13425.5388219506</v>
      </c>
      <c r="H940" s="203"/>
      <c r="I940" s="209"/>
      <c r="L940" s="209"/>
      <c r="M940" s="209"/>
      <c r="N940" s="209"/>
    </row>
    <row r="941" spans="1:14">
      <c r="A941" s="200"/>
      <c r="I941" s="209"/>
      <c r="L941" s="209"/>
      <c r="M941" s="209"/>
      <c r="N941" s="209"/>
    </row>
    <row r="942" spans="1:14">
      <c r="A942" s="200"/>
      <c r="I942" s="209"/>
      <c r="L942" s="209"/>
      <c r="M942" s="209"/>
      <c r="N942" s="209"/>
    </row>
    <row r="943" spans="1:14">
      <c r="A943" s="200"/>
      <c r="B943" s="201"/>
      <c r="C943" s="201">
        <v>2015</v>
      </c>
      <c r="D943" s="219" t="s">
        <v>167</v>
      </c>
      <c r="E943" s="219" t="s">
        <v>168</v>
      </c>
      <c r="F943" s="362" t="s">
        <v>169</v>
      </c>
      <c r="G943" s="219" t="s">
        <v>170</v>
      </c>
      <c r="H943" s="219"/>
      <c r="I943" s="209"/>
      <c r="L943" s="209"/>
      <c r="M943" s="209"/>
      <c r="N943" s="209"/>
    </row>
    <row r="944" spans="1:14" ht="16" thickBot="1">
      <c r="A944" s="200"/>
      <c r="B944" s="202" t="s">
        <v>1</v>
      </c>
      <c r="C944" s="225">
        <v>945323</v>
      </c>
      <c r="D944" s="226">
        <v>1345002</v>
      </c>
      <c r="E944" s="225">
        <v>1298576</v>
      </c>
      <c r="F944" s="383">
        <v>2853540</v>
      </c>
      <c r="G944" s="227">
        <v>3385580</v>
      </c>
      <c r="H944" s="227"/>
      <c r="I944" s="209"/>
      <c r="L944" s="209"/>
      <c r="M944" s="209"/>
      <c r="N944" s="209"/>
    </row>
    <row r="945" spans="1:14">
      <c r="A945" s="204" t="s">
        <v>196</v>
      </c>
      <c r="B945" s="201"/>
      <c r="C945" s="201"/>
      <c r="D945" s="201"/>
      <c r="E945" s="201"/>
      <c r="F945" s="349"/>
      <c r="G945" s="201"/>
      <c r="H945" s="201"/>
      <c r="I945" s="209"/>
      <c r="L945" s="209"/>
      <c r="M945" s="209"/>
      <c r="N945" s="209"/>
    </row>
    <row r="946" spans="1:14" ht="28">
      <c r="A946" s="229" t="s">
        <v>197</v>
      </c>
      <c r="B946" s="211" t="s">
        <v>11</v>
      </c>
      <c r="C946" s="228">
        <v>1001758</v>
      </c>
      <c r="D946" s="228">
        <v>1382856</v>
      </c>
      <c r="E946" s="228">
        <v>1752342</v>
      </c>
      <c r="F946" s="384">
        <v>1768463</v>
      </c>
      <c r="G946" s="228">
        <v>1644934</v>
      </c>
      <c r="H946" s="228"/>
      <c r="I946" s="209"/>
      <c r="L946" s="209"/>
      <c r="M946" s="209"/>
      <c r="N946" s="209"/>
    </row>
    <row r="947" spans="1:14">
      <c r="A947" s="236">
        <v>1</v>
      </c>
      <c r="B947" s="208" t="s">
        <v>2</v>
      </c>
      <c r="C947" s="212"/>
      <c r="D947" s="212"/>
      <c r="E947" s="212"/>
      <c r="F947" s="364"/>
      <c r="G947" s="212"/>
      <c r="H947" s="203"/>
      <c r="I947" s="209"/>
      <c r="L947" s="209"/>
      <c r="M947" s="209"/>
      <c r="N947" s="209"/>
    </row>
    <row r="948" spans="1:14">
      <c r="A948" s="200"/>
      <c r="B948" s="208" t="s">
        <v>3</v>
      </c>
      <c r="C948" s="212"/>
      <c r="D948" s="212"/>
      <c r="E948" s="212"/>
      <c r="F948" s="364"/>
      <c r="G948" s="212"/>
      <c r="H948" s="203"/>
      <c r="I948" s="209"/>
      <c r="L948" s="209"/>
      <c r="M948" s="209"/>
      <c r="N948" s="209"/>
    </row>
    <row r="949" spans="1:14" ht="18">
      <c r="A949" s="200"/>
      <c r="B949" s="206" t="s">
        <v>8</v>
      </c>
      <c r="C949" s="228">
        <v>818632</v>
      </c>
      <c r="D949" s="228">
        <v>1096781</v>
      </c>
      <c r="E949" s="228">
        <v>731049</v>
      </c>
      <c r="F949" s="384">
        <v>1718101</v>
      </c>
      <c r="G949" s="228">
        <v>2362021</v>
      </c>
      <c r="H949" s="228"/>
      <c r="I949" s="209"/>
      <c r="L949" s="209"/>
      <c r="M949" s="209"/>
      <c r="N949" s="209"/>
    </row>
    <row r="950" spans="1:14" ht="18">
      <c r="A950" s="200"/>
      <c r="B950" s="210" t="s">
        <v>12</v>
      </c>
      <c r="C950" s="228">
        <v>-121022</v>
      </c>
      <c r="D950" s="228">
        <v>-202755</v>
      </c>
      <c r="E950" s="228">
        <v>538426</v>
      </c>
      <c r="F950" s="384">
        <v>309002</v>
      </c>
      <c r="G950" s="230">
        <v>175862</v>
      </c>
      <c r="H950" s="230"/>
      <c r="I950" s="209"/>
      <c r="L950" s="209"/>
      <c r="M950" s="209"/>
      <c r="N950" s="209"/>
    </row>
    <row r="951" spans="1:14" ht="28">
      <c r="A951" s="200"/>
      <c r="B951" s="208" t="s">
        <v>13</v>
      </c>
      <c r="C951" s="213">
        <v>-0.6455987239740314</v>
      </c>
      <c r="D951" s="213">
        <v>-0.49710143683902769</v>
      </c>
      <c r="E951" s="213">
        <v>0.63233910718123554</v>
      </c>
      <c r="F951" s="365">
        <v>0.28624574918550177</v>
      </c>
      <c r="G951" s="213">
        <v>6.4000000000000001E-2</v>
      </c>
      <c r="H951" s="22"/>
      <c r="I951" s="209"/>
      <c r="L951" s="209"/>
      <c r="M951" s="209"/>
      <c r="N951" s="209"/>
    </row>
    <row r="952" spans="1:14" ht="25.5" customHeight="1">
      <c r="A952" s="200"/>
      <c r="B952" s="208" t="s">
        <v>14</v>
      </c>
      <c r="C952" s="231">
        <v>-0.10568107146365691</v>
      </c>
      <c r="D952" s="231">
        <v>-0.1533943768634782</v>
      </c>
      <c r="E952" s="231">
        <v>0.25935017229769108</v>
      </c>
      <c r="F952" s="385">
        <v>9.9053071587018676E-2</v>
      </c>
      <c r="G952" s="213">
        <v>2.1999999999999999E-2</v>
      </c>
      <c r="H952" s="22"/>
      <c r="I952" s="209"/>
      <c r="L952" s="209"/>
      <c r="M952" s="209"/>
      <c r="N952" s="209"/>
    </row>
    <row r="953" spans="1:14" ht="25.5" customHeight="1">
      <c r="A953" s="200"/>
      <c r="B953" s="208" t="s">
        <v>15</v>
      </c>
      <c r="C953" s="214"/>
      <c r="D953" s="214"/>
      <c r="E953" s="214"/>
      <c r="F953" s="367"/>
      <c r="G953" s="214"/>
      <c r="H953" s="9"/>
      <c r="I953" s="209"/>
      <c r="L953" s="209"/>
      <c r="M953" s="209"/>
      <c r="N953" s="209"/>
    </row>
    <row r="954" spans="1:14" ht="18">
      <c r="A954" s="200"/>
      <c r="B954" s="203" t="s">
        <v>23</v>
      </c>
      <c r="C954" s="228">
        <v>126692</v>
      </c>
      <c r="D954" s="228">
        <v>248222</v>
      </c>
      <c r="E954" s="228">
        <v>567527</v>
      </c>
      <c r="F954" s="384">
        <v>1135439</v>
      </c>
      <c r="G954" s="230">
        <v>1023559</v>
      </c>
      <c r="H954" s="230"/>
      <c r="I954" s="209"/>
      <c r="L954" s="209"/>
      <c r="M954" s="209"/>
      <c r="N954" s="209"/>
    </row>
    <row r="955" spans="1:14">
      <c r="A955" s="200"/>
      <c r="I955" s="209"/>
      <c r="L955" s="209"/>
      <c r="M955" s="209"/>
      <c r="N955" s="209"/>
    </row>
    <row r="956" spans="1:14">
      <c r="A956" s="200"/>
      <c r="I956" s="209"/>
      <c r="L956" s="209"/>
      <c r="M956" s="209"/>
      <c r="N956" s="209"/>
    </row>
    <row r="957" spans="1:14">
      <c r="A957" s="200"/>
      <c r="B957" s="200"/>
      <c r="C957" s="200"/>
      <c r="D957" s="200"/>
      <c r="E957" s="200"/>
      <c r="F957" s="87"/>
      <c r="G957" s="200"/>
      <c r="H957" s="200"/>
      <c r="I957" s="209"/>
      <c r="L957" s="209"/>
      <c r="M957" s="209"/>
      <c r="N957" s="209"/>
    </row>
    <row r="958" spans="1:14">
      <c r="A958" s="200"/>
      <c r="B958" s="201"/>
      <c r="C958" s="201">
        <v>2010</v>
      </c>
      <c r="D958" s="219" t="s">
        <v>179</v>
      </c>
      <c r="E958" s="219" t="s">
        <v>180</v>
      </c>
      <c r="F958" s="362" t="s">
        <v>181</v>
      </c>
      <c r="G958" s="219" t="s">
        <v>182</v>
      </c>
      <c r="H958" s="219"/>
      <c r="I958" s="209"/>
      <c r="L958" s="209"/>
      <c r="M958" s="209"/>
      <c r="N958" s="209"/>
    </row>
    <row r="959" spans="1:14" ht="18">
      <c r="A959" s="204" t="s">
        <v>198</v>
      </c>
      <c r="B959" s="202" t="s">
        <v>1</v>
      </c>
      <c r="C959" s="232">
        <v>378685</v>
      </c>
      <c r="D959" s="232">
        <v>329900</v>
      </c>
      <c r="E959" s="232">
        <v>894000</v>
      </c>
      <c r="F959" s="386">
        <v>650000</v>
      </c>
      <c r="G959" s="233">
        <v>1050100</v>
      </c>
      <c r="H959" s="233"/>
      <c r="I959" s="209"/>
      <c r="L959" s="209"/>
      <c r="M959" s="209"/>
      <c r="N959" s="209"/>
    </row>
    <row r="960" spans="1:14">
      <c r="A960" s="204" t="s">
        <v>199</v>
      </c>
      <c r="B960" s="201"/>
      <c r="C960" s="234"/>
      <c r="D960" s="234"/>
      <c r="E960" s="234"/>
      <c r="F960" s="387"/>
      <c r="G960" s="234"/>
      <c r="H960" s="234"/>
      <c r="I960" s="209"/>
      <c r="L960" s="209"/>
      <c r="M960" s="209"/>
      <c r="N960" s="209"/>
    </row>
    <row r="961" spans="1:14" ht="28">
      <c r="A961" s="236">
        <v>1</v>
      </c>
      <c r="B961" s="211" t="s">
        <v>11</v>
      </c>
      <c r="C961" s="232">
        <v>157772</v>
      </c>
      <c r="D961" s="151">
        <v>174900</v>
      </c>
      <c r="E961" s="151">
        <v>1185600</v>
      </c>
      <c r="F961" s="388">
        <v>1209000</v>
      </c>
      <c r="G961" s="233">
        <v>1631900</v>
      </c>
      <c r="H961" s="233"/>
      <c r="I961" s="209"/>
      <c r="L961" s="209"/>
      <c r="M961" s="209"/>
      <c r="N961" s="209"/>
    </row>
    <row r="962" spans="1:14">
      <c r="A962" s="200"/>
      <c r="B962" s="208" t="s">
        <v>2</v>
      </c>
      <c r="C962" s="235"/>
      <c r="D962" s="235"/>
      <c r="E962" s="235"/>
      <c r="F962" s="389"/>
      <c r="G962" s="235"/>
      <c r="H962" s="325"/>
      <c r="I962" s="209"/>
      <c r="L962" s="209"/>
      <c r="M962" s="209"/>
      <c r="N962" s="209"/>
    </row>
    <row r="963" spans="1:14">
      <c r="A963" s="200"/>
      <c r="B963" s="208" t="s">
        <v>3</v>
      </c>
      <c r="C963" s="235"/>
      <c r="D963" s="235"/>
      <c r="E963" s="235"/>
      <c r="F963" s="389"/>
      <c r="G963" s="235"/>
      <c r="H963" s="325"/>
      <c r="I963" s="209"/>
      <c r="L963" s="209"/>
      <c r="M963" s="209"/>
      <c r="N963" s="209"/>
    </row>
    <row r="964" spans="1:14" ht="18">
      <c r="A964" s="200"/>
      <c r="B964" s="206" t="s">
        <v>8</v>
      </c>
      <c r="C964" s="232">
        <v>99883</v>
      </c>
      <c r="D964" s="232">
        <v>73500</v>
      </c>
      <c r="E964" s="232">
        <v>680300</v>
      </c>
      <c r="F964" s="386">
        <v>480000</v>
      </c>
      <c r="G964" s="233">
        <v>899100</v>
      </c>
      <c r="H964" s="233"/>
      <c r="I964" s="209"/>
      <c r="L964" s="209"/>
      <c r="M964" s="209"/>
      <c r="N964" s="209"/>
    </row>
    <row r="965" spans="1:14" ht="18">
      <c r="A965" s="200"/>
      <c r="B965" s="210" t="s">
        <v>12</v>
      </c>
      <c r="C965" s="232">
        <v>22326</v>
      </c>
      <c r="D965" s="232">
        <v>69700</v>
      </c>
      <c r="E965" s="232">
        <v>62200</v>
      </c>
      <c r="F965" s="386">
        <v>36000</v>
      </c>
      <c r="G965" s="232">
        <v>117100</v>
      </c>
      <c r="H965" s="232"/>
      <c r="I965" s="209"/>
      <c r="L965" s="209"/>
      <c r="M965" s="209"/>
      <c r="N965" s="209"/>
    </row>
    <row r="966" spans="1:14" ht="28">
      <c r="A966" s="200"/>
      <c r="B966" s="208" t="s">
        <v>13</v>
      </c>
      <c r="C966" s="235">
        <v>8.3430181501563894E-2</v>
      </c>
      <c r="D966" s="235">
        <v>0.2965326526271006</v>
      </c>
      <c r="E966" s="235">
        <v>0.3242116236643211</v>
      </c>
      <c r="F966" s="389">
        <v>0.22429906542056074</v>
      </c>
      <c r="G966" s="235">
        <v>0.77807308970099665</v>
      </c>
      <c r="H966" s="325"/>
      <c r="I966" s="209"/>
      <c r="L966" s="209"/>
      <c r="M966" s="209"/>
      <c r="N966" s="209"/>
    </row>
    <row r="967" spans="1:14" ht="25.5" customHeight="1">
      <c r="A967" s="200"/>
      <c r="B967" s="208" t="s">
        <v>14</v>
      </c>
      <c r="C967" s="235">
        <v>6.3015728529393092E-2</v>
      </c>
      <c r="D967" s="235">
        <v>0.11389819429691968</v>
      </c>
      <c r="E967" s="235">
        <v>8.0569948186528503E-2</v>
      </c>
      <c r="F967" s="389">
        <v>4.2350449973530969E-2</v>
      </c>
      <c r="G967" s="235">
        <v>0.13258605072463769</v>
      </c>
      <c r="H967" s="325"/>
      <c r="I967" s="209"/>
      <c r="L967" s="209"/>
      <c r="M967" s="209"/>
      <c r="N967" s="209"/>
    </row>
    <row r="968" spans="1:14" ht="25.5" customHeight="1">
      <c r="A968" s="200"/>
      <c r="B968" s="208" t="s">
        <v>15</v>
      </c>
      <c r="C968" s="235"/>
      <c r="D968" s="235"/>
      <c r="E968" s="235"/>
      <c r="F968" s="389"/>
      <c r="G968" s="235"/>
      <c r="H968" s="325"/>
      <c r="I968" s="209"/>
      <c r="L968" s="209"/>
      <c r="M968" s="209"/>
      <c r="N968" s="209"/>
    </row>
    <row r="969" spans="1:14" ht="18">
      <c r="A969" s="200"/>
      <c r="B969" s="203" t="s">
        <v>23</v>
      </c>
      <c r="C969" s="232">
        <v>278802</v>
      </c>
      <c r="D969" s="232">
        <v>256400</v>
      </c>
      <c r="E969" s="232">
        <v>213700</v>
      </c>
      <c r="F969" s="386">
        <v>170000</v>
      </c>
      <c r="G969" s="233">
        <v>151000</v>
      </c>
      <c r="H969" s="233"/>
      <c r="I969" s="209"/>
      <c r="L969" s="209"/>
      <c r="M969" s="209"/>
      <c r="N969" s="209"/>
    </row>
    <row r="970" spans="1:14">
      <c r="A970" s="200"/>
      <c r="I970" s="209"/>
      <c r="L970" s="209"/>
      <c r="M970" s="209"/>
      <c r="N970" s="209"/>
    </row>
    <row r="971" spans="1:14">
      <c r="A971" s="200"/>
      <c r="I971" s="209"/>
      <c r="L971" s="209"/>
      <c r="M971" s="209"/>
      <c r="N971" s="209"/>
    </row>
    <row r="972" spans="1:14">
      <c r="A972" s="200"/>
      <c r="B972" s="200"/>
      <c r="C972" s="200"/>
      <c r="D972" s="200"/>
      <c r="E972" s="200"/>
      <c r="F972" s="87"/>
      <c r="G972" s="200"/>
      <c r="H972" s="200"/>
      <c r="I972" s="209"/>
      <c r="L972" s="209"/>
      <c r="M972" s="209"/>
      <c r="N972" s="209"/>
    </row>
    <row r="973" spans="1:14">
      <c r="A973" s="200"/>
      <c r="B973" s="200"/>
      <c r="C973" s="200"/>
      <c r="D973" s="200"/>
      <c r="E973" s="200"/>
      <c r="F973" s="87"/>
      <c r="G973" s="200"/>
      <c r="H973" s="200"/>
      <c r="I973" s="209"/>
      <c r="L973" s="209"/>
      <c r="M973" s="209"/>
      <c r="N973" s="209"/>
    </row>
    <row r="974" spans="1:14">
      <c r="A974" s="204" t="s">
        <v>200</v>
      </c>
      <c r="B974" s="201"/>
      <c r="C974" s="201">
        <v>2007</v>
      </c>
      <c r="D974" s="219" t="s">
        <v>183</v>
      </c>
      <c r="E974" s="219" t="s">
        <v>184</v>
      </c>
      <c r="F974" s="362" t="s">
        <v>185</v>
      </c>
      <c r="G974" s="219" t="s">
        <v>186</v>
      </c>
      <c r="H974" s="219"/>
      <c r="I974" s="209"/>
      <c r="L974" s="209"/>
      <c r="M974" s="209"/>
      <c r="N974" s="209"/>
    </row>
    <row r="975" spans="1:14" ht="18">
      <c r="A975" s="236">
        <v>0.7</v>
      </c>
      <c r="B975" s="202" t="s">
        <v>1</v>
      </c>
      <c r="C975" s="228">
        <v>38876000</v>
      </c>
      <c r="D975" s="228">
        <v>35358000</v>
      </c>
      <c r="E975" s="228">
        <v>34079000</v>
      </c>
      <c r="F975" s="384">
        <v>30303000</v>
      </c>
      <c r="G975" s="228">
        <v>28814000</v>
      </c>
      <c r="H975" s="228"/>
      <c r="I975" s="209"/>
      <c r="L975" s="209"/>
      <c r="M975" s="209"/>
      <c r="N975" s="209"/>
    </row>
    <row r="976" spans="1:14">
      <c r="A976" s="200"/>
      <c r="B976" s="201"/>
      <c r="C976" s="234"/>
      <c r="D976" s="234"/>
      <c r="E976" s="234"/>
      <c r="F976" s="387"/>
      <c r="G976" s="234"/>
      <c r="H976" s="234"/>
      <c r="I976" s="209"/>
      <c r="L976" s="209"/>
      <c r="M976" s="209"/>
      <c r="N976" s="209"/>
    </row>
    <row r="977" spans="1:14" ht="28">
      <c r="A977" s="200"/>
      <c r="B977" s="211" t="s">
        <v>11</v>
      </c>
      <c r="C977" s="228">
        <v>208000</v>
      </c>
      <c r="D977" s="228">
        <v>378000</v>
      </c>
      <c r="E977" s="228">
        <v>365000</v>
      </c>
      <c r="F977" s="384">
        <v>313000</v>
      </c>
      <c r="G977" s="230">
        <v>278000</v>
      </c>
      <c r="H977" s="230"/>
      <c r="I977" s="209"/>
      <c r="L977" s="209"/>
      <c r="M977" s="209"/>
      <c r="N977" s="209"/>
    </row>
    <row r="978" spans="1:14">
      <c r="A978" s="200"/>
      <c r="B978" s="208" t="s">
        <v>2</v>
      </c>
      <c r="C978" s="235"/>
      <c r="D978" s="235"/>
      <c r="E978" s="235"/>
      <c r="F978" s="389"/>
      <c r="G978" s="235"/>
      <c r="H978" s="325"/>
      <c r="I978" s="209"/>
      <c r="L978" s="209"/>
      <c r="M978" s="209"/>
      <c r="N978" s="209"/>
    </row>
    <row r="979" spans="1:14">
      <c r="A979" s="200"/>
      <c r="B979" s="208" t="s">
        <v>3</v>
      </c>
      <c r="C979" s="235"/>
      <c r="D979" s="235"/>
      <c r="E979" s="235"/>
      <c r="F979" s="389"/>
      <c r="G979" s="235"/>
      <c r="H979" s="325"/>
      <c r="I979" s="209"/>
      <c r="L979" s="209"/>
      <c r="M979" s="209"/>
      <c r="N979" s="209"/>
    </row>
    <row r="980" spans="1:14" ht="18">
      <c r="A980" s="200"/>
      <c r="B980" s="206" t="s">
        <v>8</v>
      </c>
      <c r="C980" s="228">
        <v>37287000</v>
      </c>
      <c r="D980" s="228">
        <v>32950000</v>
      </c>
      <c r="E980" s="228">
        <v>31853000</v>
      </c>
      <c r="F980" s="384">
        <v>28257000</v>
      </c>
      <c r="G980" s="228">
        <v>26831000</v>
      </c>
      <c r="H980" s="228"/>
      <c r="I980" s="209"/>
      <c r="L980" s="209"/>
      <c r="M980" s="209"/>
      <c r="N980" s="209"/>
    </row>
    <row r="981" spans="1:14" ht="18">
      <c r="A981" s="200"/>
      <c r="B981" s="210" t="s">
        <v>12</v>
      </c>
      <c r="C981" s="228">
        <v>51000</v>
      </c>
      <c r="D981" s="228">
        <v>238000</v>
      </c>
      <c r="E981" s="228">
        <v>239000</v>
      </c>
      <c r="F981" s="384">
        <v>209000</v>
      </c>
      <c r="G981" s="230">
        <v>194000</v>
      </c>
      <c r="H981" s="230"/>
      <c r="I981" s="209"/>
      <c r="L981" s="209"/>
      <c r="M981" s="209"/>
      <c r="N981" s="209"/>
    </row>
    <row r="982" spans="1:14" ht="25.5" customHeight="1">
      <c r="A982" s="200"/>
      <c r="B982" s="208" t="s">
        <v>13</v>
      </c>
      <c r="C982" s="235" t="e">
        <v>#VALUE!</v>
      </c>
      <c r="D982" s="235" t="e">
        <v>#VALUE!</v>
      </c>
      <c r="E982" s="235" t="e">
        <v>#VALUE!</v>
      </c>
      <c r="F982" s="389" t="e">
        <v>#VALUE!</v>
      </c>
      <c r="G982" s="235" t="e">
        <v>#VALUE!</v>
      </c>
      <c r="H982" s="325"/>
      <c r="I982" s="209"/>
      <c r="L982" s="209"/>
      <c r="M982" s="209"/>
      <c r="N982" s="209"/>
    </row>
    <row r="983" spans="1:14" ht="25.5" customHeight="1">
      <c r="A983" s="200"/>
      <c r="B983" s="208" t="s">
        <v>14</v>
      </c>
      <c r="C983" s="235" t="e">
        <v>#VALUE!</v>
      </c>
      <c r="D983" s="235" t="e">
        <v>#VALUE!</v>
      </c>
      <c r="E983" s="235" t="e">
        <v>#VALUE!</v>
      </c>
      <c r="F983" s="389" t="e">
        <v>#VALUE!</v>
      </c>
      <c r="G983" s="235" t="e">
        <v>#VALUE!</v>
      </c>
      <c r="H983" s="325"/>
      <c r="I983" s="209"/>
      <c r="L983" s="209"/>
      <c r="M983" s="209"/>
      <c r="N983" s="209"/>
    </row>
    <row r="984" spans="1:14" ht="28">
      <c r="A984" s="200"/>
      <c r="B984" s="208" t="s">
        <v>15</v>
      </c>
      <c r="C984" s="235"/>
      <c r="D984" s="235"/>
      <c r="E984" s="235"/>
      <c r="F984" s="389"/>
      <c r="G984" s="235"/>
      <c r="H984" s="325"/>
      <c r="I984" s="209"/>
      <c r="L984" s="209"/>
      <c r="M984" s="209"/>
      <c r="N984" s="209"/>
    </row>
    <row r="985" spans="1:14" ht="18">
      <c r="A985" s="200"/>
      <c r="B985" s="203" t="s">
        <v>23</v>
      </c>
      <c r="C985" s="228">
        <v>1589000</v>
      </c>
      <c r="D985" s="228">
        <v>2408000</v>
      </c>
      <c r="E985" s="228">
        <v>2226000</v>
      </c>
      <c r="F985" s="384">
        <v>2046000</v>
      </c>
      <c r="G985" s="230">
        <v>1983000</v>
      </c>
      <c r="H985" s="230"/>
      <c r="I985" s="209"/>
      <c r="L985" s="209"/>
      <c r="M985" s="209"/>
      <c r="N985" s="209"/>
    </row>
    <row r="986" spans="1:14">
      <c r="A986" s="200"/>
      <c r="I986" s="209"/>
      <c r="L986" s="209"/>
      <c r="M986" s="209"/>
      <c r="N986" s="209"/>
    </row>
    <row r="987" spans="1:14">
      <c r="A987" s="200"/>
      <c r="I987" s="209"/>
      <c r="L987" s="209"/>
      <c r="M987" s="209"/>
      <c r="N987" s="209"/>
    </row>
    <row r="988" spans="1:14">
      <c r="A988" s="200"/>
      <c r="B988" s="200"/>
      <c r="C988" s="200"/>
      <c r="D988" s="200"/>
      <c r="E988" s="200"/>
      <c r="F988" s="87"/>
      <c r="G988" s="200"/>
      <c r="H988" s="200"/>
      <c r="I988" s="209"/>
      <c r="L988" s="209"/>
      <c r="M988" s="209"/>
      <c r="N988" s="209"/>
    </row>
    <row r="989" spans="1:14">
      <c r="I989" s="209"/>
      <c r="L989" s="209"/>
      <c r="M989" s="209"/>
      <c r="N989" s="209"/>
    </row>
    <row r="990" spans="1:14">
      <c r="A990" s="204" t="s">
        <v>201</v>
      </c>
      <c r="B990" s="201"/>
      <c r="C990" s="201"/>
      <c r="D990" s="219"/>
      <c r="E990" s="219"/>
      <c r="F990" s="362"/>
      <c r="G990" s="219"/>
      <c r="H990" s="219"/>
      <c r="I990" s="209"/>
      <c r="L990" s="209"/>
      <c r="M990" s="209"/>
      <c r="N990" s="209"/>
    </row>
    <row r="991" spans="1:14" ht="18">
      <c r="A991" s="204"/>
      <c r="B991" s="202"/>
      <c r="C991" s="228"/>
      <c r="D991" s="228"/>
      <c r="E991" s="228"/>
      <c r="F991" s="384"/>
      <c r="G991" s="228"/>
      <c r="H991" s="228"/>
      <c r="I991" s="209"/>
      <c r="L991" s="209"/>
      <c r="M991" s="209"/>
      <c r="N991" s="209"/>
    </row>
    <row r="992" spans="1:14">
      <c r="A992" s="200"/>
      <c r="B992" s="201"/>
      <c r="C992" s="234"/>
      <c r="D992" s="234"/>
      <c r="E992" s="234"/>
      <c r="F992" s="387"/>
      <c r="G992" s="234"/>
      <c r="H992" s="234"/>
      <c r="I992" s="209"/>
      <c r="L992" s="209"/>
      <c r="M992" s="209"/>
      <c r="N992" s="209"/>
    </row>
    <row r="993" spans="1:14" ht="18">
      <c r="A993" s="204"/>
      <c r="B993" s="211"/>
      <c r="C993" s="228"/>
      <c r="D993" s="228"/>
      <c r="E993" s="228"/>
      <c r="F993" s="384"/>
      <c r="G993" s="230"/>
      <c r="H993" s="230"/>
      <c r="I993" s="209"/>
      <c r="L993" s="209"/>
      <c r="M993" s="209"/>
      <c r="N993" s="209"/>
    </row>
    <row r="994" spans="1:14">
      <c r="A994" s="200"/>
      <c r="B994" s="208"/>
      <c r="C994" s="235"/>
      <c r="D994" s="235"/>
      <c r="E994" s="235"/>
      <c r="F994" s="389"/>
      <c r="G994" s="235"/>
      <c r="H994" s="325"/>
      <c r="I994" s="209"/>
      <c r="L994" s="209"/>
      <c r="M994" s="209"/>
      <c r="N994" s="209"/>
    </row>
    <row r="995" spans="1:14">
      <c r="A995" s="200"/>
      <c r="B995" s="208"/>
      <c r="C995" s="235"/>
      <c r="D995" s="235"/>
      <c r="E995" s="235"/>
      <c r="F995" s="389"/>
      <c r="G995" s="235"/>
      <c r="H995" s="325"/>
      <c r="I995" s="209"/>
      <c r="L995" s="209"/>
      <c r="M995" s="209"/>
      <c r="N995" s="209"/>
    </row>
    <row r="996" spans="1:14" ht="18">
      <c r="A996" s="204"/>
      <c r="B996" s="206"/>
      <c r="C996" s="228"/>
      <c r="D996" s="228"/>
      <c r="E996" s="228"/>
      <c r="F996" s="384"/>
      <c r="G996" s="228"/>
      <c r="H996" s="228"/>
      <c r="I996" s="209"/>
      <c r="L996" s="209"/>
      <c r="M996" s="209"/>
      <c r="N996" s="209"/>
    </row>
    <row r="997" spans="1:14" ht="18">
      <c r="A997" s="204"/>
      <c r="B997" s="210"/>
      <c r="C997" s="228"/>
      <c r="D997" s="228"/>
      <c r="E997" s="228"/>
      <c r="F997" s="384"/>
      <c r="G997" s="230"/>
      <c r="H997" s="230"/>
      <c r="I997" s="209"/>
      <c r="L997" s="209"/>
      <c r="M997" s="209"/>
      <c r="N997" s="209"/>
    </row>
    <row r="998" spans="1:14" ht="25.5" customHeight="1">
      <c r="A998" s="200"/>
      <c r="B998" s="208"/>
      <c r="C998" s="235"/>
      <c r="D998" s="235"/>
      <c r="E998" s="235"/>
      <c r="F998" s="389"/>
      <c r="G998" s="235"/>
      <c r="H998" s="325"/>
      <c r="I998" s="209"/>
      <c r="L998" s="209"/>
      <c r="M998" s="209"/>
      <c r="N998" s="209"/>
    </row>
    <row r="999" spans="1:14" ht="25.5" customHeight="1">
      <c r="A999" s="200"/>
      <c r="B999" s="208"/>
      <c r="C999" s="235"/>
      <c r="D999" s="235"/>
      <c r="E999" s="235"/>
      <c r="F999" s="389"/>
      <c r="G999" s="235"/>
      <c r="H999" s="325"/>
      <c r="I999" s="209"/>
      <c r="L999" s="209"/>
      <c r="M999" s="209"/>
      <c r="N999" s="209"/>
    </row>
    <row r="1000" spans="1:14">
      <c r="A1000" s="200"/>
      <c r="B1000" s="208"/>
      <c r="C1000" s="235"/>
      <c r="D1000" s="235"/>
      <c r="E1000" s="235"/>
      <c r="F1000" s="389"/>
      <c r="G1000" s="235"/>
      <c r="H1000" s="325"/>
      <c r="I1000" s="209"/>
      <c r="L1000" s="209"/>
      <c r="M1000" s="209"/>
      <c r="N1000" s="209"/>
    </row>
    <row r="1001" spans="1:14" ht="18">
      <c r="A1001" s="204"/>
      <c r="B1001" s="203"/>
      <c r="C1001" s="228"/>
      <c r="D1001" s="228"/>
      <c r="E1001" s="228"/>
      <c r="F1001" s="384"/>
      <c r="G1001" s="230"/>
      <c r="H1001" s="230"/>
      <c r="I1001" s="209"/>
      <c r="L1001" s="209"/>
      <c r="M1001" s="209"/>
      <c r="N1001" s="209"/>
    </row>
    <row r="1002" spans="1:14">
      <c r="I1002" s="209"/>
      <c r="L1002" s="209"/>
      <c r="M1002" s="209"/>
      <c r="N1002" s="209"/>
    </row>
    <row r="1003" spans="1:14">
      <c r="I1003" s="209"/>
      <c r="L1003" s="209"/>
      <c r="M1003" s="209"/>
      <c r="N1003" s="209"/>
    </row>
    <row r="1004" spans="1:14">
      <c r="B1004" s="279"/>
      <c r="C1004" s="279">
        <v>2012</v>
      </c>
      <c r="D1004" s="286" t="s">
        <v>213</v>
      </c>
      <c r="E1004" s="286" t="s">
        <v>214</v>
      </c>
      <c r="F1004" s="390" t="s">
        <v>215</v>
      </c>
      <c r="G1004" s="286" t="s">
        <v>187</v>
      </c>
      <c r="H1004" s="286"/>
      <c r="I1004" s="209"/>
      <c r="L1004" s="209"/>
      <c r="M1004" s="209"/>
      <c r="N1004" s="209"/>
    </row>
    <row r="1005" spans="1:14" ht="18">
      <c r="A1005" s="204" t="s">
        <v>201</v>
      </c>
      <c r="B1005" s="280" t="s">
        <v>1</v>
      </c>
      <c r="C1005" s="287">
        <v>2730357</v>
      </c>
      <c r="D1005" s="287">
        <v>2708057</v>
      </c>
      <c r="E1005" s="287">
        <v>2745825</v>
      </c>
      <c r="F1005" s="391">
        <v>3306540</v>
      </c>
      <c r="G1005" s="288">
        <v>2742938</v>
      </c>
      <c r="H1005" s="288"/>
      <c r="I1005" s="209"/>
      <c r="L1005" s="209"/>
      <c r="M1005" s="209"/>
      <c r="N1005" s="209"/>
    </row>
    <row r="1006" spans="1:14">
      <c r="B1006" s="279"/>
      <c r="C1006" s="289"/>
      <c r="D1006" s="289"/>
      <c r="E1006" s="289"/>
      <c r="F1006" s="392"/>
      <c r="G1006" s="289"/>
      <c r="H1006" s="289"/>
      <c r="I1006" s="209"/>
      <c r="L1006" s="209"/>
      <c r="M1006" s="209"/>
      <c r="N1006" s="209"/>
    </row>
    <row r="1007" spans="1:14" ht="28">
      <c r="B1007" s="285" t="s">
        <v>11</v>
      </c>
      <c r="C1007" s="287">
        <v>0</v>
      </c>
      <c r="D1007" s="287">
        <v>0</v>
      </c>
      <c r="E1007" s="287">
        <v>12547</v>
      </c>
      <c r="F1007" s="391">
        <v>0</v>
      </c>
      <c r="G1007" s="287">
        <v>106462</v>
      </c>
      <c r="H1007" s="287"/>
      <c r="I1007" s="209"/>
      <c r="L1007" s="209"/>
      <c r="M1007" s="209"/>
      <c r="N1007" s="209"/>
    </row>
    <row r="1008" spans="1:14">
      <c r="B1008" s="283" t="s">
        <v>2</v>
      </c>
      <c r="C1008" s="290"/>
      <c r="D1008" s="290"/>
      <c r="E1008" s="290"/>
      <c r="F1008" s="393"/>
      <c r="G1008" s="290"/>
      <c r="H1008" s="326"/>
      <c r="I1008" s="209"/>
      <c r="L1008" s="209"/>
      <c r="M1008" s="209"/>
      <c r="N1008" s="209"/>
    </row>
    <row r="1009" spans="1:50">
      <c r="B1009" s="283" t="s">
        <v>3</v>
      </c>
      <c r="C1009" s="290"/>
      <c r="D1009" s="290"/>
      <c r="E1009" s="290"/>
      <c r="F1009" s="393"/>
      <c r="G1009" s="290"/>
      <c r="H1009" s="326"/>
      <c r="I1009" s="209"/>
      <c r="L1009" s="209"/>
      <c r="M1009" s="209"/>
      <c r="N1009" s="209"/>
    </row>
    <row r="1010" spans="1:50" ht="18">
      <c r="B1010" s="282" t="s">
        <v>8</v>
      </c>
      <c r="C1010" s="287">
        <v>1518526</v>
      </c>
      <c r="D1010" s="287">
        <v>1535148</v>
      </c>
      <c r="E1010" s="287">
        <v>1599595</v>
      </c>
      <c r="F1010" s="391">
        <v>2131996</v>
      </c>
      <c r="G1010" s="287">
        <v>1761620</v>
      </c>
      <c r="H1010" s="287"/>
      <c r="I1010" s="209"/>
      <c r="L1010" s="209"/>
      <c r="M1010" s="209"/>
      <c r="N1010" s="209"/>
    </row>
    <row r="1011" spans="1:50" ht="18">
      <c r="B1011" s="284" t="s">
        <v>12</v>
      </c>
      <c r="C1011" s="287">
        <v>92723</v>
      </c>
      <c r="D1011" s="287">
        <v>26678</v>
      </c>
      <c r="E1011" s="287">
        <v>-28313</v>
      </c>
      <c r="F1011" s="391">
        <v>62470</v>
      </c>
      <c r="G1011" s="287">
        <v>-187944</v>
      </c>
      <c r="H1011" s="287"/>
      <c r="I1011" s="209"/>
      <c r="L1011" s="209"/>
      <c r="M1011" s="209"/>
      <c r="N1011" s="209"/>
    </row>
    <row r="1012" spans="1:50" ht="28">
      <c r="B1012" s="283" t="s">
        <v>13</v>
      </c>
      <c r="C1012" s="290" t="e">
        <v>#VALUE!</v>
      </c>
      <c r="D1012" s="290" t="e">
        <v>#VALUE!</v>
      </c>
      <c r="E1012" s="290" t="e">
        <v>#VALUE!</v>
      </c>
      <c r="F1012" s="393" t="e">
        <v>#VALUE!</v>
      </c>
      <c r="G1012" s="290" t="e">
        <v>#VALUE!</v>
      </c>
      <c r="H1012" s="326"/>
      <c r="I1012" s="209"/>
      <c r="L1012" s="209"/>
      <c r="M1012" s="209"/>
      <c r="N1012" s="209"/>
    </row>
    <row r="1013" spans="1:50" ht="25.5" customHeight="1">
      <c r="B1013" s="283" t="s">
        <v>14</v>
      </c>
      <c r="C1013" s="290" t="e">
        <v>#VALUE!</v>
      </c>
      <c r="D1013" s="290" t="e">
        <v>#VALUE!</v>
      </c>
      <c r="E1013" s="290" t="e">
        <v>#VALUE!</v>
      </c>
      <c r="F1013" s="393" t="e">
        <v>#VALUE!</v>
      </c>
      <c r="G1013" s="290" t="e">
        <v>#VALUE!</v>
      </c>
      <c r="H1013" s="326"/>
      <c r="I1013" s="209"/>
      <c r="L1013" s="209"/>
      <c r="M1013" s="209"/>
      <c r="N1013" s="209"/>
    </row>
    <row r="1014" spans="1:50" ht="25.5" customHeight="1">
      <c r="B1014" s="283" t="s">
        <v>15</v>
      </c>
      <c r="C1014" s="290"/>
      <c r="D1014" s="290"/>
      <c r="E1014" s="290"/>
      <c r="F1014" s="393"/>
      <c r="G1014" s="290"/>
      <c r="H1014" s="326"/>
      <c r="I1014" s="209"/>
      <c r="L1014" s="209"/>
      <c r="M1014" s="209"/>
      <c r="N1014" s="209"/>
    </row>
    <row r="1015" spans="1:50" ht="18">
      <c r="B1015" s="281" t="s">
        <v>23</v>
      </c>
      <c r="C1015" s="287">
        <v>1211831</v>
      </c>
      <c r="D1015" s="287">
        <v>1172909</v>
      </c>
      <c r="E1015" s="287">
        <v>1146231</v>
      </c>
      <c r="F1015" s="391">
        <v>1174543</v>
      </c>
      <c r="G1015" s="288">
        <v>981318</v>
      </c>
      <c r="H1015" s="288"/>
      <c r="I1015" s="209"/>
      <c r="L1015" s="209"/>
      <c r="M1015" s="209"/>
      <c r="N1015" s="209"/>
    </row>
    <row r="1016" spans="1:50" s="165" customFormat="1">
      <c r="A1016" s="16"/>
      <c r="B1016" s="16"/>
      <c r="C1016" s="16"/>
      <c r="D1016" s="16"/>
      <c r="E1016" s="16"/>
      <c r="F1016" s="341"/>
      <c r="G1016" s="16"/>
      <c r="H1016" s="16"/>
      <c r="I1016" s="209"/>
      <c r="J1016" s="209"/>
      <c r="K1016" s="209"/>
      <c r="L1016" s="209"/>
      <c r="M1016" s="209"/>
      <c r="N1016" s="209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</row>
    <row r="1017" spans="1:50">
      <c r="I1017" s="209"/>
      <c r="L1017" s="209"/>
      <c r="M1017" s="209"/>
      <c r="N1017" s="209"/>
    </row>
    <row r="1018" spans="1:50">
      <c r="A1018" s="291" t="s">
        <v>232</v>
      </c>
      <c r="B1018" s="278"/>
      <c r="C1018" s="278"/>
      <c r="D1018" s="278"/>
      <c r="E1018" s="278"/>
      <c r="F1018" s="394"/>
      <c r="G1018" s="278"/>
      <c r="H1018" s="278"/>
      <c r="I1018" s="209"/>
      <c r="L1018" s="209"/>
      <c r="M1018" s="209"/>
      <c r="N1018" s="209"/>
    </row>
    <row r="1019" spans="1:50">
      <c r="A1019" s="291" t="s">
        <v>233</v>
      </c>
      <c r="B1019" s="279"/>
      <c r="C1019" s="279">
        <v>2011</v>
      </c>
      <c r="D1019" s="286" t="s">
        <v>216</v>
      </c>
      <c r="E1019" s="286" t="s">
        <v>217</v>
      </c>
      <c r="F1019" s="390" t="s">
        <v>218</v>
      </c>
      <c r="G1019" s="286" t="s">
        <v>219</v>
      </c>
      <c r="H1019" s="286"/>
      <c r="I1019" s="209"/>
      <c r="L1019" s="209"/>
      <c r="M1019" s="209"/>
      <c r="N1019" s="209"/>
    </row>
    <row r="1020" spans="1:50" ht="18">
      <c r="A1020" s="278"/>
      <c r="B1020" s="280" t="s">
        <v>246</v>
      </c>
      <c r="C1020" s="287">
        <v>1759190</v>
      </c>
      <c r="D1020" s="287">
        <v>1881067</v>
      </c>
      <c r="E1020" s="287">
        <v>2358396</v>
      </c>
      <c r="F1020" s="391">
        <v>3890109</v>
      </c>
      <c r="G1020" s="287">
        <v>2222359</v>
      </c>
      <c r="H1020" s="287"/>
      <c r="I1020" s="209"/>
      <c r="L1020" s="209"/>
      <c r="M1020" s="209"/>
      <c r="N1020" s="209"/>
    </row>
    <row r="1021" spans="1:50">
      <c r="A1021" s="278"/>
      <c r="B1021" s="279"/>
      <c r="C1021" s="289"/>
      <c r="D1021" s="289"/>
      <c r="E1021" s="289"/>
      <c r="F1021" s="392"/>
      <c r="G1021" s="289"/>
      <c r="H1021" s="289"/>
      <c r="I1021" s="209"/>
      <c r="L1021" s="209"/>
      <c r="M1021" s="209"/>
      <c r="N1021" s="209"/>
    </row>
    <row r="1022" spans="1:50" ht="28">
      <c r="A1022" s="278"/>
      <c r="B1022" s="285" t="s">
        <v>247</v>
      </c>
      <c r="C1022" s="287">
        <v>1470228</v>
      </c>
      <c r="D1022" s="287">
        <v>1331256</v>
      </c>
      <c r="E1022" s="287">
        <v>1190763</v>
      </c>
      <c r="F1022" s="391">
        <v>1014855</v>
      </c>
      <c r="G1022" s="288">
        <v>889725</v>
      </c>
      <c r="H1022" s="288"/>
      <c r="I1022" s="209"/>
      <c r="L1022" s="209"/>
      <c r="M1022" s="209"/>
      <c r="N1022" s="209"/>
    </row>
    <row r="1023" spans="1:50">
      <c r="A1023" s="278"/>
      <c r="B1023" s="283" t="s">
        <v>248</v>
      </c>
      <c r="C1023" s="290"/>
      <c r="D1023" s="290"/>
      <c r="E1023" s="290"/>
      <c r="F1023" s="393"/>
      <c r="G1023" s="290"/>
      <c r="H1023" s="326"/>
      <c r="I1023" s="209"/>
      <c r="L1023" s="209"/>
      <c r="M1023" s="209"/>
      <c r="N1023" s="209"/>
    </row>
    <row r="1024" spans="1:50">
      <c r="A1024" s="278"/>
      <c r="B1024" s="283" t="s">
        <v>249</v>
      </c>
      <c r="C1024" s="290"/>
      <c r="D1024" s="290"/>
      <c r="E1024" s="290"/>
      <c r="F1024" s="393"/>
      <c r="G1024" s="290"/>
      <c r="H1024" s="326"/>
      <c r="I1024" s="209"/>
      <c r="L1024" s="209"/>
      <c r="M1024" s="209"/>
      <c r="N1024" s="209"/>
    </row>
    <row r="1025" spans="1:50" ht="18">
      <c r="A1025" s="278"/>
      <c r="B1025" s="282" t="s">
        <v>250</v>
      </c>
      <c r="C1025" s="287">
        <v>1072207</v>
      </c>
      <c r="D1025" s="287">
        <v>1012292</v>
      </c>
      <c r="E1025" s="287">
        <v>769968</v>
      </c>
      <c r="F1025" s="391">
        <v>2289354</v>
      </c>
      <c r="G1025" s="288">
        <v>1191118</v>
      </c>
      <c r="H1025" s="288"/>
      <c r="I1025" s="209"/>
      <c r="L1025" s="209"/>
      <c r="M1025" s="209"/>
      <c r="N1025" s="209"/>
    </row>
    <row r="1026" spans="1:50" ht="18">
      <c r="A1026" s="278"/>
      <c r="B1026" s="284" t="s">
        <v>251</v>
      </c>
      <c r="C1026" s="287">
        <v>-80609</v>
      </c>
      <c r="D1026" s="287">
        <v>-687193</v>
      </c>
      <c r="E1026" s="287">
        <v>-12327</v>
      </c>
      <c r="F1026" s="391">
        <v>-44988</v>
      </c>
      <c r="G1026" s="287">
        <v>46386</v>
      </c>
      <c r="H1026" s="287"/>
      <c r="I1026" s="209"/>
      <c r="L1026" s="209"/>
      <c r="M1026" s="209"/>
      <c r="N1026" s="209"/>
    </row>
    <row r="1027" spans="1:50">
      <c r="A1027" s="278"/>
      <c r="B1027" s="283" t="s">
        <v>252</v>
      </c>
      <c r="C1027" s="290" t="e">
        <v>#DIV/0!</v>
      </c>
      <c r="D1027" s="290" t="e">
        <v>#DIV/0!</v>
      </c>
      <c r="E1027" s="290" t="e">
        <v>#DIV/0!</v>
      </c>
      <c r="F1027" s="393" t="e">
        <v>#DIV/0!</v>
      </c>
      <c r="G1027" s="290" t="e">
        <v>#DIV/0!</v>
      </c>
      <c r="H1027" s="326"/>
      <c r="I1027" s="209"/>
      <c r="L1027" s="209"/>
      <c r="M1027" s="209"/>
      <c r="N1027" s="209"/>
    </row>
    <row r="1028" spans="1:50">
      <c r="A1028" s="278"/>
      <c r="B1028" s="283" t="s">
        <v>253</v>
      </c>
      <c r="C1028" s="290">
        <v>-4.4287532446198166E-2</v>
      </c>
      <c r="D1028" s="290">
        <v>-0.32418870031416713</v>
      </c>
      <c r="E1028" s="290">
        <v>-3.9455837836410469E-3</v>
      </c>
      <c r="F1028" s="393">
        <v>-1.4720077062162124E-2</v>
      </c>
      <c r="G1028" s="290">
        <v>4.1744830605676221E-2</v>
      </c>
      <c r="H1028" s="326"/>
      <c r="I1028" s="209"/>
      <c r="L1028" s="209"/>
      <c r="M1028" s="209"/>
      <c r="N1028" s="209"/>
    </row>
    <row r="1029" spans="1:50" ht="28">
      <c r="A1029" s="278"/>
      <c r="B1029" s="283" t="s">
        <v>254</v>
      </c>
      <c r="C1029" s="290"/>
      <c r="D1029" s="290"/>
      <c r="E1029" s="290"/>
      <c r="F1029" s="393"/>
      <c r="G1029" s="290"/>
      <c r="H1029" s="326"/>
      <c r="I1029" s="209"/>
      <c r="L1029" s="209"/>
      <c r="M1029" s="209"/>
      <c r="N1029" s="209"/>
    </row>
    <row r="1030" spans="1:50" ht="18">
      <c r="A1030" s="278"/>
      <c r="B1030" s="281" t="s">
        <v>255</v>
      </c>
      <c r="C1030" s="287">
        <v>686983</v>
      </c>
      <c r="D1030" s="287">
        <v>868775</v>
      </c>
      <c r="E1030" s="287">
        <v>1588428</v>
      </c>
      <c r="F1030" s="391">
        <v>1600755</v>
      </c>
      <c r="G1030" s="287">
        <v>1031240</v>
      </c>
      <c r="H1030" s="287"/>
      <c r="I1030" s="209"/>
      <c r="L1030" s="209"/>
      <c r="M1030" s="209"/>
      <c r="N1030" s="209"/>
    </row>
    <row r="1031" spans="1:50">
      <c r="I1031" s="209"/>
      <c r="L1031" s="209"/>
      <c r="M1031" s="209"/>
      <c r="N1031" s="209"/>
    </row>
    <row r="1032" spans="1:50">
      <c r="I1032" s="209"/>
      <c r="L1032" s="209"/>
      <c r="M1032" s="209"/>
      <c r="N1032" s="209"/>
    </row>
    <row r="1033" spans="1:50">
      <c r="A1033" s="291" t="s">
        <v>234</v>
      </c>
      <c r="B1033" s="278"/>
      <c r="C1033" s="278"/>
      <c r="D1033" s="278"/>
      <c r="E1033" s="278"/>
      <c r="F1033" s="394"/>
      <c r="G1033" s="278"/>
      <c r="H1033" s="278"/>
      <c r="I1033" s="209"/>
      <c r="L1033" s="209"/>
      <c r="M1033" s="209"/>
      <c r="N1033" s="209"/>
    </row>
    <row r="1034" spans="1:50">
      <c r="A1034" s="292" t="s">
        <v>235</v>
      </c>
      <c r="B1034" s="279"/>
      <c r="C1034" s="279">
        <v>2011</v>
      </c>
      <c r="D1034" s="286" t="s">
        <v>216</v>
      </c>
      <c r="E1034" s="286" t="s">
        <v>217</v>
      </c>
      <c r="F1034" s="390" t="s">
        <v>218</v>
      </c>
      <c r="G1034" s="286" t="s">
        <v>219</v>
      </c>
      <c r="H1034" s="286"/>
      <c r="I1034" s="209"/>
      <c r="L1034" s="209"/>
      <c r="M1034" s="209"/>
      <c r="N1034" s="209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</row>
    <row r="1035" spans="1:50" ht="18">
      <c r="A1035" s="278"/>
      <c r="B1035" s="280" t="s">
        <v>246</v>
      </c>
      <c r="C1035" s="287">
        <v>200784</v>
      </c>
      <c r="D1035" s="287">
        <v>197249</v>
      </c>
      <c r="E1035" s="287">
        <v>373802</v>
      </c>
      <c r="F1035" s="391">
        <v>572416</v>
      </c>
      <c r="G1035" s="288">
        <v>552680</v>
      </c>
      <c r="H1035" s="288"/>
      <c r="I1035" s="209"/>
      <c r="L1035" s="209"/>
      <c r="M1035" s="209"/>
      <c r="N1035" s="209"/>
    </row>
    <row r="1036" spans="1:50">
      <c r="A1036" s="278"/>
      <c r="B1036" s="279"/>
      <c r="C1036" s="289"/>
      <c r="D1036" s="289"/>
      <c r="E1036" s="289"/>
      <c r="F1036" s="392"/>
      <c r="G1036" s="289"/>
      <c r="H1036" s="289"/>
      <c r="I1036" s="209"/>
      <c r="L1036" s="209"/>
      <c r="M1036" s="209"/>
      <c r="N1036" s="209"/>
    </row>
    <row r="1037" spans="1:50" ht="28">
      <c r="A1037" s="278"/>
      <c r="B1037" s="285" t="s">
        <v>247</v>
      </c>
      <c r="C1037" s="287">
        <v>52777</v>
      </c>
      <c r="D1037" s="287">
        <v>171837</v>
      </c>
      <c r="E1037" s="287">
        <v>298303</v>
      </c>
      <c r="F1037" s="391">
        <v>314608</v>
      </c>
      <c r="G1037" s="288">
        <v>192981</v>
      </c>
      <c r="H1037" s="288"/>
      <c r="I1037" s="209"/>
      <c r="L1037" s="209"/>
      <c r="M1037" s="209"/>
      <c r="N1037" s="209"/>
    </row>
    <row r="1038" spans="1:50">
      <c r="A1038" s="278"/>
      <c r="B1038" s="283" t="s">
        <v>248</v>
      </c>
      <c r="C1038" s="290"/>
      <c r="D1038" s="290"/>
      <c r="E1038" s="290"/>
      <c r="F1038" s="393"/>
      <c r="G1038" s="290"/>
      <c r="H1038" s="326"/>
      <c r="I1038" s="209"/>
      <c r="L1038" s="209"/>
      <c r="M1038" s="209"/>
      <c r="N1038" s="209"/>
    </row>
    <row r="1039" spans="1:50">
      <c r="A1039" s="278"/>
      <c r="B1039" s="283" t="s">
        <v>249</v>
      </c>
      <c r="C1039" s="290"/>
      <c r="D1039" s="290"/>
      <c r="E1039" s="290"/>
      <c r="F1039" s="393"/>
      <c r="G1039" s="290"/>
      <c r="H1039" s="326"/>
      <c r="I1039" s="209"/>
      <c r="L1039" s="209"/>
      <c r="M1039" s="209"/>
      <c r="N1039" s="209"/>
    </row>
    <row r="1040" spans="1:50" ht="18">
      <c r="A1040" s="278"/>
      <c r="B1040" s="282" t="s">
        <v>250</v>
      </c>
      <c r="C1040" s="287">
        <v>75143</v>
      </c>
      <c r="D1040" s="287">
        <v>31180</v>
      </c>
      <c r="E1040" s="287">
        <v>207788</v>
      </c>
      <c r="F1040" s="391">
        <v>267864</v>
      </c>
      <c r="G1040" s="287">
        <v>259436</v>
      </c>
      <c r="H1040" s="287"/>
      <c r="I1040" s="209"/>
      <c r="L1040" s="209"/>
      <c r="M1040" s="209"/>
      <c r="N1040" s="209"/>
    </row>
    <row r="1041" spans="1:14" ht="18">
      <c r="A1041" s="278"/>
      <c r="B1041" s="284" t="s">
        <v>251</v>
      </c>
      <c r="C1041" s="287">
        <v>5567</v>
      </c>
      <c r="D1041" s="287">
        <v>-15905</v>
      </c>
      <c r="E1041" s="287">
        <v>-90877</v>
      </c>
      <c r="F1041" s="391">
        <v>11035</v>
      </c>
      <c r="G1041" s="287">
        <v>56584</v>
      </c>
      <c r="H1041" s="287"/>
      <c r="I1041" s="209"/>
      <c r="L1041" s="209"/>
      <c r="M1041" s="209"/>
      <c r="N1041" s="209"/>
    </row>
    <row r="1042" spans="1:14">
      <c r="A1042" s="278"/>
      <c r="B1042" s="283" t="s">
        <v>252</v>
      </c>
      <c r="C1042" s="290" t="e">
        <v>#DIV/0!</v>
      </c>
      <c r="D1042" s="290" t="e">
        <v>#DIV/0!</v>
      </c>
      <c r="E1042" s="290" t="e">
        <v>#DIV/0!</v>
      </c>
      <c r="F1042" s="393" t="e">
        <v>#DIV/0!</v>
      </c>
      <c r="G1042" s="290" t="e">
        <v>#DIV/0!</v>
      </c>
      <c r="H1042" s="326"/>
      <c r="I1042" s="209"/>
      <c r="L1042" s="209"/>
      <c r="M1042" s="209"/>
      <c r="N1042" s="209"/>
    </row>
    <row r="1043" spans="1:14">
      <c r="A1043" s="278"/>
      <c r="B1043" s="283" t="s">
        <v>253</v>
      </c>
      <c r="C1043" s="290">
        <v>2.797255503940628E-2</v>
      </c>
      <c r="D1043" s="290">
        <v>-5.570430662059956E-2</v>
      </c>
      <c r="E1043" s="290">
        <v>-0.19208469929762487</v>
      </c>
      <c r="F1043" s="393">
        <v>1.9616103870247516E-2</v>
      </c>
      <c r="G1043" s="290">
        <v>0.20476224940290946</v>
      </c>
      <c r="H1043" s="326"/>
      <c r="I1043" s="209"/>
      <c r="L1043" s="209"/>
      <c r="M1043" s="209"/>
      <c r="N1043" s="209"/>
    </row>
    <row r="1044" spans="1:14" ht="28">
      <c r="A1044" s="278"/>
      <c r="B1044" s="283" t="s">
        <v>254</v>
      </c>
      <c r="C1044" s="290"/>
      <c r="D1044" s="290"/>
      <c r="E1044" s="290"/>
      <c r="F1044" s="393"/>
      <c r="G1044" s="290"/>
      <c r="H1044" s="326"/>
      <c r="I1044" s="209"/>
      <c r="L1044" s="209"/>
      <c r="M1044" s="209"/>
      <c r="N1044" s="209"/>
    </row>
    <row r="1045" spans="1:14" ht="18">
      <c r="A1045" s="278"/>
      <c r="B1045" s="281" t="s">
        <v>255</v>
      </c>
      <c r="C1045" s="287">
        <v>125641</v>
      </c>
      <c r="D1045" s="287">
        <v>166070</v>
      </c>
      <c r="E1045" s="287">
        <v>166014</v>
      </c>
      <c r="F1045" s="391">
        <v>304552</v>
      </c>
      <c r="G1045" s="288">
        <v>293245</v>
      </c>
      <c r="H1045" s="288"/>
      <c r="I1045" s="209"/>
      <c r="L1045" s="209"/>
      <c r="M1045" s="209"/>
      <c r="N1045" s="209"/>
    </row>
    <row r="1046" spans="1:14">
      <c r="I1046" s="209"/>
      <c r="L1046" s="209"/>
      <c r="M1046" s="209"/>
      <c r="N1046" s="209"/>
    </row>
    <row r="1047" spans="1:14">
      <c r="I1047" s="209"/>
      <c r="L1047" s="209"/>
      <c r="M1047" s="209"/>
      <c r="N1047" s="209"/>
    </row>
    <row r="1048" spans="1:14">
      <c r="A1048" s="291" t="s">
        <v>236</v>
      </c>
      <c r="B1048" s="278"/>
      <c r="C1048" s="278"/>
      <c r="D1048" s="278"/>
      <c r="E1048" s="278"/>
      <c r="F1048" s="394"/>
      <c r="G1048" s="278"/>
      <c r="H1048" s="278"/>
      <c r="I1048" s="209"/>
      <c r="L1048" s="209"/>
      <c r="M1048" s="209"/>
      <c r="N1048" s="209"/>
    </row>
    <row r="1049" spans="1:14">
      <c r="A1049" s="291" t="s">
        <v>237</v>
      </c>
      <c r="B1049" s="279"/>
      <c r="C1049" s="279">
        <v>2009</v>
      </c>
      <c r="D1049" s="286" t="s">
        <v>220</v>
      </c>
      <c r="E1049" s="286" t="s">
        <v>221</v>
      </c>
      <c r="F1049" s="390" t="s">
        <v>222</v>
      </c>
      <c r="G1049" s="286" t="s">
        <v>223</v>
      </c>
      <c r="H1049" s="286"/>
      <c r="I1049" s="209"/>
      <c r="L1049" s="209"/>
      <c r="M1049" s="209"/>
      <c r="N1049" s="209"/>
    </row>
    <row r="1050" spans="1:14" ht="18">
      <c r="A1050" s="278"/>
      <c r="B1050" s="280" t="s">
        <v>246</v>
      </c>
      <c r="C1050" s="287">
        <v>255140</v>
      </c>
      <c r="D1050" s="287">
        <v>267953</v>
      </c>
      <c r="E1050" s="287">
        <v>211614</v>
      </c>
      <c r="F1050" s="391">
        <v>177642</v>
      </c>
      <c r="G1050" s="288">
        <v>227175</v>
      </c>
      <c r="H1050" s="288"/>
      <c r="I1050" s="209"/>
      <c r="L1050" s="209"/>
      <c r="M1050" s="209"/>
      <c r="N1050" s="209"/>
    </row>
    <row r="1051" spans="1:14">
      <c r="A1051" s="278"/>
      <c r="B1051" s="279"/>
      <c r="C1051" s="289"/>
      <c r="D1051" s="289"/>
      <c r="E1051" s="289"/>
      <c r="F1051" s="392"/>
      <c r="G1051" s="289"/>
      <c r="H1051" s="289"/>
      <c r="I1051" s="209"/>
      <c r="L1051" s="209"/>
      <c r="M1051" s="209"/>
      <c r="N1051" s="209"/>
    </row>
    <row r="1052" spans="1:14" ht="28">
      <c r="A1052" s="278"/>
      <c r="B1052" s="285" t="s">
        <v>247</v>
      </c>
      <c r="C1052" s="287">
        <v>283803</v>
      </c>
      <c r="D1052" s="287">
        <v>345480</v>
      </c>
      <c r="E1052" s="287">
        <v>298206</v>
      </c>
      <c r="F1052" s="391">
        <v>257674</v>
      </c>
      <c r="G1052" s="288">
        <v>270877</v>
      </c>
      <c r="H1052" s="288"/>
      <c r="I1052" s="209"/>
      <c r="L1052" s="209"/>
      <c r="M1052" s="209"/>
      <c r="N1052" s="209"/>
    </row>
    <row r="1053" spans="1:14">
      <c r="A1053" s="278"/>
      <c r="B1053" s="283" t="s">
        <v>248</v>
      </c>
      <c r="C1053" s="290"/>
      <c r="D1053" s="290"/>
      <c r="E1053" s="290"/>
      <c r="F1053" s="393"/>
      <c r="G1053" s="290"/>
      <c r="H1053" s="326"/>
      <c r="I1053" s="209"/>
      <c r="L1053" s="209"/>
      <c r="M1053" s="209"/>
      <c r="N1053" s="209"/>
    </row>
    <row r="1054" spans="1:14">
      <c r="A1054" s="278"/>
      <c r="B1054" s="283" t="s">
        <v>249</v>
      </c>
      <c r="C1054" s="290"/>
      <c r="D1054" s="290"/>
      <c r="E1054" s="290"/>
      <c r="F1054" s="393"/>
      <c r="G1054" s="290"/>
      <c r="H1054" s="326"/>
      <c r="I1054" s="209"/>
      <c r="L1054" s="209"/>
      <c r="M1054" s="209"/>
      <c r="N1054" s="209"/>
    </row>
    <row r="1055" spans="1:14" ht="18">
      <c r="A1055" s="278"/>
      <c r="B1055" s="282" t="s">
        <v>250</v>
      </c>
      <c r="C1055" s="287">
        <v>169476</v>
      </c>
      <c r="D1055" s="287">
        <v>179808</v>
      </c>
      <c r="E1055" s="287">
        <v>108476</v>
      </c>
      <c r="F1055" s="391">
        <v>85076</v>
      </c>
      <c r="G1055" s="287">
        <v>118726</v>
      </c>
      <c r="H1055" s="287"/>
      <c r="I1055" s="209"/>
      <c r="L1055" s="209"/>
      <c r="M1055" s="209"/>
      <c r="N1055" s="209"/>
    </row>
    <row r="1056" spans="1:14" ht="18">
      <c r="A1056" s="278"/>
      <c r="B1056" s="284" t="s">
        <v>251</v>
      </c>
      <c r="C1056" s="287">
        <v>37566</v>
      </c>
      <c r="D1056" s="287">
        <v>67904</v>
      </c>
      <c r="E1056" s="287">
        <v>47279</v>
      </c>
      <c r="F1056" s="391">
        <v>31916</v>
      </c>
      <c r="G1056" s="288">
        <v>52208</v>
      </c>
      <c r="H1056" s="288"/>
      <c r="I1056" s="209"/>
      <c r="L1056" s="209"/>
      <c r="M1056" s="209"/>
      <c r="N1056" s="209"/>
    </row>
    <row r="1057" spans="1:14">
      <c r="A1057" s="278"/>
      <c r="B1057" s="283" t="s">
        <v>252</v>
      </c>
      <c r="C1057" s="290" t="e">
        <v>#DIV/0!</v>
      </c>
      <c r="D1057" s="290" t="e">
        <v>#DIV/0!</v>
      </c>
      <c r="E1057" s="290" t="e">
        <v>#DIV/0!</v>
      </c>
      <c r="F1057" s="393" t="e">
        <v>#DIV/0!</v>
      </c>
      <c r="G1057" s="290" t="e">
        <v>#DIV/0!</v>
      </c>
      <c r="H1057" s="326"/>
      <c r="I1057" s="209"/>
      <c r="L1057" s="209"/>
      <c r="M1057" s="209"/>
      <c r="N1057" s="209"/>
    </row>
    <row r="1058" spans="1:14">
      <c r="A1058" s="278"/>
      <c r="B1058" s="283" t="s">
        <v>253</v>
      </c>
      <c r="C1058" s="290">
        <v>0.14363029136310368</v>
      </c>
      <c r="D1058" s="290">
        <v>0.2831887932238874</v>
      </c>
      <c r="E1058" s="290">
        <v>0.24291982654088826</v>
      </c>
      <c r="F1058" s="393">
        <v>0.15768112505156651</v>
      </c>
      <c r="G1058" s="290">
        <v>0.45962804005722463</v>
      </c>
      <c r="H1058" s="326"/>
      <c r="I1058" s="209"/>
      <c r="L1058" s="209"/>
      <c r="M1058" s="209"/>
      <c r="N1058" s="209"/>
    </row>
    <row r="1059" spans="1:14" ht="28">
      <c r="A1059" s="278"/>
      <c r="B1059" s="283" t="s">
        <v>254</v>
      </c>
      <c r="C1059" s="290"/>
      <c r="D1059" s="290"/>
      <c r="E1059" s="290"/>
      <c r="F1059" s="393"/>
      <c r="G1059" s="290"/>
      <c r="H1059" s="326"/>
      <c r="I1059" s="209"/>
      <c r="L1059" s="209"/>
      <c r="M1059" s="209"/>
      <c r="N1059" s="209"/>
    </row>
    <row r="1060" spans="1:14" ht="18">
      <c r="A1060" s="278"/>
      <c r="B1060" s="281" t="s">
        <v>255</v>
      </c>
      <c r="C1060" s="287">
        <v>85664</v>
      </c>
      <c r="D1060" s="287">
        <v>88145</v>
      </c>
      <c r="E1060" s="287">
        <v>103138</v>
      </c>
      <c r="F1060" s="391">
        <v>92566</v>
      </c>
      <c r="G1060" s="288">
        <v>108451</v>
      </c>
      <c r="H1060" s="288"/>
      <c r="I1060" s="209"/>
      <c r="L1060" s="209"/>
      <c r="M1060" s="209"/>
      <c r="N1060" s="209"/>
    </row>
    <row r="1061" spans="1:14">
      <c r="I1061" s="209"/>
      <c r="L1061" s="209"/>
      <c r="M1061" s="209"/>
      <c r="N1061" s="209"/>
    </row>
    <row r="1062" spans="1:14">
      <c r="I1062" s="209"/>
      <c r="L1062" s="209"/>
      <c r="M1062" s="209"/>
      <c r="N1062" s="209"/>
    </row>
    <row r="1063" spans="1:14">
      <c r="A1063" s="291" t="s">
        <v>238</v>
      </c>
      <c r="B1063" s="278"/>
      <c r="C1063" s="278"/>
      <c r="D1063" s="278"/>
      <c r="E1063" s="278"/>
      <c r="F1063" s="394"/>
      <c r="G1063" s="278"/>
      <c r="H1063" s="278"/>
      <c r="I1063" s="209"/>
      <c r="L1063" s="209"/>
      <c r="M1063" s="209"/>
      <c r="N1063" s="209"/>
    </row>
    <row r="1064" spans="1:14">
      <c r="A1064" s="291" t="s">
        <v>239</v>
      </c>
      <c r="B1064" s="279"/>
      <c r="C1064" s="279">
        <v>2008</v>
      </c>
      <c r="D1064" s="286" t="s">
        <v>224</v>
      </c>
      <c r="E1064" s="286" t="s">
        <v>225</v>
      </c>
      <c r="F1064" s="390" t="s">
        <v>226</v>
      </c>
      <c r="G1064" s="286" t="s">
        <v>227</v>
      </c>
      <c r="H1064" s="286"/>
      <c r="I1064" s="209"/>
      <c r="L1064" s="209"/>
      <c r="M1064" s="209"/>
      <c r="N1064" s="209"/>
    </row>
    <row r="1065" spans="1:14" ht="18">
      <c r="A1065" s="278"/>
      <c r="B1065" s="280" t="s">
        <v>246</v>
      </c>
      <c r="C1065" s="287">
        <v>52549</v>
      </c>
      <c r="D1065" s="287">
        <v>66722</v>
      </c>
      <c r="E1065" s="287">
        <v>56154</v>
      </c>
      <c r="F1065" s="391">
        <v>52427</v>
      </c>
      <c r="G1065" s="287">
        <v>51351</v>
      </c>
      <c r="H1065" s="287"/>
      <c r="I1065" s="209"/>
      <c r="L1065" s="209"/>
      <c r="M1065" s="209"/>
      <c r="N1065" s="209"/>
    </row>
    <row r="1066" spans="1:14">
      <c r="A1066" s="278"/>
      <c r="B1066" s="279"/>
      <c r="C1066" s="289"/>
      <c r="D1066" s="289"/>
      <c r="E1066" s="289"/>
      <c r="F1066" s="392"/>
      <c r="G1066" s="289"/>
      <c r="H1066" s="289"/>
      <c r="I1066" s="209"/>
      <c r="L1066" s="209"/>
      <c r="M1066" s="209"/>
      <c r="N1066" s="209"/>
    </row>
    <row r="1067" spans="1:14" ht="28">
      <c r="A1067" s="278"/>
      <c r="B1067" s="285" t="s">
        <v>247</v>
      </c>
      <c r="C1067" s="287">
        <v>50700</v>
      </c>
      <c r="D1067" s="287">
        <v>52987</v>
      </c>
      <c r="E1067" s="287">
        <v>52226</v>
      </c>
      <c r="F1067" s="391">
        <v>54738</v>
      </c>
      <c r="G1067" s="288">
        <v>54577</v>
      </c>
      <c r="H1067" s="288"/>
      <c r="I1067" s="209"/>
      <c r="L1067" s="209"/>
      <c r="M1067" s="209"/>
      <c r="N1067" s="209"/>
    </row>
    <row r="1068" spans="1:14">
      <c r="A1068" s="278"/>
      <c r="B1068" s="283" t="s">
        <v>248</v>
      </c>
      <c r="C1068" s="290"/>
      <c r="D1068" s="290"/>
      <c r="E1068" s="290"/>
      <c r="F1068" s="393"/>
      <c r="G1068" s="290"/>
      <c r="H1068" s="326"/>
      <c r="I1068" s="209"/>
      <c r="L1068" s="209"/>
      <c r="M1068" s="209"/>
      <c r="N1068" s="209"/>
    </row>
    <row r="1069" spans="1:14">
      <c r="A1069" s="278"/>
      <c r="B1069" s="283" t="s">
        <v>249</v>
      </c>
      <c r="C1069" s="290"/>
      <c r="D1069" s="290"/>
      <c r="E1069" s="290"/>
      <c r="F1069" s="393"/>
      <c r="G1069" s="290"/>
      <c r="H1069" s="326"/>
      <c r="I1069" s="209"/>
      <c r="L1069" s="209"/>
      <c r="M1069" s="209"/>
      <c r="N1069" s="209"/>
    </row>
    <row r="1070" spans="1:14" ht="18">
      <c r="A1070" s="278"/>
      <c r="B1070" s="282" t="s">
        <v>250</v>
      </c>
      <c r="C1070" s="287">
        <v>30996</v>
      </c>
      <c r="D1070" s="287">
        <v>42443</v>
      </c>
      <c r="E1070" s="287">
        <v>32245</v>
      </c>
      <c r="F1070" s="391">
        <v>25222</v>
      </c>
      <c r="G1070" s="288">
        <v>21226</v>
      </c>
      <c r="H1070" s="288"/>
      <c r="I1070" s="209"/>
      <c r="L1070" s="209"/>
      <c r="M1070" s="209"/>
      <c r="N1070" s="209"/>
    </row>
    <row r="1071" spans="1:14" ht="18">
      <c r="A1071" s="278"/>
      <c r="B1071" s="284" t="s">
        <v>251</v>
      </c>
      <c r="C1071" s="287">
        <v>-115</v>
      </c>
      <c r="D1071" s="287">
        <v>3865</v>
      </c>
      <c r="E1071" s="287">
        <v>4676</v>
      </c>
      <c r="F1071" s="391">
        <v>2471</v>
      </c>
      <c r="G1071" s="288">
        <v>11482</v>
      </c>
      <c r="H1071" s="288"/>
      <c r="I1071" s="209"/>
      <c r="L1071" s="209"/>
      <c r="M1071" s="209"/>
      <c r="N1071" s="209"/>
    </row>
    <row r="1072" spans="1:14">
      <c r="A1072" s="278"/>
      <c r="B1072" s="283" t="s">
        <v>252</v>
      </c>
      <c r="C1072" s="290" t="e">
        <v>#DIV/0!</v>
      </c>
      <c r="D1072" s="290" t="e">
        <v>#DIV/0!</v>
      </c>
      <c r="E1072" s="290" t="e">
        <v>#DIV/0!</v>
      </c>
      <c r="F1072" s="393" t="e">
        <v>#DIV/0!</v>
      </c>
      <c r="G1072" s="290" t="e">
        <v>#DIV/0!</v>
      </c>
      <c r="H1072" s="326"/>
      <c r="I1072" s="209"/>
      <c r="L1072" s="209"/>
      <c r="M1072" s="209"/>
      <c r="N1072" s="209"/>
    </row>
    <row r="1073" spans="1:14">
      <c r="A1073" s="278"/>
      <c r="B1073" s="283" t="s">
        <v>253</v>
      </c>
      <c r="C1073" s="290">
        <v>-1.928381584794292E-3</v>
      </c>
      <c r="D1073" s="290">
        <v>6.290894885901234E-2</v>
      </c>
      <c r="E1073" s="290">
        <v>8.6129249131984414E-2</v>
      </c>
      <c r="F1073" s="393">
        <v>4.7620883038794352E-2</v>
      </c>
      <c r="G1073" s="290">
        <v>0.44719674397772197</v>
      </c>
      <c r="H1073" s="326"/>
      <c r="I1073" s="209"/>
      <c r="L1073" s="209"/>
      <c r="M1073" s="209"/>
      <c r="N1073" s="209"/>
    </row>
    <row r="1074" spans="1:14" ht="28">
      <c r="A1074" s="278"/>
      <c r="B1074" s="283" t="s">
        <v>254</v>
      </c>
      <c r="C1074" s="290"/>
      <c r="D1074" s="290"/>
      <c r="E1074" s="290"/>
      <c r="F1074" s="393"/>
      <c r="G1074" s="290"/>
      <c r="H1074" s="326"/>
      <c r="I1074" s="209"/>
      <c r="L1074" s="209"/>
      <c r="M1074" s="209"/>
      <c r="N1074" s="209"/>
    </row>
    <row r="1075" spans="1:14" ht="18">
      <c r="A1075" s="278"/>
      <c r="B1075" s="281" t="s">
        <v>255</v>
      </c>
      <c r="C1075" s="287">
        <v>21553</v>
      </c>
      <c r="D1075" s="287">
        <v>24279</v>
      </c>
      <c r="E1075" s="287">
        <v>23909</v>
      </c>
      <c r="F1075" s="391">
        <v>27205</v>
      </c>
      <c r="G1075" s="288">
        <v>30125</v>
      </c>
      <c r="H1075" s="288"/>
      <c r="I1075" s="209"/>
      <c r="L1075" s="209"/>
      <c r="M1075" s="209"/>
      <c r="N1075" s="209"/>
    </row>
    <row r="1076" spans="1:14">
      <c r="I1076" s="209"/>
      <c r="L1076" s="209"/>
      <c r="M1076" s="209"/>
      <c r="N1076" s="209"/>
    </row>
    <row r="1077" spans="1:14">
      <c r="I1077" s="209"/>
      <c r="L1077" s="209"/>
      <c r="M1077" s="209"/>
      <c r="N1077" s="209"/>
    </row>
    <row r="1078" spans="1:14">
      <c r="A1078" s="291" t="s">
        <v>240</v>
      </c>
      <c r="B1078" s="278"/>
      <c r="C1078" s="278"/>
      <c r="D1078" s="278"/>
      <c r="E1078" s="278"/>
      <c r="F1078" s="394"/>
      <c r="G1078" s="278"/>
      <c r="H1078" s="278"/>
      <c r="I1078" s="209"/>
      <c r="L1078" s="209"/>
      <c r="M1078" s="209"/>
      <c r="N1078" s="209"/>
    </row>
    <row r="1079" spans="1:14">
      <c r="A1079" s="291" t="s">
        <v>241</v>
      </c>
      <c r="B1079" s="278"/>
      <c r="C1079" s="278"/>
      <c r="D1079" s="278"/>
      <c r="E1079" s="278"/>
      <c r="F1079" s="394"/>
      <c r="G1079" s="278"/>
      <c r="H1079" s="278"/>
      <c r="I1079" s="209"/>
      <c r="L1079" s="209"/>
      <c r="M1079" s="209"/>
      <c r="N1079" s="209"/>
    </row>
    <row r="1080" spans="1:14">
      <c r="A1080" s="278"/>
      <c r="B1080" s="279"/>
      <c r="C1080" s="279">
        <v>2016</v>
      </c>
      <c r="D1080" s="286" t="s">
        <v>171</v>
      </c>
      <c r="E1080" s="286" t="s">
        <v>172</v>
      </c>
      <c r="F1080" s="390" t="s">
        <v>173</v>
      </c>
      <c r="G1080" s="286" t="s">
        <v>174</v>
      </c>
      <c r="H1080" s="286"/>
      <c r="I1080" s="209"/>
      <c r="L1080" s="209"/>
      <c r="M1080" s="209"/>
      <c r="N1080" s="209"/>
    </row>
    <row r="1081" spans="1:14">
      <c r="A1081" s="278"/>
      <c r="B1081" s="280" t="s">
        <v>246</v>
      </c>
      <c r="C1081" s="270">
        <v>104134</v>
      </c>
      <c r="D1081" s="270">
        <v>29815</v>
      </c>
      <c r="E1081" s="270">
        <v>41059</v>
      </c>
      <c r="F1081" s="378">
        <v>48253.124539822304</v>
      </c>
      <c r="G1081" s="270">
        <v>7177.9174040257903</v>
      </c>
      <c r="H1081" s="321"/>
      <c r="I1081" s="209"/>
      <c r="L1081" s="209"/>
      <c r="M1081" s="209"/>
      <c r="N1081" s="209"/>
    </row>
    <row r="1082" spans="1:14">
      <c r="A1082" s="278"/>
      <c r="B1082" s="279"/>
      <c r="C1082" s="289"/>
      <c r="D1082" s="289"/>
      <c r="E1082" s="289"/>
      <c r="F1082" s="392"/>
      <c r="G1082" s="289"/>
      <c r="H1082" s="289"/>
      <c r="I1082" s="209"/>
      <c r="L1082" s="209"/>
      <c r="M1082" s="209"/>
      <c r="N1082" s="209"/>
    </row>
    <row r="1083" spans="1:14" ht="28">
      <c r="A1083" s="278"/>
      <c r="B1083" s="285" t="s">
        <v>247</v>
      </c>
      <c r="C1083" s="271">
        <v>3845</v>
      </c>
      <c r="D1083" s="271">
        <v>4413</v>
      </c>
      <c r="E1083" s="271">
        <v>4479</v>
      </c>
      <c r="F1083" s="379">
        <v>1898.0262976884801</v>
      </c>
      <c r="G1083" s="271">
        <v>874.86534878611599</v>
      </c>
      <c r="H1083" s="281"/>
      <c r="I1083" s="209"/>
      <c r="L1083" s="209"/>
      <c r="M1083" s="209"/>
      <c r="N1083" s="209"/>
    </row>
    <row r="1084" spans="1:14">
      <c r="A1084" s="278"/>
      <c r="B1084" s="283" t="s">
        <v>248</v>
      </c>
      <c r="C1084" s="271">
        <v>12850</v>
      </c>
      <c r="D1084" s="271">
        <v>0</v>
      </c>
      <c r="E1084" s="271">
        <v>0</v>
      </c>
      <c r="F1084" s="379">
        <v>0</v>
      </c>
      <c r="G1084" s="271">
        <v>0</v>
      </c>
      <c r="H1084" s="281"/>
      <c r="I1084" s="209"/>
      <c r="L1084" s="209"/>
      <c r="M1084" s="209"/>
      <c r="N1084" s="209"/>
    </row>
    <row r="1085" spans="1:14">
      <c r="A1085" s="278"/>
      <c r="B1085" s="283" t="s">
        <v>249</v>
      </c>
      <c r="C1085" s="271">
        <v>7789</v>
      </c>
      <c r="D1085" s="271">
        <v>5170</v>
      </c>
      <c r="E1085" s="271">
        <v>4748</v>
      </c>
      <c r="F1085" s="379">
        <v>5867.7631019353903</v>
      </c>
      <c r="G1085" s="271">
        <v>1764.9910207092801</v>
      </c>
      <c r="H1085" s="281"/>
      <c r="I1085" s="209"/>
      <c r="L1085" s="209"/>
      <c r="M1085" s="209"/>
      <c r="N1085" s="209"/>
    </row>
    <row r="1086" spans="1:14" ht="18">
      <c r="A1086" s="278"/>
      <c r="B1086" s="282" t="s">
        <v>250</v>
      </c>
      <c r="C1086" s="293">
        <v>20639</v>
      </c>
      <c r="D1086" s="293">
        <v>5170</v>
      </c>
      <c r="E1086" s="293">
        <v>4748</v>
      </c>
      <c r="F1086" s="395">
        <v>5867.7631019353903</v>
      </c>
      <c r="G1086" s="293">
        <v>1764.9910207092801</v>
      </c>
      <c r="H1086" s="293"/>
      <c r="I1086" s="209"/>
      <c r="L1086" s="209"/>
      <c r="M1086" s="209"/>
      <c r="N1086" s="209"/>
    </row>
    <row r="1087" spans="1:14">
      <c r="A1087" s="278"/>
      <c r="B1087" s="284" t="s">
        <v>251</v>
      </c>
      <c r="C1087" s="271">
        <v>-44213</v>
      </c>
      <c r="D1087" s="271">
        <v>-31788</v>
      </c>
      <c r="E1087" s="271">
        <v>-25796</v>
      </c>
      <c r="F1087" s="379">
        <v>-13695.065658867399</v>
      </c>
      <c r="G1087" s="271">
        <v>-8388.68939504027</v>
      </c>
      <c r="H1087" s="281"/>
      <c r="I1087" s="209"/>
      <c r="L1087" s="209"/>
      <c r="M1087" s="209"/>
      <c r="N1087" s="209"/>
    </row>
    <row r="1088" spans="1:14">
      <c r="A1088" s="278"/>
      <c r="B1088" s="283" t="s">
        <v>252</v>
      </c>
      <c r="C1088" s="290"/>
      <c r="D1088" s="290"/>
      <c r="E1088" s="290"/>
      <c r="F1088" s="393"/>
      <c r="G1088" s="290"/>
      <c r="H1088" s="326"/>
      <c r="I1088" s="209"/>
      <c r="L1088" s="209"/>
      <c r="M1088" s="209"/>
      <c r="N1088" s="209"/>
    </row>
    <row r="1089" spans="1:14">
      <c r="A1089" s="278"/>
      <c r="B1089" s="283" t="s">
        <v>253</v>
      </c>
      <c r="C1089" s="290"/>
      <c r="D1089" s="290"/>
      <c r="E1089" s="290"/>
      <c r="F1089" s="393"/>
      <c r="G1089" s="290"/>
      <c r="H1089" s="326"/>
      <c r="I1089" s="209"/>
      <c r="L1089" s="209"/>
      <c r="M1089" s="209"/>
      <c r="N1089" s="209"/>
    </row>
    <row r="1090" spans="1:14" ht="28">
      <c r="A1090" s="278"/>
      <c r="B1090" s="283" t="s">
        <v>254</v>
      </c>
      <c r="C1090" s="290"/>
      <c r="D1090" s="290"/>
      <c r="E1090" s="290"/>
      <c r="F1090" s="393"/>
      <c r="G1090" s="290"/>
      <c r="H1090" s="326"/>
      <c r="I1090" s="209"/>
      <c r="L1090" s="209"/>
      <c r="M1090" s="209"/>
      <c r="N1090" s="209"/>
    </row>
    <row r="1091" spans="1:14">
      <c r="A1091" s="278"/>
      <c r="B1091" s="281" t="s">
        <v>255</v>
      </c>
      <c r="C1091" s="271">
        <v>83495</v>
      </c>
      <c r="D1091" s="271">
        <v>24645</v>
      </c>
      <c r="E1091" s="271">
        <v>36311</v>
      </c>
      <c r="F1091" s="379">
        <v>42385.361437886997</v>
      </c>
      <c r="G1091" s="271">
        <v>5412.9263833165196</v>
      </c>
      <c r="H1091" s="281"/>
      <c r="I1091" s="209"/>
      <c r="L1091" s="209"/>
      <c r="M1091" s="209"/>
      <c r="N1091" s="209"/>
    </row>
    <row r="1092" spans="1:14">
      <c r="I1092" s="209"/>
      <c r="L1092" s="209"/>
      <c r="M1092" s="209"/>
      <c r="N1092" s="209"/>
    </row>
    <row r="1093" spans="1:14">
      <c r="I1093" s="209"/>
      <c r="L1093" s="209"/>
      <c r="M1093" s="209"/>
      <c r="N1093" s="209"/>
    </row>
    <row r="1094" spans="1:14">
      <c r="A1094" s="291" t="s">
        <v>242</v>
      </c>
      <c r="B1094" s="278"/>
      <c r="C1094" s="278"/>
      <c r="D1094" s="278"/>
      <c r="E1094" s="278"/>
      <c r="F1094" s="394"/>
      <c r="G1094" s="278"/>
      <c r="H1094" s="278"/>
      <c r="I1094" s="209"/>
      <c r="L1094" s="209"/>
      <c r="M1094" s="209"/>
      <c r="N1094" s="209"/>
    </row>
    <row r="1095" spans="1:14">
      <c r="A1095" s="291" t="s">
        <v>243</v>
      </c>
      <c r="B1095" s="279"/>
      <c r="C1095" s="279">
        <v>2013</v>
      </c>
      <c r="D1095" s="286" t="s">
        <v>228</v>
      </c>
      <c r="E1095" s="286" t="s">
        <v>229</v>
      </c>
      <c r="F1095" s="390" t="s">
        <v>230</v>
      </c>
      <c r="G1095" s="286" t="s">
        <v>231</v>
      </c>
      <c r="H1095" s="286"/>
      <c r="I1095" s="209"/>
      <c r="L1095" s="209"/>
      <c r="M1095" s="209"/>
      <c r="N1095" s="209"/>
    </row>
    <row r="1096" spans="1:14" ht="18">
      <c r="B1096" s="280" t="s">
        <v>246</v>
      </c>
      <c r="C1096" s="287">
        <v>474160</v>
      </c>
      <c r="D1096" s="287">
        <v>464150</v>
      </c>
      <c r="E1096" s="287">
        <v>525226</v>
      </c>
      <c r="F1096" s="391">
        <v>582388</v>
      </c>
      <c r="G1096" s="287">
        <v>578014</v>
      </c>
      <c r="H1096" s="287"/>
      <c r="I1096" s="209"/>
      <c r="L1096" s="209"/>
      <c r="M1096" s="209"/>
      <c r="N1096" s="209"/>
    </row>
    <row r="1097" spans="1:14">
      <c r="B1097" s="279"/>
      <c r="C1097" s="289"/>
      <c r="D1097" s="289"/>
      <c r="E1097" s="289"/>
      <c r="F1097" s="392"/>
      <c r="G1097" s="289"/>
      <c r="H1097" s="289"/>
      <c r="I1097" s="209"/>
      <c r="L1097" s="209"/>
      <c r="M1097" s="209"/>
      <c r="N1097" s="209"/>
    </row>
    <row r="1098" spans="1:14" ht="28">
      <c r="B1098" s="285" t="s">
        <v>247</v>
      </c>
      <c r="C1098" s="287">
        <v>364</v>
      </c>
      <c r="D1098" s="287">
        <v>266</v>
      </c>
      <c r="E1098" s="287">
        <v>379</v>
      </c>
      <c r="F1098" s="391">
        <v>1</v>
      </c>
      <c r="G1098" s="287">
        <v>1</v>
      </c>
      <c r="H1098" s="287"/>
      <c r="I1098" s="209"/>
      <c r="L1098" s="209"/>
      <c r="M1098" s="209"/>
      <c r="N1098" s="209"/>
    </row>
    <row r="1099" spans="1:14">
      <c r="B1099" s="283" t="s">
        <v>248</v>
      </c>
      <c r="C1099" s="290"/>
      <c r="D1099" s="290"/>
      <c r="E1099" s="290"/>
      <c r="F1099" s="393"/>
      <c r="G1099" s="290"/>
      <c r="H1099" s="326"/>
      <c r="I1099" s="209"/>
      <c r="L1099" s="209"/>
      <c r="M1099" s="209"/>
      <c r="N1099" s="209"/>
    </row>
    <row r="1100" spans="1:14">
      <c r="B1100" s="283" t="s">
        <v>249</v>
      </c>
      <c r="C1100" s="290"/>
      <c r="D1100" s="290"/>
      <c r="E1100" s="290"/>
      <c r="F1100" s="393"/>
      <c r="G1100" s="290"/>
      <c r="H1100" s="326"/>
      <c r="I1100" s="209"/>
      <c r="L1100" s="209"/>
      <c r="M1100" s="209"/>
      <c r="N1100" s="209"/>
    </row>
    <row r="1101" spans="1:14" ht="18">
      <c r="B1101" s="282" t="s">
        <v>250</v>
      </c>
      <c r="C1101" s="287">
        <v>4778</v>
      </c>
      <c r="D1101" s="287">
        <v>2841</v>
      </c>
      <c r="E1101" s="287">
        <v>2554</v>
      </c>
      <c r="F1101" s="391">
        <v>5400</v>
      </c>
      <c r="G1101" s="288">
        <v>6003</v>
      </c>
      <c r="H1101" s="288"/>
      <c r="I1101" s="209"/>
      <c r="L1101" s="209"/>
      <c r="M1101" s="209"/>
      <c r="N1101" s="209"/>
    </row>
    <row r="1102" spans="1:14" ht="18">
      <c r="B1102" s="284" t="s">
        <v>251</v>
      </c>
      <c r="C1102" s="287">
        <v>7119</v>
      </c>
      <c r="D1102" s="287">
        <v>-65476</v>
      </c>
      <c r="E1102" s="287">
        <v>-21090</v>
      </c>
      <c r="F1102" s="391">
        <v>4047</v>
      </c>
      <c r="G1102" s="287">
        <v>-72484</v>
      </c>
      <c r="H1102" s="287"/>
      <c r="I1102" s="209"/>
      <c r="L1102" s="209"/>
      <c r="M1102" s="209"/>
      <c r="N1102" s="209"/>
    </row>
    <row r="1103" spans="1:14">
      <c r="B1103" s="283" t="s">
        <v>252</v>
      </c>
      <c r="C1103" s="290" t="e">
        <v>#DIV/0!</v>
      </c>
      <c r="D1103" s="290" t="e">
        <v>#DIV/0!</v>
      </c>
      <c r="E1103" s="290" t="e">
        <v>#DIV/0!</v>
      </c>
      <c r="F1103" s="393" t="e">
        <v>#DIV/0!</v>
      </c>
      <c r="G1103" s="290" t="e">
        <v>#DIV/0!</v>
      </c>
      <c r="H1103" s="326"/>
      <c r="I1103" s="209"/>
      <c r="L1103" s="209"/>
      <c r="M1103" s="209"/>
      <c r="N1103" s="209"/>
    </row>
    <row r="1104" spans="1:14">
      <c r="B1104" s="283" t="s">
        <v>253</v>
      </c>
      <c r="C1104" s="290">
        <v>1.5174089586597181E-2</v>
      </c>
      <c r="D1104" s="290">
        <v>-0.13235817323242124</v>
      </c>
      <c r="E1104" s="290">
        <v>-3.8081858842520952E-2</v>
      </c>
      <c r="F1104" s="393">
        <v>6.9751689500707516E-3</v>
      </c>
      <c r="G1104" s="290">
        <v>-0.25080361375330007</v>
      </c>
      <c r="H1104" s="326"/>
      <c r="I1104" s="209"/>
      <c r="L1104" s="209"/>
      <c r="M1104" s="209"/>
      <c r="N1104" s="209"/>
    </row>
    <row r="1105" spans="1:14" ht="28">
      <c r="B1105" s="283" t="s">
        <v>254</v>
      </c>
      <c r="C1105" s="290"/>
      <c r="D1105" s="290"/>
      <c r="E1105" s="290"/>
      <c r="F1105" s="393"/>
      <c r="G1105" s="290"/>
      <c r="H1105" s="326"/>
      <c r="I1105" s="209"/>
      <c r="L1105" s="209"/>
      <c r="M1105" s="209"/>
      <c r="N1105" s="209"/>
    </row>
    <row r="1106" spans="1:14" ht="18">
      <c r="A1106" s="163"/>
      <c r="B1106" s="294" t="s">
        <v>255</v>
      </c>
      <c r="C1106" s="295">
        <v>469382</v>
      </c>
      <c r="D1106" s="295">
        <v>461309</v>
      </c>
      <c r="E1106" s="295">
        <v>522672</v>
      </c>
      <c r="F1106" s="396">
        <v>576988</v>
      </c>
      <c r="G1106" s="295">
        <v>572011</v>
      </c>
      <c r="H1106" s="295"/>
      <c r="I1106" s="165"/>
      <c r="J1106" s="165"/>
      <c r="K1106" s="165"/>
      <c r="L1106" s="165"/>
      <c r="M1106" s="165"/>
      <c r="N1106" s="165"/>
    </row>
    <row r="1107" spans="1:14">
      <c r="I1107" s="209"/>
      <c r="L1107" s="209"/>
      <c r="M1107" s="209"/>
      <c r="N1107" s="209"/>
    </row>
    <row r="1108" spans="1:14">
      <c r="A1108" s="217" t="s">
        <v>287</v>
      </c>
      <c r="I1108" s="209"/>
      <c r="L1108" s="209"/>
      <c r="M1108" s="209"/>
      <c r="N1108" s="209"/>
    </row>
    <row r="1109" spans="1:14">
      <c r="A1109" s="204" t="s">
        <v>288</v>
      </c>
      <c r="C1109" s="178"/>
      <c r="I1109" s="209"/>
      <c r="L1109" s="209"/>
      <c r="M1109" s="209"/>
      <c r="N1109" s="209"/>
    </row>
    <row r="1110" spans="1:14">
      <c r="A1110" s="204" t="s">
        <v>199</v>
      </c>
      <c r="I1110" s="209"/>
      <c r="L1110" s="209"/>
      <c r="M1110" s="209"/>
      <c r="N1110" s="209"/>
    </row>
    <row r="1111" spans="1:14">
      <c r="A1111" s="200"/>
      <c r="B1111" s="201"/>
      <c r="C1111" s="201">
        <v>2013</v>
      </c>
      <c r="D1111" s="219" t="s">
        <v>228</v>
      </c>
      <c r="E1111" s="219" t="s">
        <v>229</v>
      </c>
      <c r="F1111" s="362" t="s">
        <v>230</v>
      </c>
      <c r="G1111" s="219" t="s">
        <v>231</v>
      </c>
      <c r="H1111" s="219"/>
      <c r="I1111" s="209"/>
      <c r="L1111" s="209"/>
      <c r="M1111" s="209"/>
      <c r="N1111" s="209"/>
    </row>
    <row r="1112" spans="1:14" ht="18">
      <c r="A1112" s="200"/>
      <c r="B1112" s="202" t="s">
        <v>246</v>
      </c>
      <c r="C1112" s="232">
        <v>429818</v>
      </c>
      <c r="D1112" s="232">
        <v>393689</v>
      </c>
      <c r="E1112" s="232">
        <v>279011</v>
      </c>
      <c r="F1112" s="386">
        <v>255190</v>
      </c>
      <c r="G1112" s="232">
        <v>332024</v>
      </c>
      <c r="H1112" s="232"/>
      <c r="I1112" s="209"/>
      <c r="L1112" s="209"/>
      <c r="M1112" s="209"/>
      <c r="N1112" s="209"/>
    </row>
    <row r="1113" spans="1:14">
      <c r="A1113" s="200"/>
      <c r="B1113" s="201"/>
      <c r="C1113" s="234"/>
      <c r="D1113" s="234"/>
      <c r="E1113" s="234"/>
      <c r="F1113" s="387"/>
      <c r="G1113" s="234"/>
      <c r="H1113" s="234"/>
      <c r="I1113" s="209"/>
      <c r="L1113" s="209"/>
      <c r="M1113" s="209"/>
      <c r="N1113" s="209"/>
    </row>
    <row r="1114" spans="1:14" ht="28">
      <c r="A1114" s="200"/>
      <c r="B1114" s="211" t="s">
        <v>247</v>
      </c>
      <c r="C1114" s="232">
        <v>379025</v>
      </c>
      <c r="D1114" s="232">
        <v>422469</v>
      </c>
      <c r="E1114" s="232">
        <v>481571</v>
      </c>
      <c r="F1114" s="386">
        <v>584897</v>
      </c>
      <c r="G1114" s="233">
        <v>650783</v>
      </c>
      <c r="H1114" s="233"/>
      <c r="I1114" s="209"/>
      <c r="L1114" s="209"/>
      <c r="M1114" s="209"/>
      <c r="N1114" s="209"/>
    </row>
    <row r="1115" spans="1:14">
      <c r="A1115" s="200"/>
      <c r="B1115" s="208" t="s">
        <v>248</v>
      </c>
      <c r="C1115" s="235"/>
      <c r="D1115" s="235"/>
      <c r="E1115" s="235"/>
      <c r="F1115" s="389"/>
      <c r="G1115" s="235"/>
      <c r="H1115" s="325"/>
      <c r="I1115" s="209"/>
      <c r="L1115" s="209"/>
      <c r="M1115" s="209"/>
      <c r="N1115" s="209"/>
    </row>
    <row r="1116" spans="1:14">
      <c r="A1116" s="200"/>
      <c r="B1116" s="208" t="s">
        <v>249</v>
      </c>
      <c r="C1116" s="235"/>
      <c r="D1116" s="235"/>
      <c r="E1116" s="235"/>
      <c r="F1116" s="389"/>
      <c r="G1116" s="235"/>
      <c r="H1116" s="325"/>
      <c r="I1116" s="209"/>
      <c r="L1116" s="209"/>
      <c r="M1116" s="209"/>
      <c r="N1116" s="209"/>
    </row>
    <row r="1117" spans="1:14" ht="18">
      <c r="A1117" s="200"/>
      <c r="B1117" s="206" t="s">
        <v>250</v>
      </c>
      <c r="C1117" s="232">
        <v>244167</v>
      </c>
      <c r="D1117" s="232">
        <v>194349</v>
      </c>
      <c r="E1117" s="232">
        <v>99975</v>
      </c>
      <c r="F1117" s="386">
        <v>109502</v>
      </c>
      <c r="G1117" s="232">
        <v>217899</v>
      </c>
      <c r="H1117" s="232"/>
      <c r="I1117" s="209"/>
      <c r="L1117" s="209"/>
      <c r="M1117" s="209"/>
      <c r="N1117" s="209"/>
    </row>
    <row r="1118" spans="1:14" ht="18">
      <c r="A1118" s="200"/>
      <c r="B1118" s="210" t="s">
        <v>251</v>
      </c>
      <c r="C1118" s="232">
        <v>-13688</v>
      </c>
      <c r="D1118" s="232">
        <v>37303</v>
      </c>
      <c r="E1118" s="232">
        <v>33348</v>
      </c>
      <c r="F1118" s="386">
        <v>31563</v>
      </c>
      <c r="G1118" s="233">
        <v>36992</v>
      </c>
      <c r="H1118" s="233"/>
      <c r="I1118" s="209"/>
      <c r="L1118" s="209"/>
      <c r="M1118" s="209"/>
      <c r="N1118" s="209"/>
    </row>
    <row r="1119" spans="1:14">
      <c r="A1119" s="200"/>
      <c r="B1119" s="208" t="s">
        <v>252</v>
      </c>
      <c r="C1119" s="235" t="e">
        <v>#VALUE!</v>
      </c>
      <c r="D1119" s="235" t="e">
        <v>#VALUE!</v>
      </c>
      <c r="E1119" s="235" t="e">
        <v>#VALUE!</v>
      </c>
      <c r="F1119" s="389" t="e">
        <v>#VALUE!</v>
      </c>
      <c r="G1119" s="235" t="e">
        <v>#VALUE!</v>
      </c>
      <c r="H1119" s="325"/>
      <c r="I1119" s="209"/>
      <c r="L1119" s="209"/>
      <c r="M1119" s="209"/>
      <c r="N1119" s="209"/>
    </row>
    <row r="1120" spans="1:14">
      <c r="A1120" s="200"/>
      <c r="B1120" s="208" t="s">
        <v>253</v>
      </c>
      <c r="C1120" s="235" t="e">
        <v>#VALUE!</v>
      </c>
      <c r="D1120" s="235" t="e">
        <v>#VALUE!</v>
      </c>
      <c r="E1120" s="235" t="e">
        <v>#VALUE!</v>
      </c>
      <c r="F1120" s="389" t="e">
        <v>#VALUE!</v>
      </c>
      <c r="G1120" s="235" t="e">
        <v>#VALUE!</v>
      </c>
      <c r="H1120" s="325"/>
      <c r="I1120" s="209"/>
      <c r="L1120" s="209"/>
      <c r="M1120" s="209"/>
      <c r="N1120" s="209"/>
    </row>
    <row r="1121" spans="1:14" ht="28">
      <c r="A1121" s="200"/>
      <c r="B1121" s="208" t="s">
        <v>254</v>
      </c>
      <c r="C1121" s="235"/>
      <c r="D1121" s="235"/>
      <c r="E1121" s="235"/>
      <c r="F1121" s="389"/>
      <c r="G1121" s="235"/>
      <c r="H1121" s="325"/>
      <c r="I1121" s="209"/>
      <c r="L1121" s="209"/>
      <c r="M1121" s="209"/>
      <c r="N1121" s="209"/>
    </row>
    <row r="1122" spans="1:14" ht="18">
      <c r="A1122" s="200"/>
      <c r="B1122" s="203" t="s">
        <v>255</v>
      </c>
      <c r="C1122" s="232">
        <v>185651</v>
      </c>
      <c r="D1122" s="232">
        <v>199340</v>
      </c>
      <c r="E1122" s="232">
        <v>179037</v>
      </c>
      <c r="F1122" s="386">
        <v>145689</v>
      </c>
      <c r="G1122" s="232">
        <v>114125</v>
      </c>
      <c r="H1122" s="232"/>
      <c r="I1122" s="209"/>
      <c r="L1122" s="209"/>
      <c r="M1122" s="209"/>
      <c r="N1122" s="209"/>
    </row>
    <row r="1123" spans="1:14">
      <c r="A1123" s="204" t="s">
        <v>289</v>
      </c>
      <c r="I1123" s="209"/>
      <c r="L1123" s="209"/>
      <c r="M1123" s="209"/>
      <c r="N1123" s="209"/>
    </row>
    <row r="1124" spans="1:14">
      <c r="A1124" s="200" t="s">
        <v>290</v>
      </c>
      <c r="B1124" s="200"/>
      <c r="C1124" s="200"/>
      <c r="D1124" s="200"/>
      <c r="E1124" s="200"/>
      <c r="F1124" s="87"/>
      <c r="G1124" s="200"/>
      <c r="H1124" s="200"/>
      <c r="I1124" s="209"/>
      <c r="L1124" s="209"/>
      <c r="M1124" s="209"/>
      <c r="N1124" s="209"/>
    </row>
    <row r="1125" spans="1:14">
      <c r="A1125" s="200"/>
      <c r="B1125" s="200"/>
      <c r="C1125" s="200"/>
      <c r="D1125" s="200"/>
      <c r="E1125" s="200"/>
      <c r="F1125" s="87"/>
      <c r="G1125" s="200"/>
      <c r="H1125" s="200"/>
      <c r="I1125" s="209"/>
      <c r="L1125" s="209"/>
      <c r="M1125" s="209"/>
      <c r="N1125" s="209"/>
    </row>
    <row r="1126" spans="1:14">
      <c r="A1126" s="200"/>
      <c r="B1126" s="201"/>
      <c r="C1126" s="201">
        <v>2019</v>
      </c>
      <c r="D1126" s="219" t="s">
        <v>175</v>
      </c>
      <c r="E1126" s="219" t="s">
        <v>176</v>
      </c>
      <c r="F1126" s="362" t="s">
        <v>177</v>
      </c>
      <c r="G1126" s="219" t="s">
        <v>178</v>
      </c>
      <c r="H1126" s="219"/>
      <c r="I1126" s="209"/>
      <c r="L1126" s="209"/>
      <c r="M1126" s="209"/>
      <c r="N1126" s="209"/>
    </row>
    <row r="1127" spans="1:14" ht="16" thickBot="1">
      <c r="A1127" s="200"/>
      <c r="B1127" s="202" t="s">
        <v>246</v>
      </c>
      <c r="C1127" s="237">
        <v>3077761</v>
      </c>
      <c r="D1127" s="237">
        <v>1568050</v>
      </c>
      <c r="E1127" s="237">
        <v>1418330</v>
      </c>
      <c r="F1127" s="383">
        <v>1287270</v>
      </c>
      <c r="G1127" s="238">
        <v>583151</v>
      </c>
      <c r="H1127" s="327"/>
      <c r="I1127" s="209"/>
      <c r="L1127" s="209"/>
      <c r="M1127" s="209"/>
      <c r="N1127" s="209"/>
    </row>
    <row r="1128" spans="1:14">
      <c r="A1128" s="200"/>
      <c r="B1128" s="201"/>
      <c r="C1128" s="234"/>
      <c r="D1128" s="234"/>
      <c r="E1128" s="234"/>
      <c r="F1128" s="387"/>
      <c r="G1128" s="234"/>
      <c r="H1128" s="234"/>
      <c r="I1128" s="209"/>
      <c r="L1128" s="209"/>
      <c r="M1128" s="209"/>
      <c r="N1128" s="209"/>
    </row>
    <row r="1129" spans="1:14" ht="29" thickBot="1">
      <c r="A1129" s="200"/>
      <c r="B1129" s="211" t="s">
        <v>247</v>
      </c>
      <c r="C1129" s="225">
        <v>72611</v>
      </c>
      <c r="D1129" s="226">
        <v>38199</v>
      </c>
      <c r="E1129" s="225">
        <v>38239</v>
      </c>
      <c r="F1129" s="383">
        <v>34361</v>
      </c>
      <c r="G1129" s="225">
        <v>43568</v>
      </c>
      <c r="H1129" s="328"/>
      <c r="I1129" s="209"/>
      <c r="L1129" s="209"/>
      <c r="M1129" s="209"/>
      <c r="N1129" s="209"/>
    </row>
    <row r="1130" spans="1:14">
      <c r="A1130" s="200"/>
      <c r="B1130" s="208" t="s">
        <v>248</v>
      </c>
      <c r="C1130" s="235"/>
      <c r="D1130" s="235"/>
      <c r="E1130" s="235"/>
      <c r="F1130" s="389"/>
      <c r="G1130" s="235"/>
      <c r="H1130" s="325"/>
      <c r="I1130" s="209"/>
      <c r="L1130" s="209"/>
      <c r="M1130" s="209"/>
      <c r="N1130" s="209"/>
    </row>
    <row r="1131" spans="1:14">
      <c r="A1131" s="200"/>
      <c r="B1131" s="208" t="s">
        <v>249</v>
      </c>
      <c r="C1131" s="235"/>
      <c r="D1131" s="235"/>
      <c r="E1131" s="235"/>
      <c r="F1131" s="389"/>
      <c r="G1131" s="235"/>
      <c r="H1131" s="325"/>
      <c r="I1131" s="209"/>
      <c r="L1131" s="209"/>
      <c r="M1131" s="209"/>
      <c r="N1131" s="209"/>
    </row>
    <row r="1132" spans="1:14" ht="16" thickBot="1">
      <c r="A1132" s="200"/>
      <c r="B1132" s="206" t="s">
        <v>250</v>
      </c>
      <c r="C1132" s="225">
        <v>1433135</v>
      </c>
      <c r="D1132" s="226">
        <v>585262</v>
      </c>
      <c r="E1132" s="225">
        <v>541032</v>
      </c>
      <c r="F1132" s="383">
        <v>494439</v>
      </c>
      <c r="G1132" s="225">
        <v>492747</v>
      </c>
      <c r="H1132" s="328"/>
      <c r="I1132" s="209"/>
      <c r="L1132" s="209"/>
      <c r="M1132" s="209"/>
      <c r="N1132" s="209"/>
    </row>
    <row r="1133" spans="1:14" ht="16" thickBot="1">
      <c r="A1133" s="200"/>
      <c r="B1133" s="210" t="s">
        <v>251</v>
      </c>
      <c r="C1133" s="225">
        <v>163662</v>
      </c>
      <c r="D1133" s="226">
        <v>123184</v>
      </c>
      <c r="E1133" s="225">
        <v>124001</v>
      </c>
      <c r="F1133" s="383">
        <v>49603</v>
      </c>
      <c r="G1133" s="225">
        <v>-1635</v>
      </c>
      <c r="H1133" s="328"/>
      <c r="I1133" s="209"/>
      <c r="L1133" s="209"/>
      <c r="M1133" s="209"/>
      <c r="N1133" s="209"/>
    </row>
    <row r="1134" spans="1:14">
      <c r="A1134" s="200"/>
      <c r="B1134" s="208" t="s">
        <v>252</v>
      </c>
      <c r="C1134" s="235" t="e">
        <v>#VALUE!</v>
      </c>
      <c r="D1134" s="235" t="e">
        <v>#VALUE!</v>
      </c>
      <c r="E1134" s="235" t="e">
        <v>#VALUE!</v>
      </c>
      <c r="F1134" s="389" t="e">
        <v>#VALUE!</v>
      </c>
      <c r="G1134" s="235" t="e">
        <v>#VALUE!</v>
      </c>
      <c r="H1134" s="325"/>
      <c r="I1134" s="209"/>
      <c r="L1134" s="209"/>
      <c r="M1134" s="209"/>
      <c r="N1134" s="209"/>
    </row>
    <row r="1135" spans="1:14">
      <c r="A1135" s="200"/>
      <c r="B1135" s="208" t="s">
        <v>253</v>
      </c>
      <c r="C1135" s="235" t="e">
        <v>#VALUE!</v>
      </c>
      <c r="D1135" s="235" t="e">
        <v>#VALUE!</v>
      </c>
      <c r="E1135" s="235" t="e">
        <v>#VALUE!</v>
      </c>
      <c r="F1135" s="389" t="e">
        <v>#VALUE!</v>
      </c>
      <c r="G1135" s="235" t="e">
        <v>#VALUE!</v>
      </c>
      <c r="H1135" s="325"/>
      <c r="I1135" s="209"/>
      <c r="L1135" s="209"/>
      <c r="M1135" s="209"/>
      <c r="N1135" s="209"/>
    </row>
    <row r="1136" spans="1:14" ht="28">
      <c r="A1136" s="200"/>
      <c r="B1136" s="208" t="s">
        <v>254</v>
      </c>
      <c r="C1136" s="235"/>
      <c r="D1136" s="235"/>
      <c r="E1136" s="235"/>
      <c r="F1136" s="389"/>
      <c r="G1136" s="235"/>
      <c r="H1136" s="325"/>
      <c r="I1136" s="209"/>
      <c r="L1136" s="209"/>
      <c r="M1136" s="209"/>
      <c r="N1136" s="209"/>
    </row>
    <row r="1137" spans="1:14" ht="16" thickBot="1">
      <c r="A1137" s="200"/>
      <c r="B1137" s="203" t="s">
        <v>255</v>
      </c>
      <c r="C1137" s="225">
        <v>1644626</v>
      </c>
      <c r="D1137" s="226">
        <v>982786</v>
      </c>
      <c r="E1137" s="225">
        <v>877297</v>
      </c>
      <c r="F1137" s="383">
        <v>792831</v>
      </c>
      <c r="G1137" s="225">
        <v>90403</v>
      </c>
      <c r="H1137" s="328"/>
      <c r="I1137" s="209"/>
      <c r="L1137" s="209"/>
      <c r="M1137" s="209"/>
      <c r="N1137" s="209"/>
    </row>
    <row r="1138" spans="1:14">
      <c r="A1138" s="204" t="s">
        <v>291</v>
      </c>
      <c r="I1138" s="209"/>
      <c r="L1138" s="209"/>
      <c r="M1138" s="209"/>
      <c r="N1138" s="209"/>
    </row>
    <row r="1139" spans="1:14">
      <c r="A1139" s="204" t="s">
        <v>292</v>
      </c>
      <c r="B1139" s="200"/>
      <c r="C1139" s="200"/>
      <c r="D1139" s="200"/>
      <c r="E1139" s="200"/>
      <c r="F1139" s="87"/>
      <c r="G1139" s="200"/>
      <c r="H1139" s="200"/>
      <c r="I1139" s="209"/>
      <c r="L1139" s="209"/>
      <c r="M1139" s="209"/>
      <c r="N1139" s="209"/>
    </row>
    <row r="1140" spans="1:14">
      <c r="A1140" s="204"/>
      <c r="B1140" s="200"/>
      <c r="C1140" s="200"/>
      <c r="D1140" s="200"/>
      <c r="E1140" s="200"/>
      <c r="F1140" s="87"/>
      <c r="G1140" s="200"/>
      <c r="H1140" s="200"/>
      <c r="I1140" s="209"/>
      <c r="L1140" s="209"/>
      <c r="M1140" s="209"/>
      <c r="N1140" s="209"/>
    </row>
    <row r="1141" spans="1:14">
      <c r="A1141" s="200"/>
      <c r="B1141" s="201"/>
      <c r="C1141" s="201">
        <v>2011</v>
      </c>
      <c r="D1141" s="219" t="s">
        <v>216</v>
      </c>
      <c r="E1141" s="219" t="s">
        <v>217</v>
      </c>
      <c r="F1141" s="362" t="s">
        <v>218</v>
      </c>
      <c r="G1141" s="219" t="s">
        <v>219</v>
      </c>
      <c r="H1141" s="219"/>
      <c r="I1141" s="209"/>
      <c r="L1141" s="209"/>
      <c r="M1141" s="209"/>
      <c r="N1141" s="209"/>
    </row>
    <row r="1142" spans="1:14" ht="16" thickBot="1">
      <c r="A1142" s="200"/>
      <c r="B1142" s="202" t="s">
        <v>246</v>
      </c>
      <c r="C1142" s="237">
        <v>5652614</v>
      </c>
      <c r="D1142" s="237">
        <v>6334466</v>
      </c>
      <c r="E1142" s="237">
        <v>5609657</v>
      </c>
      <c r="F1142" s="383">
        <v>5672483</v>
      </c>
      <c r="G1142" s="238">
        <v>5493838</v>
      </c>
      <c r="H1142" s="327"/>
      <c r="I1142" s="209"/>
      <c r="L1142" s="209"/>
      <c r="M1142" s="209"/>
      <c r="N1142" s="209"/>
    </row>
    <row r="1143" spans="1:14">
      <c r="A1143" s="200"/>
      <c r="B1143" s="201"/>
      <c r="C1143" s="234"/>
      <c r="D1143" s="234"/>
      <c r="E1143" s="234"/>
      <c r="F1143" s="387"/>
      <c r="G1143" s="234"/>
      <c r="H1143" s="234"/>
      <c r="I1143" s="209"/>
      <c r="L1143" s="209"/>
      <c r="M1143" s="209"/>
      <c r="N1143" s="209"/>
    </row>
    <row r="1144" spans="1:14" ht="29" thickBot="1">
      <c r="A1144" s="200"/>
      <c r="B1144" s="211" t="s">
        <v>247</v>
      </c>
      <c r="C1144" s="237">
        <v>1639320</v>
      </c>
      <c r="D1144" s="237">
        <v>1938652</v>
      </c>
      <c r="E1144" s="237">
        <v>1507561</v>
      </c>
      <c r="F1144" s="383">
        <v>1932509</v>
      </c>
      <c r="G1144" s="238">
        <v>1186167</v>
      </c>
      <c r="H1144" s="327"/>
      <c r="I1144" s="209"/>
      <c r="L1144" s="209"/>
      <c r="M1144" s="209"/>
      <c r="N1144" s="209"/>
    </row>
    <row r="1145" spans="1:14">
      <c r="A1145" s="200"/>
      <c r="B1145" s="208" t="s">
        <v>248</v>
      </c>
      <c r="C1145" s="235"/>
      <c r="D1145" s="235"/>
      <c r="E1145" s="235"/>
      <c r="F1145" s="389"/>
      <c r="G1145" s="235"/>
      <c r="H1145" s="325"/>
      <c r="I1145" s="209"/>
      <c r="L1145" s="209"/>
      <c r="M1145" s="209"/>
      <c r="N1145" s="209"/>
    </row>
    <row r="1146" spans="1:14">
      <c r="A1146" s="200"/>
      <c r="B1146" s="208" t="s">
        <v>249</v>
      </c>
      <c r="C1146" s="235"/>
      <c r="D1146" s="235"/>
      <c r="E1146" s="235"/>
      <c r="F1146" s="389"/>
      <c r="G1146" s="235"/>
      <c r="H1146" s="325"/>
      <c r="I1146" s="209"/>
      <c r="L1146" s="209"/>
      <c r="M1146" s="209"/>
      <c r="N1146" s="209"/>
    </row>
    <row r="1147" spans="1:14" ht="16" thickBot="1">
      <c r="A1147" s="200"/>
      <c r="B1147" s="206" t="s">
        <v>250</v>
      </c>
      <c r="C1147" s="237">
        <v>2814125</v>
      </c>
      <c r="D1147" s="237">
        <v>3737687</v>
      </c>
      <c r="E1147" s="237">
        <v>3012138</v>
      </c>
      <c r="F1147" s="383">
        <v>3211377</v>
      </c>
      <c r="G1147" s="237">
        <v>3470860</v>
      </c>
      <c r="H1147" s="329"/>
      <c r="I1147" s="209"/>
      <c r="L1147" s="209"/>
      <c r="M1147" s="209"/>
      <c r="N1147" s="209"/>
    </row>
    <row r="1148" spans="1:14" ht="16" thickBot="1">
      <c r="A1148" s="200"/>
      <c r="B1148" s="210" t="s">
        <v>251</v>
      </c>
      <c r="C1148" s="237">
        <v>534968</v>
      </c>
      <c r="D1148" s="237">
        <v>684604</v>
      </c>
      <c r="E1148" s="237">
        <v>478412</v>
      </c>
      <c r="F1148" s="383">
        <v>636512</v>
      </c>
      <c r="G1148" s="238">
        <v>350418</v>
      </c>
      <c r="H1148" s="327"/>
      <c r="I1148" s="209"/>
      <c r="L1148" s="209"/>
      <c r="M1148" s="209"/>
      <c r="N1148" s="209"/>
    </row>
    <row r="1149" spans="1:14">
      <c r="A1149" s="200"/>
      <c r="B1149" s="208" t="s">
        <v>252</v>
      </c>
      <c r="C1149" s="235" t="e">
        <v>#VALUE!</v>
      </c>
      <c r="D1149" s="235" t="e">
        <v>#VALUE!</v>
      </c>
      <c r="E1149" s="235" t="e">
        <v>#VALUE!</v>
      </c>
      <c r="F1149" s="389" t="e">
        <v>#VALUE!</v>
      </c>
      <c r="G1149" s="235" t="e">
        <v>#VALUE!</v>
      </c>
      <c r="H1149" s="325"/>
      <c r="I1149" s="209"/>
      <c r="L1149" s="209"/>
      <c r="M1149" s="209"/>
      <c r="N1149" s="209"/>
    </row>
    <row r="1150" spans="1:14">
      <c r="A1150" s="200"/>
      <c r="B1150" s="208" t="s">
        <v>253</v>
      </c>
      <c r="C1150" s="235" t="e">
        <v>#VALUE!</v>
      </c>
      <c r="D1150" s="235" t="e">
        <v>#VALUE!</v>
      </c>
      <c r="E1150" s="235" t="e">
        <v>#VALUE!</v>
      </c>
      <c r="F1150" s="389" t="e">
        <v>#VALUE!</v>
      </c>
      <c r="G1150" s="235" t="e">
        <v>#VALUE!</v>
      </c>
      <c r="H1150" s="325"/>
      <c r="I1150" s="209"/>
      <c r="L1150" s="209"/>
      <c r="M1150" s="209"/>
      <c r="N1150" s="209"/>
    </row>
    <row r="1151" spans="1:14" ht="28">
      <c r="A1151" s="200"/>
      <c r="B1151" s="208" t="s">
        <v>254</v>
      </c>
      <c r="C1151" s="235"/>
      <c r="D1151" s="235"/>
      <c r="E1151" s="235"/>
      <c r="F1151" s="389"/>
      <c r="G1151" s="235"/>
      <c r="H1151" s="325"/>
      <c r="I1151" s="209"/>
      <c r="L1151" s="209"/>
      <c r="M1151" s="209"/>
      <c r="N1151" s="209"/>
    </row>
    <row r="1152" spans="1:14" ht="16" thickBot="1">
      <c r="A1152" s="200"/>
      <c r="B1152" s="203" t="s">
        <v>255</v>
      </c>
      <c r="C1152" s="237">
        <v>2838488</v>
      </c>
      <c r="D1152" s="237">
        <v>2596778</v>
      </c>
      <c r="E1152" s="237">
        <v>2597519</v>
      </c>
      <c r="F1152" s="383">
        <v>2461107</v>
      </c>
      <c r="G1152" s="238">
        <v>2022977</v>
      </c>
      <c r="H1152" s="327"/>
      <c r="I1152" s="209"/>
      <c r="L1152" s="209"/>
      <c r="M1152" s="209"/>
      <c r="N1152" s="209"/>
    </row>
    <row r="1153" spans="1:14">
      <c r="C1153" s="179" t="s">
        <v>312</v>
      </c>
      <c r="I1153" s="209"/>
      <c r="L1153" s="209"/>
      <c r="M1153" s="209"/>
      <c r="N1153" s="209"/>
    </row>
    <row r="1154" spans="1:14">
      <c r="A1154" s="204" t="s">
        <v>293</v>
      </c>
      <c r="I1154" s="209"/>
      <c r="L1154" s="209"/>
      <c r="M1154" s="209"/>
      <c r="N1154" s="209"/>
    </row>
    <row r="1155" spans="1:14">
      <c r="A1155" s="204" t="s">
        <v>294</v>
      </c>
      <c r="B1155" s="200"/>
      <c r="C1155" s="200"/>
      <c r="D1155" s="200"/>
      <c r="E1155" s="200"/>
      <c r="F1155" s="87"/>
      <c r="G1155" s="200"/>
      <c r="H1155" s="200"/>
      <c r="I1155" s="209"/>
      <c r="L1155" s="209"/>
      <c r="M1155" s="209"/>
      <c r="N1155" s="209"/>
    </row>
    <row r="1156" spans="1:14">
      <c r="A1156" s="200"/>
      <c r="B1156" s="201"/>
      <c r="C1156" s="201">
        <v>2011</v>
      </c>
      <c r="D1156" s="219" t="s">
        <v>216</v>
      </c>
      <c r="E1156" s="219" t="s">
        <v>217</v>
      </c>
      <c r="F1156" s="362" t="s">
        <v>218</v>
      </c>
      <c r="G1156" s="219" t="s">
        <v>219</v>
      </c>
      <c r="H1156" s="219"/>
      <c r="I1156" s="209"/>
      <c r="L1156" s="209"/>
      <c r="M1156" s="209"/>
      <c r="N1156" s="209"/>
    </row>
    <row r="1157" spans="1:14" ht="16" thickBot="1">
      <c r="A1157" s="200"/>
      <c r="B1157" s="202" t="s">
        <v>246</v>
      </c>
      <c r="C1157" s="237">
        <v>2946000</v>
      </c>
      <c r="D1157" s="237">
        <v>6386000</v>
      </c>
      <c r="E1157" s="237">
        <v>9207000</v>
      </c>
      <c r="F1157" s="383">
        <v>11766000</v>
      </c>
      <c r="G1157" s="238">
        <v>15341000</v>
      </c>
      <c r="H1157" s="327"/>
      <c r="I1157" s="209"/>
      <c r="L1157" s="209"/>
      <c r="M1157" s="209"/>
      <c r="N1157" s="209"/>
    </row>
    <row r="1158" spans="1:14">
      <c r="A1158" s="200"/>
      <c r="B1158" s="201"/>
      <c r="C1158" s="234"/>
      <c r="D1158" s="234"/>
      <c r="E1158" s="234"/>
      <c r="F1158" s="387"/>
      <c r="G1158" s="234"/>
      <c r="H1158" s="234"/>
      <c r="I1158" s="209"/>
      <c r="L1158" s="209"/>
      <c r="M1158" s="209"/>
      <c r="N1158" s="209"/>
    </row>
    <row r="1159" spans="1:14" ht="29" thickBot="1">
      <c r="A1159" s="200"/>
      <c r="B1159" s="211" t="s">
        <v>247</v>
      </c>
      <c r="C1159" s="237">
        <v>604000</v>
      </c>
      <c r="D1159" s="237">
        <v>721000</v>
      </c>
      <c r="E1159" s="237">
        <v>768000</v>
      </c>
      <c r="F1159" s="383">
        <v>675200</v>
      </c>
      <c r="G1159" s="238">
        <v>662000</v>
      </c>
      <c r="H1159" s="327"/>
      <c r="I1159" s="209"/>
      <c r="L1159" s="209"/>
      <c r="M1159" s="209"/>
      <c r="N1159" s="209"/>
    </row>
    <row r="1160" spans="1:14">
      <c r="A1160" s="200"/>
      <c r="B1160" s="208" t="s">
        <v>248</v>
      </c>
      <c r="C1160" s="235"/>
      <c r="D1160" s="235"/>
      <c r="E1160" s="235"/>
      <c r="F1160" s="389"/>
      <c r="G1160" s="235"/>
      <c r="H1160" s="325"/>
      <c r="I1160" s="209"/>
      <c r="L1160" s="209"/>
      <c r="M1160" s="209"/>
      <c r="N1160" s="209"/>
    </row>
    <row r="1161" spans="1:14">
      <c r="A1161" s="200"/>
      <c r="B1161" s="208" t="s">
        <v>249</v>
      </c>
      <c r="C1161" s="235"/>
      <c r="D1161" s="235"/>
      <c r="E1161" s="235"/>
      <c r="F1161" s="389"/>
      <c r="G1161" s="235"/>
      <c r="H1161" s="325"/>
      <c r="I1161" s="209"/>
      <c r="L1161" s="209"/>
      <c r="M1161" s="209"/>
      <c r="N1161" s="209"/>
    </row>
    <row r="1162" spans="1:14" ht="16" thickBot="1">
      <c r="A1162" s="200"/>
      <c r="B1162" s="206" t="s">
        <v>250</v>
      </c>
      <c r="C1162" s="225">
        <v>434000</v>
      </c>
      <c r="D1162" s="226">
        <v>649000</v>
      </c>
      <c r="E1162" s="225">
        <v>2904000</v>
      </c>
      <c r="F1162" s="383">
        <v>4885400</v>
      </c>
      <c r="G1162" s="225">
        <v>7388000</v>
      </c>
      <c r="H1162" s="328"/>
      <c r="I1162" s="209"/>
      <c r="L1162" s="209"/>
      <c r="M1162" s="209"/>
      <c r="N1162" s="209"/>
    </row>
    <row r="1163" spans="1:14" ht="16" thickBot="1">
      <c r="A1163" s="200"/>
      <c r="B1163" s="210" t="s">
        <v>251</v>
      </c>
      <c r="C1163" s="237">
        <v>86000</v>
      </c>
      <c r="D1163" s="237">
        <v>-566000</v>
      </c>
      <c r="E1163" s="237">
        <v>-341000</v>
      </c>
      <c r="F1163" s="383">
        <v>-1081300</v>
      </c>
      <c r="G1163" s="238">
        <v>-4081000</v>
      </c>
      <c r="H1163" s="327"/>
      <c r="I1163" s="209"/>
      <c r="L1163" s="209"/>
      <c r="M1163" s="209"/>
      <c r="N1163" s="209"/>
    </row>
    <row r="1164" spans="1:14">
      <c r="A1164" s="200"/>
      <c r="B1164" s="208" t="s">
        <v>252</v>
      </c>
      <c r="C1164" s="235" t="e">
        <v>#VALUE!</v>
      </c>
      <c r="D1164" s="235" t="e">
        <v>#VALUE!</v>
      </c>
      <c r="E1164" s="235" t="e">
        <v>#VALUE!</v>
      </c>
      <c r="F1164" s="389" t="e">
        <v>#VALUE!</v>
      </c>
      <c r="G1164" s="235" t="e">
        <v>#VALUE!</v>
      </c>
      <c r="H1164" s="325"/>
      <c r="I1164" s="209"/>
      <c r="L1164" s="209"/>
      <c r="M1164" s="209"/>
      <c r="N1164" s="209"/>
    </row>
    <row r="1165" spans="1:14">
      <c r="A1165" s="200"/>
      <c r="B1165" s="208" t="s">
        <v>253</v>
      </c>
      <c r="C1165" s="235" t="e">
        <v>#VALUE!</v>
      </c>
      <c r="D1165" s="235" t="e">
        <v>#VALUE!</v>
      </c>
      <c r="E1165" s="235" t="e">
        <v>#VALUE!</v>
      </c>
      <c r="F1165" s="389" t="e">
        <v>#VALUE!</v>
      </c>
      <c r="G1165" s="235" t="e">
        <v>#VALUE!</v>
      </c>
      <c r="H1165" s="325"/>
      <c r="I1165" s="209"/>
      <c r="L1165" s="209"/>
      <c r="M1165" s="209"/>
      <c r="N1165" s="209"/>
    </row>
    <row r="1166" spans="1:14" ht="28">
      <c r="A1166" s="200"/>
      <c r="B1166" s="208" t="s">
        <v>254</v>
      </c>
      <c r="C1166" s="235"/>
      <c r="D1166" s="235"/>
      <c r="E1166" s="235"/>
      <c r="F1166" s="389"/>
      <c r="G1166" s="235"/>
      <c r="H1166" s="325"/>
      <c r="I1166" s="209"/>
      <c r="L1166" s="209"/>
      <c r="M1166" s="209"/>
      <c r="N1166" s="209"/>
    </row>
    <row r="1167" spans="1:14" ht="16" thickBot="1">
      <c r="A1167" s="200"/>
      <c r="B1167" s="203" t="s">
        <v>255</v>
      </c>
      <c r="C1167" s="237">
        <v>2512000</v>
      </c>
      <c r="D1167" s="237">
        <v>5737000</v>
      </c>
      <c r="E1167" s="237">
        <v>6303000</v>
      </c>
      <c r="F1167" s="383">
        <v>6880600</v>
      </c>
      <c r="G1167" s="238">
        <v>7954000</v>
      </c>
      <c r="H1167" s="327"/>
      <c r="I1167" s="209"/>
      <c r="L1167" s="209"/>
      <c r="M1167" s="209"/>
      <c r="N1167" s="209"/>
    </row>
    <row r="1168" spans="1:14">
      <c r="A1168" s="204" t="s">
        <v>295</v>
      </c>
      <c r="I1168" s="209"/>
      <c r="L1168" s="209"/>
      <c r="M1168" s="209"/>
      <c r="N1168" s="209"/>
    </row>
    <row r="1169" spans="1:14">
      <c r="A1169" s="200" t="s">
        <v>296</v>
      </c>
      <c r="B1169" s="200"/>
      <c r="C1169" s="200"/>
      <c r="D1169" s="200"/>
      <c r="E1169" s="200"/>
      <c r="F1169" s="87"/>
      <c r="G1169" s="200"/>
      <c r="H1169" s="200"/>
      <c r="I1169" s="209"/>
      <c r="L1169" s="209"/>
      <c r="M1169" s="209"/>
      <c r="N1169" s="209"/>
    </row>
    <row r="1170" spans="1:14">
      <c r="A1170" s="200"/>
      <c r="B1170" s="201"/>
      <c r="C1170" s="201">
        <v>2011</v>
      </c>
      <c r="D1170" s="219" t="s">
        <v>216</v>
      </c>
      <c r="E1170" s="219" t="s">
        <v>217</v>
      </c>
      <c r="F1170" s="362" t="s">
        <v>218</v>
      </c>
      <c r="G1170" s="219" t="s">
        <v>219</v>
      </c>
      <c r="H1170" s="219"/>
      <c r="I1170" s="209"/>
      <c r="L1170" s="209"/>
      <c r="M1170" s="209"/>
      <c r="N1170" s="209"/>
    </row>
    <row r="1171" spans="1:14" ht="16" thickBot="1">
      <c r="A1171" s="200"/>
      <c r="B1171" s="202" t="s">
        <v>246</v>
      </c>
      <c r="C1171" s="237">
        <v>280920</v>
      </c>
      <c r="D1171" s="237">
        <v>228365</v>
      </c>
      <c r="E1171" s="237">
        <v>197066</v>
      </c>
      <c r="F1171" s="383">
        <v>187457</v>
      </c>
      <c r="G1171" s="238">
        <v>150795</v>
      </c>
      <c r="H1171" s="327"/>
      <c r="I1171" s="209"/>
      <c r="L1171" s="209"/>
      <c r="M1171" s="209"/>
      <c r="N1171" s="209"/>
    </row>
    <row r="1172" spans="1:14">
      <c r="A1172" s="200"/>
      <c r="B1172" s="201"/>
      <c r="C1172" s="234"/>
      <c r="D1172" s="234"/>
      <c r="E1172" s="234"/>
      <c r="F1172" s="387"/>
      <c r="G1172" s="234"/>
      <c r="H1172" s="234"/>
      <c r="I1172" s="209"/>
      <c r="L1172" s="209"/>
      <c r="M1172" s="209"/>
      <c r="N1172" s="209"/>
    </row>
    <row r="1173" spans="1:14" ht="29" thickBot="1">
      <c r="A1173" s="200"/>
      <c r="B1173" s="211" t="s">
        <v>247</v>
      </c>
      <c r="C1173" s="237">
        <v>149673</v>
      </c>
      <c r="D1173" s="237">
        <v>135690</v>
      </c>
      <c r="E1173" s="237">
        <v>116969</v>
      </c>
      <c r="F1173" s="383">
        <v>111665</v>
      </c>
      <c r="G1173" s="238">
        <v>23867</v>
      </c>
      <c r="H1173" s="327"/>
      <c r="I1173" s="209"/>
      <c r="L1173" s="209"/>
      <c r="M1173" s="209"/>
      <c r="N1173" s="209"/>
    </row>
    <row r="1174" spans="1:14">
      <c r="A1174" s="200"/>
      <c r="B1174" s="208" t="s">
        <v>248</v>
      </c>
      <c r="C1174" s="235"/>
      <c r="D1174" s="235"/>
      <c r="E1174" s="235"/>
      <c r="F1174" s="389"/>
      <c r="G1174" s="235"/>
      <c r="H1174" s="325"/>
      <c r="I1174" s="209"/>
      <c r="L1174" s="209"/>
      <c r="M1174" s="209"/>
      <c r="N1174" s="209"/>
    </row>
    <row r="1175" spans="1:14">
      <c r="A1175" s="200"/>
      <c r="B1175" s="208" t="s">
        <v>249</v>
      </c>
      <c r="C1175" s="235"/>
      <c r="D1175" s="235"/>
      <c r="E1175" s="235"/>
      <c r="F1175" s="389"/>
      <c r="G1175" s="235"/>
      <c r="H1175" s="325"/>
      <c r="I1175" s="209"/>
      <c r="L1175" s="209"/>
      <c r="M1175" s="209"/>
      <c r="N1175" s="209"/>
    </row>
    <row r="1176" spans="1:14" ht="16" thickBot="1">
      <c r="A1176" s="200"/>
      <c r="B1176" s="206" t="s">
        <v>250</v>
      </c>
      <c r="C1176" s="237">
        <v>61379</v>
      </c>
      <c r="D1176" s="237">
        <v>42878</v>
      </c>
      <c r="E1176" s="237">
        <v>25213</v>
      </c>
      <c r="F1176" s="383">
        <v>28153</v>
      </c>
      <c r="G1176" s="238">
        <v>19116</v>
      </c>
      <c r="H1176" s="327"/>
      <c r="I1176" s="209"/>
      <c r="L1176" s="209"/>
      <c r="M1176" s="209"/>
      <c r="N1176" s="209"/>
    </row>
    <row r="1177" spans="1:14" ht="16" thickBot="1">
      <c r="A1177" s="200"/>
      <c r="B1177" s="210" t="s">
        <v>251</v>
      </c>
      <c r="C1177" s="225">
        <v>34053</v>
      </c>
      <c r="D1177" s="226">
        <v>20807</v>
      </c>
      <c r="E1177" s="225">
        <v>12998</v>
      </c>
      <c r="F1177" s="383">
        <v>21464</v>
      </c>
      <c r="G1177" s="225">
        <v>-285</v>
      </c>
      <c r="H1177" s="328"/>
      <c r="I1177" s="209"/>
      <c r="L1177" s="209"/>
      <c r="M1177" s="209"/>
      <c r="N1177" s="209"/>
    </row>
    <row r="1178" spans="1:14">
      <c r="A1178" s="200"/>
      <c r="B1178" s="208" t="s">
        <v>252</v>
      </c>
      <c r="C1178" s="235" t="e">
        <v>#VALUE!</v>
      </c>
      <c r="D1178" s="235" t="e">
        <v>#VALUE!</v>
      </c>
      <c r="E1178" s="235" t="e">
        <v>#VALUE!</v>
      </c>
      <c r="F1178" s="389" t="e">
        <v>#VALUE!</v>
      </c>
      <c r="G1178" s="235" t="e">
        <v>#DIV/0!</v>
      </c>
      <c r="H1178" s="325"/>
      <c r="I1178" s="209"/>
      <c r="L1178" s="209"/>
      <c r="M1178" s="209"/>
      <c r="N1178" s="209"/>
    </row>
    <row r="1179" spans="1:14">
      <c r="A1179" s="200"/>
      <c r="B1179" s="208" t="s">
        <v>253</v>
      </c>
      <c r="C1179" s="235" t="e">
        <v>#VALUE!</v>
      </c>
      <c r="D1179" s="235" t="e">
        <v>#VALUE!</v>
      </c>
      <c r="E1179" s="235" t="e">
        <v>#VALUE!</v>
      </c>
      <c r="F1179" s="389" t="e">
        <v>#VALUE!</v>
      </c>
      <c r="G1179" s="235" t="e">
        <v>#VALUE!</v>
      </c>
      <c r="H1179" s="325"/>
      <c r="I1179" s="209"/>
      <c r="L1179" s="209"/>
      <c r="M1179" s="209"/>
      <c r="N1179" s="209"/>
    </row>
    <row r="1180" spans="1:14" ht="28">
      <c r="A1180" s="200"/>
      <c r="B1180" s="208" t="s">
        <v>254</v>
      </c>
      <c r="C1180" s="235"/>
      <c r="D1180" s="235"/>
      <c r="E1180" s="235"/>
      <c r="F1180" s="389"/>
      <c r="G1180" s="235"/>
      <c r="H1180" s="325"/>
      <c r="I1180" s="209"/>
      <c r="L1180" s="209"/>
      <c r="M1180" s="209"/>
      <c r="N1180" s="209"/>
    </row>
    <row r="1181" spans="1:14" ht="16" thickBot="1">
      <c r="A1181" s="200"/>
      <c r="B1181" s="203" t="s">
        <v>255</v>
      </c>
      <c r="C1181" s="237">
        <v>219540</v>
      </c>
      <c r="D1181" s="237">
        <v>185486</v>
      </c>
      <c r="E1181" s="237">
        <v>171852</v>
      </c>
      <c r="F1181" s="383">
        <v>159304</v>
      </c>
      <c r="G1181" s="237">
        <v>131679</v>
      </c>
      <c r="H1181" s="329"/>
      <c r="I1181" s="209"/>
      <c r="L1181" s="209"/>
      <c r="M1181" s="209"/>
      <c r="N1181" s="209"/>
    </row>
    <row r="1182" spans="1:14">
      <c r="A1182" s="204" t="s">
        <v>297</v>
      </c>
      <c r="I1182" s="209"/>
      <c r="L1182" s="209"/>
      <c r="M1182" s="209"/>
      <c r="N1182" s="209"/>
    </row>
    <row r="1183" spans="1:14">
      <c r="A1183" s="204" t="s">
        <v>298</v>
      </c>
      <c r="B1183" s="200"/>
      <c r="C1183" s="200"/>
      <c r="D1183" s="200"/>
      <c r="E1183" s="200"/>
      <c r="F1183" s="87"/>
      <c r="G1183" s="200"/>
      <c r="H1183" s="200"/>
      <c r="I1183" s="209"/>
      <c r="L1183" s="209"/>
      <c r="M1183" s="209"/>
      <c r="N1183" s="209"/>
    </row>
    <row r="1184" spans="1:14">
      <c r="A1184" s="204" t="s">
        <v>296</v>
      </c>
      <c r="B1184" s="200"/>
      <c r="C1184" s="200"/>
      <c r="D1184" s="200"/>
      <c r="E1184" s="200"/>
      <c r="F1184" s="87"/>
      <c r="G1184" s="200"/>
      <c r="H1184" s="200"/>
      <c r="I1184" s="209"/>
      <c r="L1184" s="209"/>
      <c r="M1184" s="209"/>
      <c r="N1184" s="209"/>
    </row>
    <row r="1185" spans="1:14">
      <c r="A1185" s="200"/>
      <c r="B1185" s="201"/>
      <c r="C1185" s="201">
        <v>2011</v>
      </c>
      <c r="D1185" s="219" t="s">
        <v>216</v>
      </c>
      <c r="E1185" s="219" t="s">
        <v>217</v>
      </c>
      <c r="F1185" s="362" t="s">
        <v>218</v>
      </c>
      <c r="G1185" s="219" t="s">
        <v>219</v>
      </c>
      <c r="H1185" s="219"/>
      <c r="I1185" s="209"/>
      <c r="L1185" s="209"/>
      <c r="M1185" s="209"/>
      <c r="N1185" s="209"/>
    </row>
    <row r="1186" spans="1:14" ht="16" thickBot="1">
      <c r="A1186" s="200"/>
      <c r="B1186" s="202" t="s">
        <v>246</v>
      </c>
      <c r="C1186" s="237">
        <v>231152</v>
      </c>
      <c r="D1186" s="237">
        <v>372760</v>
      </c>
      <c r="E1186" s="237">
        <v>328343</v>
      </c>
      <c r="F1186" s="383">
        <v>258023</v>
      </c>
      <c r="G1186" s="238">
        <v>124878</v>
      </c>
      <c r="H1186" s="327"/>
      <c r="I1186" s="209"/>
      <c r="L1186" s="209"/>
      <c r="M1186" s="209"/>
      <c r="N1186" s="209"/>
    </row>
    <row r="1187" spans="1:14">
      <c r="A1187" s="200"/>
      <c r="B1187" s="201"/>
      <c r="C1187" s="234"/>
      <c r="D1187" s="234"/>
      <c r="E1187" s="234"/>
      <c r="F1187" s="387"/>
      <c r="G1187" s="234"/>
      <c r="H1187" s="234"/>
      <c r="I1187" s="209"/>
      <c r="L1187" s="209"/>
      <c r="M1187" s="209"/>
      <c r="N1187" s="209"/>
    </row>
    <row r="1188" spans="1:14" ht="29" thickBot="1">
      <c r="A1188" s="200"/>
      <c r="B1188" s="211" t="s">
        <v>247</v>
      </c>
      <c r="C1188" s="225">
        <v>8897</v>
      </c>
      <c r="D1188" s="226">
        <v>16342</v>
      </c>
      <c r="E1188" s="225">
        <v>11876</v>
      </c>
      <c r="F1188" s="383">
        <v>12292</v>
      </c>
      <c r="G1188" s="225">
        <v>10297</v>
      </c>
      <c r="H1188" s="328"/>
      <c r="I1188" s="209"/>
      <c r="L1188" s="209"/>
      <c r="M1188" s="209"/>
      <c r="N1188" s="209"/>
    </row>
    <row r="1189" spans="1:14">
      <c r="A1189" s="200"/>
      <c r="B1189" s="208" t="s">
        <v>248</v>
      </c>
      <c r="C1189" s="235"/>
      <c r="D1189" s="235"/>
      <c r="E1189" s="235"/>
      <c r="F1189" s="389"/>
      <c r="G1189" s="235"/>
      <c r="H1189" s="325"/>
      <c r="I1189" s="209"/>
      <c r="L1189" s="209"/>
      <c r="M1189" s="209"/>
      <c r="N1189" s="209"/>
    </row>
    <row r="1190" spans="1:14">
      <c r="A1190" s="200"/>
      <c r="B1190" s="208" t="s">
        <v>249</v>
      </c>
      <c r="C1190" s="235"/>
      <c r="D1190" s="235"/>
      <c r="E1190" s="235"/>
      <c r="F1190" s="389"/>
      <c r="G1190" s="235"/>
      <c r="H1190" s="325"/>
      <c r="I1190" s="209"/>
      <c r="L1190" s="209"/>
      <c r="M1190" s="209"/>
      <c r="N1190" s="209"/>
    </row>
    <row r="1191" spans="1:14" ht="16" thickBot="1">
      <c r="A1191" s="200"/>
      <c r="B1191" s="206" t="s">
        <v>250</v>
      </c>
      <c r="C1191" s="225">
        <v>152198</v>
      </c>
      <c r="D1191" s="226">
        <v>292262</v>
      </c>
      <c r="E1191" s="225">
        <v>281526</v>
      </c>
      <c r="F1191" s="383">
        <v>181215</v>
      </c>
      <c r="G1191" s="225">
        <v>65127</v>
      </c>
      <c r="H1191" s="328"/>
      <c r="I1191" s="209"/>
      <c r="L1191" s="209"/>
      <c r="M1191" s="209"/>
      <c r="N1191" s="209"/>
    </row>
    <row r="1192" spans="1:14" ht="16" thickBot="1">
      <c r="A1192" s="200"/>
      <c r="B1192" s="210" t="s">
        <v>251</v>
      </c>
      <c r="C1192" s="225">
        <v>38811</v>
      </c>
      <c r="D1192" s="226">
        <v>33681</v>
      </c>
      <c r="E1192" s="225">
        <v>34009</v>
      </c>
      <c r="F1192" s="383">
        <v>-15402</v>
      </c>
      <c r="G1192" s="225">
        <v>16696</v>
      </c>
      <c r="H1192" s="328"/>
      <c r="I1192" s="209"/>
      <c r="L1192" s="209"/>
      <c r="M1192" s="209"/>
      <c r="N1192" s="209"/>
    </row>
    <row r="1193" spans="1:14">
      <c r="A1193" s="200"/>
      <c r="B1193" s="208" t="s">
        <v>252</v>
      </c>
      <c r="C1193" s="235" t="e">
        <v>#VALUE!</v>
      </c>
      <c r="D1193" s="235" t="e">
        <v>#VALUE!</v>
      </c>
      <c r="E1193" s="235" t="e">
        <v>#VALUE!</v>
      </c>
      <c r="F1193" s="389" t="e">
        <v>#VALUE!</v>
      </c>
      <c r="G1193" s="235" t="e">
        <v>#VALUE!</v>
      </c>
      <c r="H1193" s="325"/>
      <c r="I1193" s="209"/>
      <c r="L1193" s="209"/>
      <c r="M1193" s="209"/>
      <c r="N1193" s="209"/>
    </row>
    <row r="1194" spans="1:14">
      <c r="A1194" s="200"/>
      <c r="B1194" s="208" t="s">
        <v>253</v>
      </c>
      <c r="C1194" s="235" t="e">
        <v>#VALUE!</v>
      </c>
      <c r="D1194" s="235" t="e">
        <v>#VALUE!</v>
      </c>
      <c r="E1194" s="235" t="e">
        <v>#VALUE!</v>
      </c>
      <c r="F1194" s="389" t="e">
        <v>#VALUE!</v>
      </c>
      <c r="G1194" s="235" t="e">
        <v>#VALUE!</v>
      </c>
      <c r="H1194" s="325"/>
      <c r="I1194" s="209"/>
      <c r="L1194" s="209"/>
      <c r="M1194" s="209"/>
      <c r="N1194" s="209"/>
    </row>
    <row r="1195" spans="1:14" ht="28">
      <c r="A1195" s="200"/>
      <c r="B1195" s="208" t="s">
        <v>254</v>
      </c>
      <c r="C1195" s="235"/>
      <c r="D1195" s="235"/>
      <c r="E1195" s="235"/>
      <c r="F1195" s="389"/>
      <c r="G1195" s="235"/>
      <c r="H1195" s="325"/>
      <c r="I1195" s="209"/>
      <c r="L1195" s="209"/>
      <c r="M1195" s="209"/>
      <c r="N1195" s="209"/>
    </row>
    <row r="1196" spans="1:14" ht="16" thickBot="1">
      <c r="A1196" s="200"/>
      <c r="B1196" s="203" t="s">
        <v>255</v>
      </c>
      <c r="C1196" s="225">
        <v>78954</v>
      </c>
      <c r="D1196" s="226">
        <v>80498</v>
      </c>
      <c r="E1196" s="225">
        <v>46817</v>
      </c>
      <c r="F1196" s="383">
        <v>76808</v>
      </c>
      <c r="G1196" s="225">
        <v>59751</v>
      </c>
      <c r="H1196" s="328"/>
      <c r="I1196" s="209"/>
      <c r="L1196" s="209"/>
      <c r="M1196" s="209"/>
      <c r="N1196" s="209"/>
    </row>
    <row r="1197" spans="1:14">
      <c r="I1197" s="209"/>
      <c r="L1197" s="209"/>
      <c r="M1197" s="209"/>
      <c r="N1197" s="209"/>
    </row>
    <row r="1198" spans="1:14">
      <c r="A1198" s="204" t="s">
        <v>299</v>
      </c>
      <c r="I1198" s="209"/>
      <c r="L1198" s="209"/>
      <c r="M1198" s="209"/>
      <c r="N1198" s="209"/>
    </row>
    <row r="1199" spans="1:14">
      <c r="A1199" s="204" t="s">
        <v>300</v>
      </c>
      <c r="B1199" s="200"/>
      <c r="C1199" s="200"/>
      <c r="D1199" s="200"/>
      <c r="E1199" s="200"/>
      <c r="F1199" s="87"/>
      <c r="G1199" s="200"/>
      <c r="H1199" s="200"/>
      <c r="I1199" s="209"/>
      <c r="L1199" s="209"/>
      <c r="M1199" s="209"/>
      <c r="N1199" s="209"/>
    </row>
    <row r="1200" spans="1:14">
      <c r="A1200" s="200"/>
      <c r="B1200" s="201"/>
      <c r="C1200" s="201">
        <v>2009</v>
      </c>
      <c r="D1200" s="219" t="s">
        <v>220</v>
      </c>
      <c r="E1200" s="219" t="s">
        <v>221</v>
      </c>
      <c r="F1200" s="362" t="s">
        <v>222</v>
      </c>
      <c r="G1200" s="219" t="s">
        <v>223</v>
      </c>
      <c r="H1200" s="219"/>
      <c r="I1200" s="209"/>
      <c r="L1200" s="209"/>
      <c r="M1200" s="209"/>
      <c r="N1200" s="209"/>
    </row>
    <row r="1201" spans="1:50" ht="18">
      <c r="A1201" s="200"/>
      <c r="B1201" s="202" t="s">
        <v>246</v>
      </c>
      <c r="C1201" s="456">
        <v>821960</v>
      </c>
      <c r="D1201" s="456">
        <v>759219</v>
      </c>
      <c r="E1201" s="456">
        <v>809149</v>
      </c>
      <c r="F1201" s="457">
        <v>856758</v>
      </c>
      <c r="G1201" s="456">
        <v>591527</v>
      </c>
      <c r="H1201" s="228"/>
      <c r="I1201" s="209"/>
      <c r="L1201" s="209"/>
      <c r="M1201" s="209"/>
      <c r="N1201" s="209"/>
    </row>
    <row r="1202" spans="1:50">
      <c r="A1202" s="200"/>
      <c r="B1202" s="201"/>
      <c r="C1202" s="458"/>
      <c r="D1202" s="458"/>
      <c r="E1202" s="458"/>
      <c r="F1202" s="459"/>
      <c r="G1202" s="458"/>
      <c r="H1202" s="234"/>
      <c r="I1202" s="209"/>
      <c r="L1202" s="209"/>
      <c r="M1202" s="209"/>
      <c r="N1202" s="209"/>
    </row>
    <row r="1203" spans="1:50" ht="28">
      <c r="A1203" s="200"/>
      <c r="B1203" s="211" t="s">
        <v>247</v>
      </c>
      <c r="C1203" s="456">
        <v>916094</v>
      </c>
      <c r="D1203" s="456">
        <v>780388</v>
      </c>
      <c r="E1203" s="456">
        <v>772166</v>
      </c>
      <c r="F1203" s="457">
        <v>728196</v>
      </c>
      <c r="G1203" s="460">
        <v>586158</v>
      </c>
      <c r="H1203" s="230"/>
      <c r="I1203" s="209"/>
      <c r="L1203" s="209"/>
      <c r="M1203" s="209"/>
      <c r="N1203" s="209"/>
    </row>
    <row r="1204" spans="1:50">
      <c r="A1204" s="200"/>
      <c r="B1204" s="208" t="s">
        <v>248</v>
      </c>
      <c r="C1204" s="214"/>
      <c r="D1204" s="214"/>
      <c r="E1204" s="214"/>
      <c r="F1204" s="367"/>
      <c r="G1204" s="214"/>
      <c r="H1204" s="325"/>
      <c r="I1204" s="209"/>
      <c r="L1204" s="209"/>
      <c r="M1204" s="209"/>
      <c r="N1204" s="209"/>
    </row>
    <row r="1205" spans="1:50">
      <c r="A1205" s="200"/>
      <c r="B1205" s="208" t="s">
        <v>249</v>
      </c>
      <c r="C1205" s="214"/>
      <c r="D1205" s="214"/>
      <c r="E1205" s="214"/>
      <c r="F1205" s="367"/>
      <c r="G1205" s="214"/>
      <c r="H1205" s="325"/>
      <c r="I1205" s="209"/>
      <c r="L1205" s="209"/>
      <c r="M1205" s="209"/>
      <c r="N1205" s="209"/>
    </row>
    <row r="1206" spans="1:50" ht="18">
      <c r="A1206" s="200"/>
      <c r="B1206" s="206" t="s">
        <v>250</v>
      </c>
      <c r="C1206" s="456">
        <v>242114</v>
      </c>
      <c r="D1206" s="456">
        <v>189652</v>
      </c>
      <c r="E1206" s="456">
        <v>243065</v>
      </c>
      <c r="F1206" s="457">
        <v>543346</v>
      </c>
      <c r="G1206" s="456">
        <v>411694</v>
      </c>
      <c r="H1206" s="228"/>
      <c r="I1206" s="209"/>
      <c r="L1206" s="209"/>
      <c r="M1206" s="209"/>
      <c r="N1206" s="209"/>
    </row>
    <row r="1207" spans="1:50" ht="18">
      <c r="A1207" s="200"/>
      <c r="B1207" s="210" t="s">
        <v>251</v>
      </c>
      <c r="C1207" s="456">
        <v>10281</v>
      </c>
      <c r="D1207" s="456">
        <v>3483</v>
      </c>
      <c r="E1207" s="456">
        <v>19294</v>
      </c>
      <c r="F1207" s="457">
        <v>6696</v>
      </c>
      <c r="G1207" s="456">
        <v>15356</v>
      </c>
      <c r="H1207" s="228"/>
      <c r="I1207" s="209"/>
      <c r="L1207" s="209"/>
      <c r="M1207" s="209"/>
      <c r="N1207" s="209"/>
    </row>
    <row r="1208" spans="1:50">
      <c r="A1208" s="200"/>
      <c r="B1208" s="208" t="s">
        <v>252</v>
      </c>
      <c r="C1208" s="214" t="e">
        <v>#VALUE!</v>
      </c>
      <c r="D1208" s="214" t="e">
        <v>#VALUE!</v>
      </c>
      <c r="E1208" s="214" t="e">
        <v>#VALUE!</v>
      </c>
      <c r="F1208" s="367" t="e">
        <v>#VALUE!</v>
      </c>
      <c r="G1208" s="214" t="e">
        <v>#VALUE!</v>
      </c>
      <c r="H1208" s="325"/>
      <c r="I1208" s="209"/>
      <c r="L1208" s="209"/>
      <c r="M1208" s="209"/>
      <c r="N1208" s="209"/>
    </row>
    <row r="1209" spans="1:50">
      <c r="A1209" s="200"/>
      <c r="B1209" s="208" t="s">
        <v>253</v>
      </c>
      <c r="C1209" s="214" t="e">
        <v>#VALUE!</v>
      </c>
      <c r="D1209" s="214" t="e">
        <v>#VALUE!</v>
      </c>
      <c r="E1209" s="214" t="e">
        <v>#VALUE!</v>
      </c>
      <c r="F1209" s="367" t="e">
        <v>#VALUE!</v>
      </c>
      <c r="G1209" s="214" t="e">
        <v>#VALUE!</v>
      </c>
      <c r="H1209" s="325"/>
      <c r="I1209" s="209"/>
      <c r="L1209" s="209"/>
      <c r="M1209" s="209"/>
      <c r="N1209" s="209"/>
    </row>
    <row r="1210" spans="1:50" ht="28">
      <c r="A1210" s="200"/>
      <c r="B1210" s="208" t="s">
        <v>254</v>
      </c>
      <c r="C1210" s="214"/>
      <c r="D1210" s="214"/>
      <c r="E1210" s="214"/>
      <c r="F1210" s="367"/>
      <c r="G1210" s="214"/>
      <c r="H1210" s="325"/>
      <c r="I1210" s="209"/>
      <c r="L1210" s="209"/>
      <c r="M1210" s="209"/>
      <c r="N1210" s="209"/>
    </row>
    <row r="1211" spans="1:50" ht="18">
      <c r="A1211" s="200"/>
      <c r="B1211" s="203" t="s">
        <v>255</v>
      </c>
      <c r="C1211" s="456">
        <v>579845</v>
      </c>
      <c r="D1211" s="456">
        <v>569565</v>
      </c>
      <c r="E1211" s="456">
        <v>566082</v>
      </c>
      <c r="F1211" s="457">
        <v>313412</v>
      </c>
      <c r="G1211" s="456">
        <v>179833</v>
      </c>
      <c r="H1211" s="228"/>
      <c r="I1211" s="209"/>
      <c r="L1211" s="209"/>
      <c r="M1211" s="209"/>
      <c r="N1211" s="209"/>
    </row>
    <row r="1212" spans="1:50" s="196" customFormat="1">
      <c r="A1212" s="181" t="s">
        <v>301</v>
      </c>
      <c r="B1212" s="182"/>
      <c r="C1212" s="182"/>
      <c r="D1212" s="182"/>
      <c r="E1212" s="182"/>
      <c r="F1212" s="86"/>
      <c r="G1212" s="182"/>
      <c r="H1212" s="182"/>
      <c r="I1212" s="182"/>
      <c r="J1212" s="182"/>
      <c r="K1212" s="182"/>
      <c r="L1212" s="209"/>
      <c r="M1212" s="209"/>
      <c r="N1212" s="209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</row>
    <row r="1213" spans="1:50">
      <c r="A1213" s="181" t="s">
        <v>302</v>
      </c>
      <c r="B1213" s="183"/>
      <c r="C1213" s="183"/>
      <c r="D1213" s="183"/>
      <c r="E1213" s="183"/>
      <c r="F1213" s="87"/>
      <c r="G1213" s="183"/>
      <c r="H1213" s="183"/>
      <c r="I1213" s="182"/>
      <c r="J1213" s="182"/>
      <c r="K1213" s="182"/>
      <c r="L1213" s="209"/>
      <c r="M1213" s="209"/>
      <c r="N1213" s="209"/>
    </row>
    <row r="1214" spans="1:50">
      <c r="A1214" s="181" t="s">
        <v>303</v>
      </c>
      <c r="B1214" s="183"/>
      <c r="C1214" s="183">
        <v>2008</v>
      </c>
      <c r="D1214" s="181" t="s">
        <v>224</v>
      </c>
      <c r="E1214" s="181" t="s">
        <v>225</v>
      </c>
      <c r="F1214" s="368" t="s">
        <v>226</v>
      </c>
      <c r="G1214" s="181" t="s">
        <v>227</v>
      </c>
      <c r="H1214" s="181"/>
      <c r="I1214" s="182"/>
      <c r="J1214" s="182"/>
      <c r="K1214" s="182"/>
      <c r="L1214" s="209"/>
      <c r="M1214" s="209"/>
      <c r="N1214" s="209"/>
    </row>
    <row r="1215" spans="1:50" ht="18">
      <c r="A1215" s="183"/>
      <c r="B1215" s="184" t="s">
        <v>246</v>
      </c>
      <c r="C1215" s="185">
        <v>955</v>
      </c>
      <c r="D1215" s="185" t="s">
        <v>262</v>
      </c>
      <c r="E1215" s="185" t="s">
        <v>263</v>
      </c>
      <c r="F1215" s="384">
        <v>122</v>
      </c>
      <c r="G1215" s="185" t="s">
        <v>264</v>
      </c>
      <c r="H1215" s="185"/>
      <c r="I1215" s="182"/>
      <c r="J1215" s="182"/>
      <c r="K1215" s="182"/>
      <c r="L1215" s="209"/>
      <c r="M1215" s="209"/>
      <c r="N1215" s="209"/>
    </row>
    <row r="1216" spans="1:50">
      <c r="A1216" s="183"/>
      <c r="B1216" s="183"/>
      <c r="C1216" s="186"/>
      <c r="D1216" s="186"/>
      <c r="E1216" s="186"/>
      <c r="F1216" s="397"/>
      <c r="G1216" s="186"/>
      <c r="H1216" s="186"/>
      <c r="I1216" s="182"/>
      <c r="J1216" s="182"/>
      <c r="K1216" s="182"/>
      <c r="L1216" s="209"/>
      <c r="M1216" s="209"/>
      <c r="N1216" s="209"/>
    </row>
    <row r="1217" spans="1:50" ht="28">
      <c r="A1217" s="183"/>
      <c r="B1217" s="187" t="s">
        <v>247</v>
      </c>
      <c r="C1217" s="185">
        <v>834</v>
      </c>
      <c r="D1217" s="185">
        <v>918</v>
      </c>
      <c r="E1217" s="185" t="s">
        <v>265</v>
      </c>
      <c r="F1217" s="384" t="s">
        <v>266</v>
      </c>
      <c r="G1217" s="188" t="s">
        <v>267</v>
      </c>
      <c r="H1217" s="188"/>
      <c r="I1217" s="182"/>
      <c r="J1217" s="182"/>
      <c r="K1217" s="182"/>
      <c r="L1217" s="209"/>
      <c r="M1217" s="209"/>
      <c r="N1217" s="209"/>
    </row>
    <row r="1218" spans="1:50">
      <c r="A1218" s="183"/>
      <c r="B1218" s="189" t="s">
        <v>248</v>
      </c>
      <c r="C1218" s="190"/>
      <c r="D1218" s="190"/>
      <c r="E1218" s="190"/>
      <c r="F1218" s="398"/>
      <c r="G1218" s="190"/>
      <c r="H1218" s="330"/>
      <c r="I1218" s="182"/>
      <c r="J1218" s="182"/>
      <c r="K1218" s="182"/>
      <c r="L1218" s="209"/>
      <c r="M1218" s="209"/>
      <c r="N1218" s="209"/>
    </row>
    <row r="1219" spans="1:50">
      <c r="A1219" s="183"/>
      <c r="B1219" s="189" t="s">
        <v>249</v>
      </c>
      <c r="C1219" s="190"/>
      <c r="D1219" s="190"/>
      <c r="E1219" s="190"/>
      <c r="F1219" s="398"/>
      <c r="G1219" s="190"/>
      <c r="H1219" s="330"/>
      <c r="I1219" s="182"/>
      <c r="J1219" s="182"/>
      <c r="K1219" s="182"/>
      <c r="L1219" s="209"/>
      <c r="M1219" s="209"/>
      <c r="N1219" s="209"/>
    </row>
    <row r="1220" spans="1:50" ht="18">
      <c r="A1220" s="183"/>
      <c r="B1220" s="191" t="s">
        <v>250</v>
      </c>
      <c r="C1220" s="185">
        <v>833</v>
      </c>
      <c r="D1220" s="185">
        <v>911</v>
      </c>
      <c r="E1220" s="185" t="s">
        <v>268</v>
      </c>
      <c r="F1220" s="384">
        <v>0</v>
      </c>
      <c r="G1220" s="185" t="s">
        <v>269</v>
      </c>
      <c r="H1220" s="185"/>
      <c r="I1220" s="182"/>
      <c r="J1220" s="182"/>
      <c r="K1220" s="182"/>
      <c r="L1220" s="209"/>
      <c r="M1220" s="209"/>
      <c r="N1220" s="209"/>
    </row>
    <row r="1221" spans="1:50" ht="18">
      <c r="A1221" s="183"/>
      <c r="B1221" s="192" t="s">
        <v>251</v>
      </c>
      <c r="C1221" s="185">
        <v>600</v>
      </c>
      <c r="D1221" s="185">
        <v>656</v>
      </c>
      <c r="E1221" s="185">
        <v>725</v>
      </c>
      <c r="F1221" s="384">
        <v>776</v>
      </c>
      <c r="G1221" s="188">
        <v>796</v>
      </c>
      <c r="H1221" s="188"/>
      <c r="I1221" s="182"/>
      <c r="J1221" s="182"/>
      <c r="K1221" s="182"/>
      <c r="L1221" s="194" t="s">
        <v>317</v>
      </c>
      <c r="M1221" s="209"/>
      <c r="N1221" s="209"/>
    </row>
    <row r="1222" spans="1:50">
      <c r="A1222" s="183"/>
      <c r="B1222" s="189" t="s">
        <v>252</v>
      </c>
      <c r="C1222" s="190" t="e">
        <v>#DIV/0!</v>
      </c>
      <c r="D1222" s="190" t="e">
        <v>#DIV/0!</v>
      </c>
      <c r="E1222" s="190" t="e">
        <v>#DIV/0!</v>
      </c>
      <c r="F1222" s="398" t="e">
        <v>#DIV/0!</v>
      </c>
      <c r="G1222" s="190" t="e">
        <v>#DIV/0!</v>
      </c>
      <c r="H1222" s="330"/>
      <c r="I1222" s="182"/>
      <c r="J1222" s="182"/>
      <c r="K1222" s="182"/>
      <c r="L1222" s="209"/>
      <c r="M1222" s="209"/>
      <c r="N1222" s="209"/>
    </row>
    <row r="1223" spans="1:50">
      <c r="A1223" s="183"/>
      <c r="B1223" s="189" t="s">
        <v>253</v>
      </c>
      <c r="C1223" s="190" t="e">
        <v>#VALUE!</v>
      </c>
      <c r="D1223" s="190" t="e">
        <v>#VALUE!</v>
      </c>
      <c r="E1223" s="190" t="e">
        <v>#VALUE!</v>
      </c>
      <c r="F1223" s="398" t="e">
        <v>#VALUE!</v>
      </c>
      <c r="G1223" s="190" t="e">
        <v>#VALUE!</v>
      </c>
      <c r="H1223" s="330"/>
      <c r="I1223" s="182"/>
      <c r="J1223" s="182"/>
      <c r="K1223" s="182"/>
      <c r="L1223" s="209"/>
      <c r="M1223" s="209"/>
      <c r="N1223" s="209"/>
    </row>
    <row r="1224" spans="1:50" ht="28">
      <c r="A1224" s="181" t="s">
        <v>304</v>
      </c>
      <c r="B1224" s="189" t="s">
        <v>254</v>
      </c>
      <c r="C1224" s="190"/>
      <c r="D1224" s="190"/>
      <c r="E1224" s="190"/>
      <c r="F1224" s="398"/>
      <c r="G1224" s="190"/>
      <c r="H1224" s="330"/>
      <c r="I1224" s="182"/>
      <c r="J1224" s="182"/>
      <c r="K1224" s="182"/>
      <c r="L1224" s="209"/>
      <c r="M1224" s="209"/>
      <c r="N1224" s="209"/>
    </row>
    <row r="1225" spans="1:50" ht="18">
      <c r="A1225" s="181"/>
      <c r="B1225" s="193" t="s">
        <v>255</v>
      </c>
      <c r="C1225" s="185">
        <v>122</v>
      </c>
      <c r="D1225" s="185">
        <v>122</v>
      </c>
      <c r="E1225" s="185">
        <v>122</v>
      </c>
      <c r="F1225" s="384">
        <v>122</v>
      </c>
      <c r="G1225" s="188">
        <v>122</v>
      </c>
      <c r="H1225" s="188"/>
      <c r="I1225" s="182"/>
      <c r="J1225" s="182"/>
      <c r="K1225" s="182"/>
      <c r="L1225" s="209"/>
      <c r="M1225" s="209"/>
      <c r="N1225" s="209"/>
    </row>
    <row r="1226" spans="1:50">
      <c r="I1226" s="209"/>
      <c r="L1226" s="209"/>
      <c r="M1226" s="209"/>
      <c r="N1226" s="209"/>
    </row>
    <row r="1227" spans="1:50">
      <c r="I1227" s="209"/>
      <c r="L1227" s="209"/>
      <c r="M1227" s="209"/>
      <c r="N1227" s="209"/>
    </row>
    <row r="1228" spans="1:50">
      <c r="A1228" s="217" t="s">
        <v>305</v>
      </c>
      <c r="I1228" s="209"/>
      <c r="L1228" s="209"/>
      <c r="M1228" s="209"/>
      <c r="N1228" s="209"/>
    </row>
    <row r="1229" spans="1:50">
      <c r="A1229" s="204" t="s">
        <v>306</v>
      </c>
      <c r="B1229" s="200"/>
      <c r="C1229" s="200"/>
      <c r="D1229" s="200"/>
      <c r="E1229" s="200"/>
      <c r="F1229" s="87"/>
      <c r="G1229" s="200"/>
      <c r="H1229" s="200"/>
      <c r="I1229" s="209"/>
      <c r="L1229" s="209"/>
      <c r="M1229" s="209"/>
      <c r="N1229" s="209"/>
    </row>
    <row r="1230" spans="1:50">
      <c r="A1230" s="200"/>
      <c r="B1230" s="201"/>
      <c r="C1230" s="201">
        <v>2008</v>
      </c>
      <c r="D1230" s="219" t="s">
        <v>224</v>
      </c>
      <c r="E1230" s="219" t="s">
        <v>225</v>
      </c>
      <c r="F1230" s="362" t="s">
        <v>226</v>
      </c>
      <c r="G1230" s="219" t="s">
        <v>227</v>
      </c>
      <c r="H1230" s="219"/>
      <c r="I1230" s="209"/>
      <c r="L1230" s="209"/>
      <c r="M1230" s="209"/>
      <c r="N1230" s="209"/>
      <c r="O1230" s="196"/>
      <c r="P1230" s="196"/>
      <c r="Q1230" s="196"/>
      <c r="R1230" s="196"/>
      <c r="S1230" s="196"/>
      <c r="T1230" s="196"/>
      <c r="U1230" s="196"/>
      <c r="V1230" s="196"/>
      <c r="W1230" s="196"/>
      <c r="X1230" s="196"/>
      <c r="Y1230" s="196"/>
      <c r="Z1230" s="196"/>
      <c r="AA1230" s="196"/>
      <c r="AB1230" s="196"/>
      <c r="AC1230" s="196"/>
      <c r="AD1230" s="196"/>
      <c r="AE1230" s="196"/>
      <c r="AF1230" s="196"/>
      <c r="AG1230" s="196"/>
      <c r="AH1230" s="196"/>
      <c r="AI1230" s="196"/>
      <c r="AJ1230" s="196"/>
      <c r="AK1230" s="196"/>
      <c r="AL1230" s="196"/>
      <c r="AM1230" s="196"/>
      <c r="AN1230" s="196"/>
      <c r="AO1230" s="196"/>
      <c r="AP1230" s="196"/>
      <c r="AQ1230" s="196"/>
      <c r="AR1230" s="196"/>
      <c r="AS1230" s="196"/>
      <c r="AT1230" s="196"/>
      <c r="AU1230" s="196"/>
      <c r="AV1230" s="196"/>
      <c r="AW1230" s="196"/>
      <c r="AX1230" s="196"/>
    </row>
    <row r="1231" spans="1:50" ht="18">
      <c r="A1231" s="200"/>
      <c r="B1231" s="202" t="s">
        <v>246</v>
      </c>
      <c r="C1231" s="456">
        <v>101652</v>
      </c>
      <c r="D1231" s="456">
        <v>98892</v>
      </c>
      <c r="E1231" s="456">
        <v>76288</v>
      </c>
      <c r="F1231" s="457">
        <v>75032</v>
      </c>
      <c r="G1231" s="456">
        <v>55528</v>
      </c>
      <c r="H1231" s="228"/>
      <c r="I1231" s="209"/>
      <c r="L1231" s="209"/>
      <c r="M1231" s="209"/>
      <c r="N1231" s="209"/>
    </row>
    <row r="1232" spans="1:50">
      <c r="A1232" s="200"/>
      <c r="B1232" s="201"/>
      <c r="C1232" s="458"/>
      <c r="D1232" s="458"/>
      <c r="E1232" s="458"/>
      <c r="F1232" s="459"/>
      <c r="G1232" s="458"/>
      <c r="H1232" s="234"/>
      <c r="I1232" s="209"/>
      <c r="L1232" s="209"/>
      <c r="M1232" s="209"/>
      <c r="N1232" s="209"/>
    </row>
    <row r="1233" spans="1:14" ht="28">
      <c r="A1233" s="200"/>
      <c r="B1233" s="211" t="s">
        <v>247</v>
      </c>
      <c r="C1233" s="456">
        <v>139989</v>
      </c>
      <c r="D1233" s="456">
        <v>121617</v>
      </c>
      <c r="E1233" s="456">
        <v>101945</v>
      </c>
      <c r="F1233" s="457">
        <v>88330</v>
      </c>
      <c r="G1233" s="456">
        <v>76952</v>
      </c>
      <c r="H1233" s="228"/>
      <c r="I1233" s="209"/>
      <c r="L1233" s="209"/>
      <c r="M1233" s="209"/>
      <c r="N1233" s="209"/>
    </row>
    <row r="1234" spans="1:14">
      <c r="A1234" s="200"/>
      <c r="B1234" s="208" t="s">
        <v>248</v>
      </c>
      <c r="C1234" s="214"/>
      <c r="D1234" s="214"/>
      <c r="E1234" s="214"/>
      <c r="F1234" s="367"/>
      <c r="G1234" s="214"/>
      <c r="H1234" s="325"/>
      <c r="I1234" s="209"/>
      <c r="L1234" s="209"/>
      <c r="M1234" s="209"/>
      <c r="N1234" s="209"/>
    </row>
    <row r="1235" spans="1:14">
      <c r="A1235" s="200"/>
      <c r="B1235" s="208" t="s">
        <v>249</v>
      </c>
      <c r="C1235" s="214"/>
      <c r="D1235" s="214"/>
      <c r="E1235" s="214"/>
      <c r="F1235" s="367"/>
      <c r="G1235" s="214"/>
      <c r="H1235" s="325"/>
      <c r="I1235" s="209"/>
      <c r="L1235" s="209"/>
      <c r="M1235" s="209"/>
      <c r="N1235" s="209"/>
    </row>
    <row r="1236" spans="1:14" ht="18">
      <c r="A1236" s="200"/>
      <c r="B1236" s="206" t="s">
        <v>250</v>
      </c>
      <c r="C1236" s="456">
        <v>86569</v>
      </c>
      <c r="D1236" s="456">
        <v>85228</v>
      </c>
      <c r="E1236" s="456">
        <v>64391</v>
      </c>
      <c r="F1236" s="457">
        <v>61334</v>
      </c>
      <c r="G1236" s="456">
        <v>37356</v>
      </c>
      <c r="H1236" s="228"/>
      <c r="I1236" s="209"/>
      <c r="L1236" s="209"/>
      <c r="M1236" s="209"/>
      <c r="N1236" s="209"/>
    </row>
    <row r="1237" spans="1:14" ht="18">
      <c r="A1237" s="200"/>
      <c r="B1237" s="210" t="s">
        <v>251</v>
      </c>
      <c r="C1237" s="456">
        <v>27288</v>
      </c>
      <c r="D1237" s="456">
        <v>22287</v>
      </c>
      <c r="E1237" s="456">
        <v>16057</v>
      </c>
      <c r="F1237" s="457">
        <v>14847</v>
      </c>
      <c r="G1237" s="456">
        <v>4684</v>
      </c>
      <c r="H1237" s="228"/>
      <c r="I1237" s="209"/>
      <c r="L1237" s="209"/>
      <c r="M1237" s="209"/>
      <c r="N1237" s="209"/>
    </row>
    <row r="1238" spans="1:14">
      <c r="A1238" s="200"/>
      <c r="B1238" s="208" t="s">
        <v>252</v>
      </c>
      <c r="C1238" s="214" t="e">
        <v>#VALUE!</v>
      </c>
      <c r="D1238" s="214" t="e">
        <v>#VALUE!</v>
      </c>
      <c r="E1238" s="214" t="e">
        <v>#VALUE!</v>
      </c>
      <c r="F1238" s="367" t="e">
        <v>#VALUE!</v>
      </c>
      <c r="G1238" s="214" t="e">
        <v>#VALUE!</v>
      </c>
      <c r="H1238" s="325"/>
      <c r="I1238" s="209"/>
      <c r="L1238" s="209"/>
      <c r="M1238" s="209"/>
      <c r="N1238" s="209"/>
    </row>
    <row r="1239" spans="1:14">
      <c r="A1239" s="200"/>
      <c r="B1239" s="208" t="s">
        <v>253</v>
      </c>
      <c r="C1239" s="214" t="e">
        <v>#VALUE!</v>
      </c>
      <c r="D1239" s="214" t="e">
        <v>#VALUE!</v>
      </c>
      <c r="E1239" s="214" t="e">
        <v>#VALUE!</v>
      </c>
      <c r="F1239" s="367" t="e">
        <v>#VALUE!</v>
      </c>
      <c r="G1239" s="214" t="e">
        <v>#VALUE!</v>
      </c>
      <c r="H1239" s="325"/>
      <c r="I1239" s="209"/>
      <c r="L1239" s="209"/>
      <c r="M1239" s="209"/>
      <c r="N1239" s="209"/>
    </row>
    <row r="1240" spans="1:14" ht="28">
      <c r="A1240" s="200"/>
      <c r="B1240" s="208" t="s">
        <v>254</v>
      </c>
      <c r="C1240" s="214"/>
      <c r="D1240" s="214"/>
      <c r="E1240" s="214"/>
      <c r="F1240" s="367"/>
      <c r="G1240" s="214"/>
      <c r="H1240" s="325"/>
      <c r="I1240" s="209"/>
      <c r="L1240" s="209"/>
      <c r="M1240" s="209"/>
      <c r="N1240" s="209"/>
    </row>
    <row r="1241" spans="1:14" ht="18">
      <c r="A1241" s="200"/>
      <c r="B1241" s="203" t="s">
        <v>255</v>
      </c>
      <c r="C1241" s="456">
        <v>15083</v>
      </c>
      <c r="D1241" s="456">
        <v>13665</v>
      </c>
      <c r="E1241" s="456">
        <v>11898</v>
      </c>
      <c r="F1241" s="457">
        <v>13698</v>
      </c>
      <c r="G1241" s="456">
        <v>18172</v>
      </c>
      <c r="H1241" s="228"/>
      <c r="I1241" s="209"/>
      <c r="L1241" s="209"/>
      <c r="M1241" s="209"/>
      <c r="N1241" s="209"/>
    </row>
    <row r="1242" spans="1:14">
      <c r="I1242" s="209"/>
      <c r="L1242" s="209"/>
      <c r="M1242" s="209"/>
      <c r="N1242" s="209"/>
    </row>
    <row r="1243" spans="1:14">
      <c r="A1243" s="181" t="s">
        <v>307</v>
      </c>
      <c r="B1243" s="182"/>
      <c r="C1243" s="182"/>
      <c r="D1243" s="182"/>
      <c r="E1243" s="182"/>
      <c r="F1243" s="86"/>
      <c r="G1243" s="182"/>
      <c r="H1243" s="182"/>
      <c r="I1243" s="209"/>
      <c r="L1243" s="209"/>
      <c r="M1243" s="209"/>
      <c r="N1243" s="209"/>
    </row>
    <row r="1244" spans="1:14">
      <c r="A1244" s="181" t="s">
        <v>199</v>
      </c>
      <c r="B1244" s="183"/>
      <c r="C1244" s="183"/>
      <c r="D1244" s="183"/>
      <c r="E1244" s="183"/>
      <c r="F1244" s="87"/>
      <c r="G1244" s="183"/>
      <c r="H1244" s="183"/>
      <c r="I1244" s="209"/>
      <c r="L1244" s="209"/>
      <c r="M1244" s="209"/>
      <c r="N1244" s="209"/>
    </row>
    <row r="1245" spans="1:14">
      <c r="A1245" s="183"/>
      <c r="B1245" s="183"/>
      <c r="C1245" s="183">
        <v>2007</v>
      </c>
      <c r="D1245" s="181" t="s">
        <v>183</v>
      </c>
      <c r="E1245" s="181" t="s">
        <v>184</v>
      </c>
      <c r="F1245" s="368" t="s">
        <v>185</v>
      </c>
      <c r="G1245" s="181" t="s">
        <v>186</v>
      </c>
      <c r="H1245" s="181"/>
      <c r="I1245" s="209"/>
      <c r="L1245" s="209"/>
      <c r="M1245" s="209"/>
      <c r="N1245" s="209"/>
    </row>
    <row r="1246" spans="1:14" ht="18">
      <c r="A1246" s="183"/>
      <c r="B1246" s="184" t="s">
        <v>246</v>
      </c>
      <c r="C1246" s="185" t="s">
        <v>270</v>
      </c>
      <c r="D1246" s="185" t="s">
        <v>271</v>
      </c>
      <c r="E1246" s="185" t="s">
        <v>272</v>
      </c>
      <c r="F1246" s="384" t="s">
        <v>273</v>
      </c>
      <c r="G1246" s="188" t="s">
        <v>274</v>
      </c>
      <c r="H1246" s="188"/>
      <c r="I1246" s="209"/>
      <c r="L1246" s="209"/>
      <c r="M1246" s="209"/>
      <c r="N1246" s="209"/>
    </row>
    <row r="1247" spans="1:14">
      <c r="A1247" s="181" t="s">
        <v>308</v>
      </c>
      <c r="B1247" s="183"/>
      <c r="C1247" s="186"/>
      <c r="D1247" s="186"/>
      <c r="E1247" s="186"/>
      <c r="F1247" s="397"/>
      <c r="G1247" s="186"/>
      <c r="H1247" s="186"/>
      <c r="I1247" s="209"/>
      <c r="L1247" s="209"/>
      <c r="M1247" s="209"/>
      <c r="N1247" s="209"/>
    </row>
    <row r="1248" spans="1:14" ht="28">
      <c r="A1248" s="183"/>
      <c r="B1248" s="187" t="s">
        <v>247</v>
      </c>
      <c r="C1248" s="185">
        <v>8</v>
      </c>
      <c r="D1248" s="185">
        <v>7</v>
      </c>
      <c r="E1248" s="185">
        <v>7</v>
      </c>
      <c r="F1248" s="384">
        <v>512</v>
      </c>
      <c r="G1248" s="185">
        <v>679</v>
      </c>
      <c r="H1248" s="185"/>
      <c r="I1248" s="209"/>
      <c r="L1248" s="209"/>
      <c r="M1248" s="209"/>
      <c r="N1248" s="209"/>
    </row>
    <row r="1249" spans="1:14">
      <c r="A1249" s="183"/>
      <c r="B1249" s="189" t="s">
        <v>248</v>
      </c>
      <c r="C1249" s="190"/>
      <c r="D1249" s="190"/>
      <c r="E1249" s="190"/>
      <c r="F1249" s="398"/>
      <c r="G1249" s="190"/>
      <c r="H1249" s="330"/>
      <c r="I1249" s="194" t="s">
        <v>325</v>
      </c>
      <c r="J1249" s="194"/>
      <c r="K1249" s="194"/>
      <c r="L1249" s="209"/>
      <c r="M1249" s="209"/>
      <c r="N1249" s="209"/>
    </row>
    <row r="1250" spans="1:14">
      <c r="A1250" s="183"/>
      <c r="B1250" s="189" t="s">
        <v>249</v>
      </c>
      <c r="C1250" s="190"/>
      <c r="D1250" s="190"/>
      <c r="E1250" s="190"/>
      <c r="F1250" s="398"/>
      <c r="G1250" s="190"/>
      <c r="H1250" s="330"/>
      <c r="I1250" s="209"/>
      <c r="L1250" s="209"/>
      <c r="M1250" s="209"/>
      <c r="N1250" s="209"/>
    </row>
    <row r="1251" spans="1:14" ht="18">
      <c r="A1251" s="183"/>
      <c r="B1251" s="191" t="s">
        <v>250</v>
      </c>
      <c r="C1251" s="185">
        <v>0</v>
      </c>
      <c r="D1251" s="185">
        <v>33</v>
      </c>
      <c r="E1251" s="185" t="s">
        <v>275</v>
      </c>
      <c r="F1251" s="384" t="s">
        <v>276</v>
      </c>
      <c r="G1251" s="185" t="s">
        <v>277</v>
      </c>
      <c r="H1251" s="185"/>
      <c r="I1251" s="209"/>
      <c r="L1251" s="209"/>
      <c r="M1251" s="209"/>
      <c r="N1251" s="209"/>
    </row>
    <row r="1252" spans="1:14" ht="18">
      <c r="A1252" s="183"/>
      <c r="B1252" s="192" t="s">
        <v>251</v>
      </c>
      <c r="C1252" s="185" t="s">
        <v>278</v>
      </c>
      <c r="D1252" s="185" t="s">
        <v>279</v>
      </c>
      <c r="E1252" s="185" t="s">
        <v>280</v>
      </c>
      <c r="F1252" s="384" t="s">
        <v>281</v>
      </c>
      <c r="G1252" s="185" t="s">
        <v>282</v>
      </c>
      <c r="H1252" s="185"/>
      <c r="I1252" s="209"/>
      <c r="L1252" s="209"/>
      <c r="M1252" s="209"/>
      <c r="N1252" s="209"/>
    </row>
    <row r="1253" spans="1:14">
      <c r="A1253" s="183"/>
      <c r="B1253" s="189" t="s">
        <v>252</v>
      </c>
      <c r="C1253" s="190" t="e">
        <v>#VALUE!</v>
      </c>
      <c r="D1253" s="190" t="e">
        <v>#VALUE!</v>
      </c>
      <c r="E1253" s="190" t="e">
        <v>#VALUE!</v>
      </c>
      <c r="F1253" s="398" t="e">
        <v>#VALUE!</v>
      </c>
      <c r="G1253" s="190" t="e">
        <v>#VALUE!</v>
      </c>
      <c r="H1253" s="330"/>
      <c r="I1253" s="209"/>
      <c r="L1253" s="209"/>
      <c r="M1253" s="209"/>
      <c r="N1253" s="209"/>
    </row>
    <row r="1254" spans="1:14">
      <c r="A1254" s="183"/>
      <c r="B1254" s="189" t="s">
        <v>253</v>
      </c>
      <c r="C1254" s="190" t="e">
        <v>#VALUE!</v>
      </c>
      <c r="D1254" s="190" t="e">
        <v>#VALUE!</v>
      </c>
      <c r="E1254" s="190" t="e">
        <v>#VALUE!</v>
      </c>
      <c r="F1254" s="398" t="e">
        <v>#VALUE!</v>
      </c>
      <c r="G1254" s="190" t="e">
        <v>#VALUE!</v>
      </c>
      <c r="H1254" s="330"/>
      <c r="I1254" s="209"/>
      <c r="L1254" s="209"/>
      <c r="M1254" s="209"/>
      <c r="N1254" s="209"/>
    </row>
    <row r="1255" spans="1:14" ht="28">
      <c r="A1255" s="183"/>
      <c r="B1255" s="189" t="s">
        <v>254</v>
      </c>
      <c r="C1255" s="190"/>
      <c r="D1255" s="190"/>
      <c r="E1255" s="190"/>
      <c r="F1255" s="398"/>
      <c r="G1255" s="190"/>
      <c r="H1255" s="330"/>
      <c r="I1255" s="209"/>
      <c r="L1255" s="209"/>
      <c r="M1255" s="209"/>
      <c r="N1255" s="209"/>
    </row>
    <row r="1256" spans="1:14" ht="18">
      <c r="A1256" s="183"/>
      <c r="B1256" s="193" t="s">
        <v>255</v>
      </c>
      <c r="C1256" s="185" t="s">
        <v>270</v>
      </c>
      <c r="D1256" s="185" t="s">
        <v>283</v>
      </c>
      <c r="E1256" s="185" t="s">
        <v>284</v>
      </c>
      <c r="F1256" s="384" t="s">
        <v>285</v>
      </c>
      <c r="G1256" s="185" t="s">
        <v>286</v>
      </c>
      <c r="H1256" s="185"/>
      <c r="I1256" s="209"/>
      <c r="L1256" s="209"/>
      <c r="M1256" s="209"/>
      <c r="N1256" s="209"/>
    </row>
    <row r="1257" spans="1:14">
      <c r="I1257" s="209"/>
      <c r="L1257" s="209"/>
      <c r="M1257" s="209"/>
      <c r="N1257" s="209"/>
    </row>
    <row r="1258" spans="1:14">
      <c r="I1258" s="209"/>
      <c r="L1258" s="209"/>
      <c r="M1258" s="209"/>
      <c r="N1258" s="209"/>
    </row>
    <row r="1259" spans="1:14">
      <c r="A1259" s="291" t="s">
        <v>318</v>
      </c>
      <c r="B1259" s="279"/>
      <c r="C1259" s="279">
        <v>2008</v>
      </c>
      <c r="D1259" s="286" t="s">
        <v>224</v>
      </c>
      <c r="E1259" s="286" t="s">
        <v>225</v>
      </c>
      <c r="F1259" s="390" t="s">
        <v>226</v>
      </c>
      <c r="G1259" s="286" t="s">
        <v>227</v>
      </c>
      <c r="H1259" s="286"/>
      <c r="I1259" s="209"/>
      <c r="L1259" s="209"/>
      <c r="M1259" s="209"/>
      <c r="N1259" s="209"/>
    </row>
    <row r="1260" spans="1:14">
      <c r="A1260" s="297" t="s">
        <v>319</v>
      </c>
      <c r="B1260" s="280" t="s">
        <v>246</v>
      </c>
      <c r="C1260" s="270">
        <f>1504897210.13129/1000</f>
        <v>1504897.2101312899</v>
      </c>
      <c r="D1260" s="270">
        <f>2525945115.21381/1000</f>
        <v>2525945.11521381</v>
      </c>
      <c r="E1260" s="270">
        <f>1861330383.61144/1000</f>
        <v>1861330.38361144</v>
      </c>
      <c r="F1260" s="378">
        <f>1250951106.151/1000</f>
        <v>1250951.1061510001</v>
      </c>
      <c r="G1260" s="270">
        <f>1231802806.49321/1000</f>
        <v>1231802.8064932101</v>
      </c>
      <c r="H1260" s="321"/>
      <c r="I1260" s="209"/>
      <c r="L1260" s="209"/>
      <c r="M1260" s="209"/>
      <c r="N1260" s="209"/>
    </row>
    <row r="1261" spans="1:14">
      <c r="A1261" s="461" t="s">
        <v>488</v>
      </c>
      <c r="B1261" s="279"/>
      <c r="C1261" s="289"/>
      <c r="D1261" s="289"/>
      <c r="E1261" s="289"/>
      <c r="F1261" s="392"/>
      <c r="G1261" s="289"/>
      <c r="H1261" s="289"/>
      <c r="I1261" s="209"/>
      <c r="L1261" s="209"/>
      <c r="M1261" s="209"/>
      <c r="N1261" s="209"/>
    </row>
    <row r="1262" spans="1:14" ht="28">
      <c r="A1262" s="278"/>
      <c r="B1262" s="285" t="s">
        <v>247</v>
      </c>
      <c r="C1262" s="271">
        <f>38867716.0232365/1000</f>
        <v>38867.716023236499</v>
      </c>
      <c r="D1262" s="271">
        <f>46526987.3105884/1000</f>
        <v>46526.987310588396</v>
      </c>
      <c r="E1262" s="271">
        <f>26727955.7335675/1000</f>
        <v>26727.955733567498</v>
      </c>
      <c r="F1262" s="379">
        <f>22691137.3403221/1000</f>
        <v>22691.1373403221</v>
      </c>
      <c r="G1262" s="271">
        <f>23975165.4057205/1000</f>
        <v>23975.165405720498</v>
      </c>
      <c r="H1262" s="281"/>
      <c r="I1262" s="209"/>
      <c r="L1262" s="209"/>
      <c r="M1262" s="209"/>
      <c r="N1262" s="209"/>
    </row>
    <row r="1263" spans="1:14">
      <c r="A1263" s="278"/>
      <c r="B1263" s="283" t="s">
        <v>248</v>
      </c>
      <c r="C1263" s="271">
        <f>29653715.6113386/1000</f>
        <v>29653.715611338601</v>
      </c>
      <c r="D1263" s="271">
        <f>37723475.2485752/1000</f>
        <v>37723.475248575203</v>
      </c>
      <c r="E1263" s="271">
        <f>30617093.1809843/1000</f>
        <v>30617.093180984299</v>
      </c>
      <c r="F1263" s="379">
        <f>2845199.40534234/1000</f>
        <v>2845.19940534234</v>
      </c>
      <c r="G1263" s="271">
        <f>42798012.9644275/1000</f>
        <v>42798.0129644275</v>
      </c>
      <c r="H1263" s="281"/>
      <c r="I1263" s="209"/>
      <c r="L1263" s="209"/>
      <c r="M1263" s="209"/>
      <c r="N1263" s="209"/>
    </row>
    <row r="1264" spans="1:14">
      <c r="A1264" s="278"/>
      <c r="B1264" s="283" t="s">
        <v>249</v>
      </c>
      <c r="C1264" s="271">
        <f>1363985203.83203/1000</f>
        <v>1363985.2038320301</v>
      </c>
      <c r="D1264" s="271">
        <f>2344264707.58486/1000</f>
        <v>2344264.7075848598</v>
      </c>
      <c r="E1264" s="271">
        <f>1708140285.11685/1000</f>
        <v>1708140.2851168499</v>
      </c>
      <c r="F1264" s="379">
        <f>1137598373.659/1000</f>
        <v>1137598.373659</v>
      </c>
      <c r="G1264" s="271">
        <f>1105991549.03995/1000</f>
        <v>1105991.5490399499</v>
      </c>
      <c r="H1264" s="281"/>
      <c r="I1264" s="209"/>
      <c r="L1264" s="209"/>
      <c r="M1264" s="209"/>
      <c r="N1264" s="209"/>
    </row>
    <row r="1265" spans="1:14">
      <c r="A1265" s="278"/>
      <c r="B1265" s="282" t="s">
        <v>250</v>
      </c>
      <c r="C1265" s="296">
        <f>1393638919.44337/1000</f>
        <v>1393638.9194433701</v>
      </c>
      <c r="D1265" s="296">
        <f>2381988182.83344/1000</f>
        <v>2381988.1828334397</v>
      </c>
      <c r="E1265" s="296">
        <f>1738757378.29783/1000</f>
        <v>1738757.37829783</v>
      </c>
      <c r="F1265" s="399">
        <f>1140443573.06434/1000</f>
        <v>1140443.57306434</v>
      </c>
      <c r="G1265" s="296">
        <f>1148789562.00438/1000</f>
        <v>1148789.5620043799</v>
      </c>
      <c r="H1265" s="296"/>
      <c r="I1265" s="209"/>
      <c r="L1265" s="209"/>
      <c r="M1265" s="209"/>
      <c r="N1265" s="209"/>
    </row>
    <row r="1266" spans="1:14">
      <c r="A1266" s="278"/>
      <c r="B1266" s="284" t="s">
        <v>251</v>
      </c>
      <c r="C1266" s="271">
        <f>1011428.61664295/1000</f>
        <v>1011.42861664295</v>
      </c>
      <c r="D1266" s="271">
        <f>11779112.817347/1000</f>
        <v>11779.112817346999</v>
      </c>
      <c r="E1266" s="271">
        <f>3062460.11683345/1000</f>
        <v>3062.4601168334498</v>
      </c>
      <c r="F1266" s="379">
        <f>13337813.8668984/1000</f>
        <v>13337.813866898401</v>
      </c>
      <c r="G1266" s="271">
        <f>8826490.00835419/1000</f>
        <v>8826.4900083541906</v>
      </c>
      <c r="H1266" s="281"/>
      <c r="I1266" s="209"/>
      <c r="L1266" s="209"/>
      <c r="M1266" s="209"/>
      <c r="N1266" s="209"/>
    </row>
    <row r="1267" spans="1:14">
      <c r="A1267" s="278"/>
      <c r="B1267" s="283" t="s">
        <v>252</v>
      </c>
      <c r="C1267" s="290"/>
      <c r="D1267" s="290"/>
      <c r="E1267" s="290"/>
      <c r="F1267" s="393"/>
      <c r="G1267" s="290"/>
      <c r="H1267" s="326"/>
      <c r="I1267" s="209"/>
      <c r="L1267" s="209"/>
      <c r="M1267" s="209"/>
      <c r="N1267" s="209"/>
    </row>
    <row r="1268" spans="1:14">
      <c r="A1268" s="278"/>
      <c r="B1268" s="283" t="s">
        <v>253</v>
      </c>
      <c r="C1268" s="290"/>
      <c r="D1268" s="290"/>
      <c r="E1268" s="290"/>
      <c r="F1268" s="393"/>
      <c r="G1268" s="290"/>
      <c r="H1268" s="326"/>
      <c r="I1268" s="209"/>
      <c r="L1268" s="209"/>
      <c r="M1268" s="209"/>
      <c r="N1268" s="209"/>
    </row>
    <row r="1269" spans="1:14" ht="28">
      <c r="A1269" s="278"/>
      <c r="B1269" s="283" t="s">
        <v>254</v>
      </c>
      <c r="C1269" s="290"/>
      <c r="D1269" s="290"/>
      <c r="E1269" s="290"/>
      <c r="F1269" s="393"/>
      <c r="G1269" s="290"/>
      <c r="H1269" s="326"/>
      <c r="I1269" s="209"/>
      <c r="L1269" s="209"/>
      <c r="M1269" s="209"/>
      <c r="N1269" s="209"/>
    </row>
    <row r="1270" spans="1:14">
      <c r="A1270" s="278"/>
      <c r="B1270" s="281" t="s">
        <v>255</v>
      </c>
      <c r="C1270" s="271">
        <f>111258147.830769/1000</f>
        <v>111258.147830769</v>
      </c>
      <c r="D1270" s="271">
        <f>143957117.223263/1000</f>
        <v>143957.11722326299</v>
      </c>
      <c r="E1270" s="271">
        <f>122572845.569193/1000</f>
        <v>122572.845569193</v>
      </c>
      <c r="F1270" s="379">
        <f>110507385.37617/1000</f>
        <v>110507.38537617</v>
      </c>
      <c r="G1270" s="271">
        <f>83013410.0517482/1000</f>
        <v>83013.4100517482</v>
      </c>
      <c r="H1270" s="281"/>
      <c r="I1270" s="209"/>
      <c r="L1270" s="209"/>
      <c r="M1270" s="209"/>
      <c r="N1270" s="209"/>
    </row>
    <row r="1271" spans="1:14">
      <c r="A1271" s="278"/>
      <c r="I1271" s="209"/>
      <c r="L1271" s="209"/>
      <c r="M1271" s="209"/>
      <c r="N1271" s="209"/>
    </row>
    <row r="1272" spans="1:14">
      <c r="I1272" s="209"/>
      <c r="L1272" s="209"/>
      <c r="M1272" s="209"/>
      <c r="N1272" s="209"/>
    </row>
    <row r="1273" spans="1:14">
      <c r="B1273" s="278"/>
      <c r="C1273" s="278"/>
      <c r="D1273" s="278"/>
      <c r="E1273" s="278"/>
      <c r="F1273" s="394"/>
      <c r="G1273" s="278"/>
      <c r="H1273" s="278"/>
      <c r="I1273" s="209"/>
      <c r="L1273" s="209"/>
      <c r="M1273" s="209"/>
      <c r="N1273" s="209"/>
    </row>
    <row r="1274" spans="1:14">
      <c r="A1274" s="291" t="s">
        <v>320</v>
      </c>
      <c r="B1274" s="279"/>
      <c r="C1274" s="279">
        <v>2010</v>
      </c>
      <c r="D1274" s="286" t="s">
        <v>179</v>
      </c>
      <c r="E1274" s="286" t="s">
        <v>180</v>
      </c>
      <c r="F1274" s="390" t="s">
        <v>181</v>
      </c>
      <c r="G1274" s="286" t="s">
        <v>182</v>
      </c>
      <c r="H1274" s="286"/>
      <c r="I1274" s="209"/>
      <c r="L1274" s="209"/>
      <c r="M1274" s="209"/>
      <c r="N1274" s="209"/>
    </row>
    <row r="1275" spans="1:14">
      <c r="A1275" s="291" t="s">
        <v>321</v>
      </c>
      <c r="B1275" s="280" t="s">
        <v>246</v>
      </c>
      <c r="C1275" s="270">
        <f>211629359.419644/1000</f>
        <v>211629.359419644</v>
      </c>
      <c r="D1275" s="270">
        <f>226684946.070164/1000</f>
        <v>226684.94607016401</v>
      </c>
      <c r="E1275" s="270">
        <f>200072866.086811/1000</f>
        <v>200072.866086811</v>
      </c>
      <c r="F1275" s="378">
        <f>107651571.741998/1000</f>
        <v>107651.57174199801</v>
      </c>
      <c r="G1275" s="270">
        <f>77442653.0958116/1000</f>
        <v>77442.653095811605</v>
      </c>
      <c r="H1275" s="321"/>
      <c r="I1275" s="209"/>
      <c r="L1275" s="209"/>
      <c r="M1275" s="209"/>
      <c r="N1275" s="209"/>
    </row>
    <row r="1276" spans="1:14">
      <c r="A1276" s="461" t="s">
        <v>488</v>
      </c>
      <c r="B1276" s="279"/>
      <c r="C1276" s="289"/>
      <c r="D1276" s="289"/>
      <c r="E1276" s="289"/>
      <c r="F1276" s="392"/>
      <c r="G1276" s="289"/>
      <c r="H1276" s="289"/>
      <c r="I1276" s="209"/>
      <c r="L1276" s="209"/>
      <c r="M1276" s="209"/>
      <c r="N1276" s="209"/>
    </row>
    <row r="1277" spans="1:14" ht="28">
      <c r="A1277" s="278"/>
      <c r="B1277" s="285" t="s">
        <v>247</v>
      </c>
      <c r="C1277" s="271">
        <f>977815.736085176/1000</f>
        <v>977.81573608517601</v>
      </c>
      <c r="D1277" s="271">
        <f>1376470.57592869/1000</f>
        <v>1376.4705759286899</v>
      </c>
      <c r="E1277" s="271">
        <f>1727285.7915014/1000</f>
        <v>1727.2857915014001</v>
      </c>
      <c r="F1277" s="379">
        <f>849168.211579323/1000</f>
        <v>849.16821157932304</v>
      </c>
      <c r="G1277" s="271">
        <v>1</v>
      </c>
      <c r="H1277" s="281"/>
      <c r="I1277" s="209"/>
      <c r="L1277" s="209"/>
      <c r="M1277" s="209"/>
      <c r="N1277" s="209"/>
    </row>
    <row r="1278" spans="1:14">
      <c r="A1278" s="292" t="s">
        <v>322</v>
      </c>
      <c r="B1278" s="283" t="s">
        <v>248</v>
      </c>
      <c r="C1278" s="271">
        <f>32346246.93878/1000</f>
        <v>32346.246938779997</v>
      </c>
      <c r="D1278" s="271">
        <f>41187888.905108/1000</f>
        <v>41187.888905107997</v>
      </c>
      <c r="E1278" s="271">
        <f>40318430.3738028/1000</f>
        <v>40318.430373802803</v>
      </c>
      <c r="F1278" s="379">
        <f>2977449.18417931/1000</f>
        <v>2977.4491841793101</v>
      </c>
      <c r="G1278" s="271">
        <f>3264377.053231/1000</f>
        <v>3264.377053231</v>
      </c>
      <c r="H1278" s="281"/>
      <c r="I1278" s="209"/>
      <c r="L1278" s="209"/>
      <c r="M1278" s="209"/>
      <c r="N1278" s="209"/>
    </row>
    <row r="1279" spans="1:14">
      <c r="A1279" s="278"/>
      <c r="B1279" s="283" t="s">
        <v>249</v>
      </c>
      <c r="C1279" s="271">
        <f>1341467.62676537/1000</f>
        <v>1341.4676267653699</v>
      </c>
      <c r="D1279" s="271">
        <f>4955017.25673676/1000</f>
        <v>4955.0172567367599</v>
      </c>
      <c r="E1279" s="271">
        <f>15042857.8153253/1000</f>
        <v>15042.8578153253</v>
      </c>
      <c r="F1279" s="379">
        <f>1948428.84594202/1000</f>
        <v>1948.42884594202</v>
      </c>
      <c r="G1279" s="271">
        <f>445207.675427198/1000</f>
        <v>445.20767542719801</v>
      </c>
      <c r="H1279" s="281"/>
      <c r="I1279" s="209"/>
      <c r="L1279" s="209"/>
      <c r="M1279" s="209"/>
      <c r="N1279" s="209"/>
    </row>
    <row r="1280" spans="1:14">
      <c r="A1280" s="278"/>
      <c r="B1280" s="282" t="s">
        <v>250</v>
      </c>
      <c r="C1280" s="296">
        <f>33687714.5655454/1000</f>
        <v>33687.714565545401</v>
      </c>
      <c r="D1280" s="296">
        <f>46142906.1618448/1000</f>
        <v>46142.906161844796</v>
      </c>
      <c r="E1280" s="296">
        <f>55361288.1891281/1000</f>
        <v>55361.288189128099</v>
      </c>
      <c r="F1280" s="399">
        <f>4925878.03012133/1000</f>
        <v>4925.8780301213301</v>
      </c>
      <c r="G1280" s="296">
        <f>3709584.7286582/1000</f>
        <v>3709.5847286581998</v>
      </c>
      <c r="H1280" s="296"/>
      <c r="I1280" s="209"/>
      <c r="L1280" s="209"/>
      <c r="M1280" s="209"/>
      <c r="N1280" s="209"/>
    </row>
    <row r="1281" spans="1:14">
      <c r="A1281" s="278"/>
      <c r="B1281" s="284" t="s">
        <v>251</v>
      </c>
      <c r="C1281" s="271">
        <f>-97781.5736085176/1000</f>
        <v>-97.781573608517604</v>
      </c>
      <c r="D1281" s="271">
        <f>5336851.1633575/1000</f>
        <v>5336.8511633574999</v>
      </c>
      <c r="E1281" s="271">
        <f>-4025285.89423001/1000</f>
        <v>-4025.2858942300099</v>
      </c>
      <c r="F1281" s="379">
        <f>1734935.31429768/1000</f>
        <v>1734.93531429768</v>
      </c>
      <c r="G1281" s="271">
        <f>504632.596582174/1000</f>
        <v>504.63259658217402</v>
      </c>
      <c r="H1281" s="281"/>
      <c r="I1281" s="209"/>
      <c r="L1281" s="209"/>
      <c r="M1281" s="209"/>
      <c r="N1281" s="209"/>
    </row>
    <row r="1282" spans="1:14">
      <c r="A1282" s="278"/>
      <c r="B1282" s="283" t="s">
        <v>252</v>
      </c>
      <c r="C1282" s="290"/>
      <c r="D1282" s="290"/>
      <c r="E1282" s="290"/>
      <c r="F1282" s="393"/>
      <c r="G1282" s="290"/>
      <c r="H1282" s="326"/>
      <c r="I1282" s="209"/>
      <c r="L1282" s="209"/>
      <c r="M1282" s="209"/>
      <c r="N1282" s="209"/>
    </row>
    <row r="1283" spans="1:14">
      <c r="A1283" s="278"/>
      <c r="B1283" s="283" t="s">
        <v>253</v>
      </c>
      <c r="C1283" s="290"/>
      <c r="D1283" s="290"/>
      <c r="E1283" s="290"/>
      <c r="F1283" s="393"/>
      <c r="G1283" s="290"/>
      <c r="H1283" s="326"/>
      <c r="I1283" s="209"/>
      <c r="L1283" s="209"/>
      <c r="M1283" s="209"/>
      <c r="N1283" s="209"/>
    </row>
    <row r="1284" spans="1:14" ht="28">
      <c r="A1284" s="278"/>
      <c r="B1284" s="283" t="s">
        <v>254</v>
      </c>
      <c r="C1284" s="290"/>
      <c r="D1284" s="290"/>
      <c r="E1284" s="290"/>
      <c r="F1284" s="393"/>
      <c r="G1284" s="290"/>
      <c r="H1284" s="326"/>
      <c r="I1284" s="209"/>
      <c r="L1284" s="209"/>
      <c r="M1284" s="209"/>
      <c r="N1284" s="209"/>
    </row>
    <row r="1285" spans="1:14">
      <c r="A1285" s="278"/>
      <c r="B1285" s="281" t="s">
        <v>255</v>
      </c>
      <c r="C1285" s="271">
        <f>177941644.854099/1000</f>
        <v>177941.64485409899</v>
      </c>
      <c r="D1285" s="271">
        <f>180542039.90832/1000</f>
        <v>180542.03990832</v>
      </c>
      <c r="E1285" s="271">
        <f>144711435.040534/1000</f>
        <v>144711.43504053398</v>
      </c>
      <c r="F1285" s="379">
        <f>102725878.554761/1000</f>
        <v>102725.878554761</v>
      </c>
      <c r="G1285" s="271">
        <f>73733068.3671534/1000</f>
        <v>73733.068367153406</v>
      </c>
      <c r="H1285" s="281"/>
      <c r="I1285" s="209"/>
      <c r="L1285" s="209"/>
      <c r="M1285" s="209"/>
      <c r="N1285" s="209"/>
    </row>
    <row r="1286" spans="1:14">
      <c r="A1286" s="278"/>
      <c r="I1286" s="209"/>
      <c r="L1286" s="209"/>
      <c r="M1286" s="209"/>
      <c r="N1286" s="209"/>
    </row>
    <row r="1287" spans="1:14">
      <c r="I1287" s="209"/>
      <c r="L1287" s="209"/>
      <c r="M1287" s="209"/>
      <c r="N1287" s="209"/>
    </row>
    <row r="1288" spans="1:14">
      <c r="B1288" s="278"/>
      <c r="C1288" s="278"/>
      <c r="D1288" s="278"/>
      <c r="E1288" s="278"/>
      <c r="F1288" s="394"/>
      <c r="G1288" s="278"/>
      <c r="H1288" s="278"/>
      <c r="I1288" s="209"/>
      <c r="L1288" s="209"/>
      <c r="M1288" s="209"/>
      <c r="N1288" s="209"/>
    </row>
    <row r="1289" spans="1:14">
      <c r="A1289" s="291" t="s">
        <v>323</v>
      </c>
      <c r="B1289" s="279"/>
      <c r="C1289" s="279">
        <v>2010</v>
      </c>
      <c r="D1289" s="286" t="s">
        <v>179</v>
      </c>
      <c r="E1289" s="286" t="s">
        <v>180</v>
      </c>
      <c r="F1289" s="390" t="s">
        <v>181</v>
      </c>
      <c r="G1289" s="286" t="s">
        <v>182</v>
      </c>
      <c r="H1289" s="286"/>
      <c r="I1289" s="209"/>
      <c r="L1289" s="209"/>
      <c r="M1289" s="209"/>
      <c r="N1289" s="209"/>
    </row>
    <row r="1290" spans="1:14">
      <c r="A1290" s="291" t="s">
        <v>324</v>
      </c>
      <c r="B1290" s="280" t="s">
        <v>246</v>
      </c>
      <c r="C1290" s="270">
        <f>22702048.6272871/1000</f>
        <v>22702.048627287102</v>
      </c>
      <c r="D1290" s="270">
        <f>50906400.9289443/1000</f>
        <v>50906.400928944298</v>
      </c>
      <c r="E1290" s="270">
        <f>39464573.1927752/1000</f>
        <v>39464.573192775199</v>
      </c>
      <c r="F1290" s="378">
        <f>48270795.083344/1000</f>
        <v>48270.795083343997</v>
      </c>
      <c r="G1290" s="270">
        <f>31920288.0916893/1000</f>
        <v>31920.288091689301</v>
      </c>
      <c r="H1290" s="321"/>
      <c r="I1290" s="209"/>
      <c r="L1290" s="209"/>
      <c r="M1290" s="209"/>
      <c r="N1290" s="209"/>
    </row>
    <row r="1291" spans="1:14">
      <c r="A1291" s="461" t="s">
        <v>488</v>
      </c>
      <c r="B1291" s="279"/>
      <c r="C1291" s="289"/>
      <c r="D1291" s="289"/>
      <c r="E1291" s="289"/>
      <c r="F1291" s="392"/>
      <c r="G1291" s="289"/>
      <c r="H1291" s="289"/>
      <c r="I1291" s="209"/>
      <c r="L1291" s="209"/>
      <c r="M1291" s="209"/>
      <c r="N1291" s="209"/>
    </row>
    <row r="1292" spans="1:14" ht="28">
      <c r="A1292" s="278"/>
      <c r="B1292" s="285" t="s">
        <v>247</v>
      </c>
      <c r="C1292" s="271">
        <f>340102.4017483/1000</f>
        <v>340.1024017483</v>
      </c>
      <c r="D1292" s="271">
        <f>431833.906173706/1000</f>
        <v>431.833906173706</v>
      </c>
      <c r="E1292" s="271">
        <f>318857.157111168/1000</f>
        <v>318.85715711116802</v>
      </c>
      <c r="F1292" s="379">
        <f>720517.563939095/1000</f>
        <v>720.517563939095</v>
      </c>
      <c r="G1292" s="271">
        <f>621405.761539936/1000</f>
        <v>621.40576153993595</v>
      </c>
      <c r="H1292" s="281"/>
      <c r="I1292" s="209"/>
      <c r="L1292" s="209"/>
      <c r="M1292" s="209"/>
      <c r="N1292" s="209"/>
    </row>
    <row r="1293" spans="1:14">
      <c r="A1293" s="278"/>
      <c r="B1293" s="283" t="s">
        <v>248</v>
      </c>
      <c r="C1293" s="271">
        <f>77645.0540870428/1000</f>
        <v>77.645054087042794</v>
      </c>
      <c r="D1293" s="271">
        <f>180968.8565135/1000</f>
        <v>180.96885651350001</v>
      </c>
      <c r="E1293" s="271">
        <f>240000.010728836/1000</f>
        <v>240.000010728836</v>
      </c>
      <c r="F1293" s="379">
        <f>177264.326274395/1000</f>
        <v>177.26432627439499</v>
      </c>
      <c r="G1293" s="271">
        <f>327316.299587488/1000</f>
        <v>327.316299587488</v>
      </c>
      <c r="H1293" s="281"/>
      <c r="I1293" s="209"/>
      <c r="L1293" s="209"/>
      <c r="M1293" s="209"/>
      <c r="N1293" s="209"/>
    </row>
    <row r="1294" spans="1:14">
      <c r="A1294" s="278"/>
      <c r="B1294" s="283" t="s">
        <v>249</v>
      </c>
      <c r="C1294" s="271">
        <f>10303754.6500564/1000</f>
        <v>10303.754650056399</v>
      </c>
      <c r="D1294" s="271">
        <f>15803114.0455604/1000</f>
        <v>15803.1140455604</v>
      </c>
      <c r="E1294" s="271">
        <f>8073714.64663744/1000</f>
        <v>8073.7146466374397</v>
      </c>
      <c r="F1294" s="379">
        <f>8959519.45656538/1000</f>
        <v>8959.5194565653801</v>
      </c>
      <c r="G1294" s="271">
        <f>1388178.93773317/1000</f>
        <v>1388.1789377331702</v>
      </c>
      <c r="H1294" s="281"/>
      <c r="I1294" s="209"/>
      <c r="L1294" s="209"/>
      <c r="M1294" s="209"/>
      <c r="N1294" s="209"/>
    </row>
    <row r="1295" spans="1:14">
      <c r="A1295" s="278"/>
      <c r="B1295" s="282" t="s">
        <v>250</v>
      </c>
      <c r="C1295" s="296">
        <f>10381399.7041434/1000</f>
        <v>10381.3997041434</v>
      </c>
      <c r="D1295" s="296">
        <f>15984082.9020739/1000</f>
        <v>15984.0829020739</v>
      </c>
      <c r="E1295" s="296">
        <f>8313714.65736628/1000</f>
        <v>8313.7146573662812</v>
      </c>
      <c r="F1295" s="399">
        <f>9136783.78283978/1000</f>
        <v>9136.7837828397805</v>
      </c>
      <c r="G1295" s="296">
        <f>1715495.23732066/1000</f>
        <v>1715.49523732066</v>
      </c>
      <c r="H1295" s="296"/>
      <c r="I1295" s="209"/>
      <c r="L1295" s="209"/>
      <c r="M1295" s="209"/>
      <c r="N1295" s="209"/>
    </row>
    <row r="1296" spans="1:14">
      <c r="A1296" s="278"/>
      <c r="B1296" s="284" t="s">
        <v>251</v>
      </c>
      <c r="C1296" s="271">
        <f>-22215871.1347729/1000</f>
        <v>-22215.8711347729</v>
      </c>
      <c r="D1296" s="271">
        <f>-2803460.18254757/1000</f>
        <v>-2803.4601825475702</v>
      </c>
      <c r="E1296" s="271">
        <f>905714.326202869/1000</f>
        <v>905.71432620286896</v>
      </c>
      <c r="F1296" s="379">
        <f>-6473937.1881485/1000</f>
        <v>-6473.9371881485004</v>
      </c>
      <c r="G1296" s="271">
        <f>-238817.895501852/1000</f>
        <v>-238.81789550185201</v>
      </c>
      <c r="H1296" s="281"/>
      <c r="I1296" s="209"/>
      <c r="L1296" s="209"/>
      <c r="M1296" s="209"/>
      <c r="N1296" s="209"/>
    </row>
    <row r="1297" spans="1:14">
      <c r="A1297" s="278"/>
      <c r="B1297" s="283" t="s">
        <v>252</v>
      </c>
      <c r="C1297" s="290"/>
      <c r="D1297" s="290"/>
      <c r="E1297" s="290"/>
      <c r="F1297" s="393"/>
      <c r="G1297" s="290"/>
      <c r="H1297" s="326"/>
      <c r="I1297" s="209"/>
      <c r="L1297" s="209"/>
      <c r="M1297" s="209"/>
      <c r="N1297" s="209"/>
    </row>
    <row r="1298" spans="1:14">
      <c r="A1298" s="278"/>
      <c r="B1298" s="283" t="s">
        <v>253</v>
      </c>
      <c r="C1298" s="290"/>
      <c r="D1298" s="290"/>
      <c r="E1298" s="290"/>
      <c r="F1298" s="393"/>
      <c r="G1298" s="290"/>
      <c r="H1298" s="326"/>
      <c r="I1298" s="209"/>
      <c r="L1298" s="209"/>
      <c r="M1298" s="209"/>
      <c r="N1298" s="209"/>
    </row>
    <row r="1299" spans="1:14" ht="28">
      <c r="A1299" s="278"/>
      <c r="B1299" s="283" t="s">
        <v>254</v>
      </c>
      <c r="C1299" s="290"/>
      <c r="D1299" s="290"/>
      <c r="E1299" s="290"/>
      <c r="F1299" s="393"/>
      <c r="G1299" s="290"/>
      <c r="H1299" s="326"/>
      <c r="I1299" s="209"/>
      <c r="L1299" s="209"/>
      <c r="M1299" s="209"/>
      <c r="N1299" s="209"/>
    </row>
    <row r="1300" spans="1:14">
      <c r="A1300" s="278"/>
      <c r="B1300" s="281" t="s">
        <v>255</v>
      </c>
      <c r="C1300" s="271">
        <f>12320478.2746732/1000</f>
        <v>12320.4782746732</v>
      </c>
      <c r="D1300" s="271">
        <f>34922318.0268705/1000</f>
        <v>34922.318026870496</v>
      </c>
      <c r="E1300" s="271">
        <f>31150715.6782597/1000</f>
        <v>31150.715678259701</v>
      </c>
      <c r="F1300" s="379">
        <f>39134011.3005042/1000</f>
        <v>39134.0113005042</v>
      </c>
      <c r="G1300" s="271">
        <f>30204792.8543687/1000</f>
        <v>30204.792854368701</v>
      </c>
      <c r="H1300" s="281"/>
      <c r="I1300" s="209"/>
      <c r="L1300" s="209"/>
      <c r="M1300" s="209"/>
      <c r="N1300" s="209"/>
    </row>
    <row r="1301" spans="1:14">
      <c r="A1301" s="278"/>
      <c r="I1301" s="209"/>
      <c r="L1301" s="209"/>
      <c r="M1301" s="209"/>
      <c r="N1301" s="209"/>
    </row>
    <row r="1302" spans="1:14">
      <c r="A1302" s="196"/>
      <c r="B1302" s="196"/>
      <c r="C1302" s="196"/>
      <c r="D1302" s="196"/>
      <c r="E1302" s="196"/>
      <c r="F1302" s="86"/>
      <c r="G1302" s="196"/>
      <c r="H1302" s="196"/>
      <c r="I1302" s="196"/>
      <c r="J1302" s="196"/>
      <c r="K1302" s="196"/>
      <c r="L1302" s="196"/>
      <c r="M1302" s="196"/>
      <c r="N1302" s="196"/>
    </row>
    <row r="1303" spans="1:14">
      <c r="I1303" s="209"/>
      <c r="L1303" s="209"/>
      <c r="M1303" s="209"/>
      <c r="N1303" s="209"/>
    </row>
    <row r="1304" spans="1:14">
      <c r="A1304" s="240" t="s">
        <v>333</v>
      </c>
      <c r="I1304" s="209"/>
      <c r="L1304" s="209"/>
      <c r="M1304" s="209"/>
      <c r="N1304" s="209"/>
    </row>
    <row r="1305" spans="1:14">
      <c r="A1305" s="204" t="s">
        <v>334</v>
      </c>
      <c r="B1305" s="201"/>
      <c r="C1305" s="201">
        <v>2008</v>
      </c>
      <c r="D1305" s="219" t="s">
        <v>224</v>
      </c>
      <c r="E1305" s="219" t="s">
        <v>225</v>
      </c>
      <c r="F1305" s="362" t="s">
        <v>226</v>
      </c>
      <c r="G1305" s="219" t="s">
        <v>227</v>
      </c>
      <c r="H1305" s="219"/>
      <c r="I1305" s="209"/>
      <c r="L1305" s="209"/>
      <c r="M1305" s="209"/>
      <c r="N1305" s="209"/>
    </row>
    <row r="1306" spans="1:14" ht="18">
      <c r="A1306" s="204"/>
      <c r="B1306" s="202" t="s">
        <v>246</v>
      </c>
      <c r="C1306" s="228">
        <v>22736000</v>
      </c>
      <c r="D1306" s="228">
        <v>23183000</v>
      </c>
      <c r="E1306" s="228">
        <v>27353800</v>
      </c>
      <c r="F1306" s="384">
        <v>4022819</v>
      </c>
      <c r="G1306" s="230">
        <v>3007883</v>
      </c>
      <c r="H1306" s="230"/>
      <c r="I1306" s="209"/>
      <c r="L1306" s="209"/>
      <c r="M1306" s="209"/>
      <c r="N1306" s="209"/>
    </row>
    <row r="1307" spans="1:14">
      <c r="A1307" s="200"/>
      <c r="B1307" s="201"/>
      <c r="C1307" s="234"/>
      <c r="D1307" s="234"/>
      <c r="E1307" s="234"/>
      <c r="F1307" s="387"/>
      <c r="G1307" s="234"/>
      <c r="H1307" s="234"/>
      <c r="I1307" s="209"/>
      <c r="L1307" s="209"/>
      <c r="M1307" s="209"/>
      <c r="N1307" s="209"/>
    </row>
    <row r="1308" spans="1:14" ht="28">
      <c r="A1308" s="200"/>
      <c r="B1308" s="211" t="s">
        <v>247</v>
      </c>
      <c r="C1308" s="228">
        <v>13487000</v>
      </c>
      <c r="D1308" s="228">
        <v>14029000</v>
      </c>
      <c r="E1308" s="228">
        <v>5655400</v>
      </c>
      <c r="F1308" s="384">
        <v>1858455</v>
      </c>
      <c r="G1308" s="230">
        <v>2336356</v>
      </c>
      <c r="H1308" s="230"/>
      <c r="I1308" s="209"/>
      <c r="L1308" s="209"/>
      <c r="M1308" s="209"/>
      <c r="N1308" s="209"/>
    </row>
    <row r="1309" spans="1:14">
      <c r="A1309" s="200"/>
      <c r="B1309" s="208" t="s">
        <v>248</v>
      </c>
      <c r="C1309" s="212"/>
      <c r="D1309" s="212"/>
      <c r="E1309" s="212"/>
      <c r="F1309" s="364"/>
      <c r="G1309" s="212"/>
      <c r="H1309" s="203"/>
      <c r="I1309" s="209"/>
      <c r="L1309" s="209"/>
      <c r="M1309" s="209"/>
      <c r="N1309" s="209"/>
    </row>
    <row r="1310" spans="1:14">
      <c r="A1310" s="200"/>
      <c r="B1310" s="208" t="s">
        <v>249</v>
      </c>
      <c r="C1310" s="212"/>
      <c r="D1310" s="212"/>
      <c r="E1310" s="212"/>
      <c r="F1310" s="364"/>
      <c r="G1310" s="212"/>
      <c r="H1310" s="203"/>
      <c r="I1310" s="209"/>
      <c r="L1310" s="209"/>
      <c r="M1310" s="209"/>
      <c r="N1310" s="209"/>
    </row>
    <row r="1311" spans="1:14" ht="18">
      <c r="A1311" s="200"/>
      <c r="B1311" s="206" t="s">
        <v>250</v>
      </c>
      <c r="C1311" s="228">
        <v>13112000</v>
      </c>
      <c r="D1311" s="228">
        <v>10699000</v>
      </c>
      <c r="E1311" s="228">
        <v>13764700</v>
      </c>
      <c r="F1311" s="384">
        <v>2304493</v>
      </c>
      <c r="G1311" s="228">
        <v>2668498</v>
      </c>
      <c r="H1311" s="228"/>
      <c r="I1311" s="209"/>
      <c r="L1311" s="209"/>
      <c r="M1311" s="209"/>
      <c r="N1311" s="209"/>
    </row>
    <row r="1312" spans="1:14" ht="18">
      <c r="A1312" s="200"/>
      <c r="B1312" s="210" t="s">
        <v>251</v>
      </c>
      <c r="C1312" s="228">
        <v>-2851000</v>
      </c>
      <c r="D1312" s="228">
        <v>5000</v>
      </c>
      <c r="E1312" s="228">
        <v>1850500</v>
      </c>
      <c r="F1312" s="384">
        <v>374957</v>
      </c>
      <c r="G1312" s="228">
        <v>-219234</v>
      </c>
      <c r="H1312" s="228"/>
      <c r="I1312" s="209"/>
      <c r="L1312" s="209"/>
      <c r="M1312" s="209"/>
      <c r="N1312" s="209"/>
    </row>
    <row r="1313" spans="1:14">
      <c r="A1313" s="200"/>
      <c r="B1313" s="208" t="s">
        <v>252</v>
      </c>
      <c r="C1313" s="235"/>
      <c r="D1313" s="235"/>
      <c r="E1313" s="235"/>
      <c r="F1313" s="389"/>
      <c r="G1313" s="235"/>
      <c r="H1313" s="325"/>
      <c r="I1313" s="209"/>
      <c r="L1313" s="209"/>
      <c r="M1313" s="209"/>
      <c r="N1313" s="209"/>
    </row>
    <row r="1314" spans="1:14">
      <c r="A1314" s="200"/>
      <c r="B1314" s="208" t="s">
        <v>253</v>
      </c>
      <c r="C1314" s="235"/>
      <c r="D1314" s="235"/>
      <c r="E1314" s="235"/>
      <c r="F1314" s="389"/>
      <c r="G1314" s="235"/>
      <c r="H1314" s="325"/>
      <c r="I1314" s="209"/>
      <c r="L1314" s="209"/>
      <c r="M1314" s="209"/>
      <c r="N1314" s="209"/>
    </row>
    <row r="1315" spans="1:14" ht="28">
      <c r="A1315" s="200"/>
      <c r="B1315" s="208" t="s">
        <v>254</v>
      </c>
      <c r="C1315" s="235"/>
      <c r="D1315" s="235"/>
      <c r="E1315" s="235"/>
      <c r="F1315" s="389"/>
      <c r="G1315" s="235"/>
      <c r="H1315" s="325"/>
      <c r="I1315" s="209"/>
      <c r="L1315" s="209"/>
      <c r="M1315" s="209"/>
      <c r="N1315" s="209"/>
    </row>
    <row r="1316" spans="1:14" ht="18">
      <c r="A1316" s="200"/>
      <c r="B1316" s="203" t="s">
        <v>255</v>
      </c>
      <c r="C1316" s="228">
        <v>9625000</v>
      </c>
      <c r="D1316" s="228">
        <v>12484000</v>
      </c>
      <c r="E1316" s="228">
        <v>13589100</v>
      </c>
      <c r="F1316" s="384">
        <v>1718326</v>
      </c>
      <c r="G1316" s="228">
        <v>339380</v>
      </c>
      <c r="H1316" s="228"/>
      <c r="I1316" s="209"/>
      <c r="L1316" s="209"/>
      <c r="M1316" s="209"/>
      <c r="N1316" s="209"/>
    </row>
    <row r="1317" spans="1:14">
      <c r="I1317" s="209"/>
      <c r="L1317" s="209"/>
      <c r="M1317" s="209"/>
      <c r="N1317" s="209"/>
    </row>
    <row r="1318" spans="1:14">
      <c r="I1318" s="209"/>
      <c r="L1318" s="209"/>
      <c r="M1318" s="209"/>
      <c r="N1318" s="209"/>
    </row>
    <row r="1319" spans="1:14">
      <c r="I1319" s="209"/>
      <c r="L1319" s="209"/>
      <c r="M1319" s="209"/>
      <c r="N1319" s="209"/>
    </row>
    <row r="1320" spans="1:14">
      <c r="I1320" s="209"/>
      <c r="L1320" s="209"/>
      <c r="M1320" s="209"/>
      <c r="N1320" s="209"/>
    </row>
    <row r="1321" spans="1:14">
      <c r="A1321" s="200" t="s">
        <v>335</v>
      </c>
      <c r="B1321" s="200"/>
      <c r="C1321" s="200"/>
      <c r="D1321" s="200"/>
      <c r="E1321" s="200"/>
      <c r="F1321" s="87"/>
      <c r="G1321" s="200"/>
      <c r="H1321" s="200"/>
      <c r="I1321" s="209"/>
      <c r="L1321" s="209"/>
      <c r="M1321" s="209"/>
      <c r="N1321" s="209"/>
    </row>
    <row r="1322" spans="1:14">
      <c r="A1322" s="204" t="s">
        <v>336</v>
      </c>
      <c r="B1322" s="201"/>
      <c r="C1322" s="201">
        <v>2010</v>
      </c>
      <c r="D1322" s="219" t="s">
        <v>179</v>
      </c>
      <c r="E1322" s="219" t="s">
        <v>180</v>
      </c>
      <c r="F1322" s="362" t="s">
        <v>181</v>
      </c>
      <c r="G1322" s="219" t="s">
        <v>182</v>
      </c>
      <c r="H1322" s="219"/>
      <c r="I1322" s="209"/>
      <c r="L1322" s="209"/>
      <c r="M1322" s="209"/>
      <c r="N1322" s="209"/>
    </row>
    <row r="1323" spans="1:14" ht="18">
      <c r="A1323" s="200"/>
      <c r="B1323" s="565" t="s">
        <v>246</v>
      </c>
      <c r="C1323" s="587">
        <v>8509900</v>
      </c>
      <c r="D1323" s="587">
        <v>9571300</v>
      </c>
      <c r="E1323" s="587">
        <v>11423800</v>
      </c>
      <c r="F1323" s="587">
        <v>10889800</v>
      </c>
      <c r="G1323" s="587">
        <v>10494500</v>
      </c>
      <c r="H1323" s="228"/>
      <c r="I1323" s="209"/>
      <c r="L1323" s="209"/>
      <c r="M1323" s="209"/>
      <c r="N1323" s="209"/>
    </row>
    <row r="1324" spans="1:14">
      <c r="A1324" s="200"/>
      <c r="B1324" s="622"/>
      <c r="C1324" s="576"/>
      <c r="D1324" s="576"/>
      <c r="E1324" s="576"/>
      <c r="F1324" s="576"/>
      <c r="G1324" s="576"/>
      <c r="H1324" s="234"/>
      <c r="I1324" s="209"/>
      <c r="L1324" s="209"/>
      <c r="M1324" s="209"/>
      <c r="N1324" s="209"/>
    </row>
    <row r="1325" spans="1:14" ht="28">
      <c r="A1325" s="200"/>
      <c r="B1325" s="569" t="s">
        <v>247</v>
      </c>
      <c r="C1325" s="587">
        <v>725600</v>
      </c>
      <c r="D1325" s="587">
        <v>723800</v>
      </c>
      <c r="E1325" s="587">
        <v>811700</v>
      </c>
      <c r="F1325" s="587">
        <v>633800</v>
      </c>
      <c r="G1325" s="587">
        <v>640100</v>
      </c>
      <c r="H1325" s="228"/>
      <c r="I1325" s="209"/>
      <c r="L1325" s="209"/>
      <c r="M1325" s="209"/>
      <c r="N1325" s="209"/>
    </row>
    <row r="1326" spans="1:14">
      <c r="A1326" s="200"/>
      <c r="B1326" s="567" t="s">
        <v>248</v>
      </c>
      <c r="C1326" s="570"/>
      <c r="D1326" s="570"/>
      <c r="E1326" s="570"/>
      <c r="F1326" s="570"/>
      <c r="G1326" s="570"/>
      <c r="H1326" s="203"/>
      <c r="I1326" s="209"/>
      <c r="L1326" s="209"/>
      <c r="M1326" s="209"/>
      <c r="N1326" s="209"/>
    </row>
    <row r="1327" spans="1:14">
      <c r="A1327" s="200"/>
      <c r="B1327" s="567" t="s">
        <v>249</v>
      </c>
      <c r="C1327" s="570"/>
      <c r="D1327" s="570"/>
      <c r="E1327" s="570"/>
      <c r="F1327" s="570"/>
      <c r="G1327" s="570"/>
      <c r="H1327" s="203"/>
      <c r="I1327" s="209"/>
      <c r="L1327" s="209"/>
      <c r="M1327" s="209"/>
      <c r="N1327" s="209"/>
    </row>
    <row r="1328" spans="1:14" ht="18">
      <c r="A1328" s="200"/>
      <c r="B1328" s="584" t="s">
        <v>250</v>
      </c>
      <c r="C1328" s="587">
        <v>6600000</v>
      </c>
      <c r="D1328" s="587">
        <v>7337800</v>
      </c>
      <c r="E1328" s="587">
        <v>8269300</v>
      </c>
      <c r="F1328" s="587">
        <v>7078900</v>
      </c>
      <c r="G1328" s="587">
        <v>7478100</v>
      </c>
      <c r="H1328" s="228"/>
      <c r="I1328" s="209"/>
      <c r="L1328" s="209"/>
      <c r="M1328" s="209"/>
      <c r="N1328" s="209"/>
    </row>
    <row r="1329" spans="1:14" ht="18">
      <c r="A1329" s="200"/>
      <c r="B1329" s="568" t="s">
        <v>251</v>
      </c>
      <c r="C1329" s="587">
        <v>91300</v>
      </c>
      <c r="D1329" s="587">
        <v>-571700</v>
      </c>
      <c r="E1329" s="587">
        <v>-1020223</v>
      </c>
      <c r="F1329" s="587">
        <v>1105608</v>
      </c>
      <c r="G1329" s="587">
        <v>709900</v>
      </c>
      <c r="H1329" s="228"/>
      <c r="I1329" s="209"/>
      <c r="L1329" s="209"/>
      <c r="M1329" s="209"/>
      <c r="N1329" s="209"/>
    </row>
    <row r="1330" spans="1:14">
      <c r="A1330" s="200"/>
      <c r="B1330" s="567" t="s">
        <v>252</v>
      </c>
      <c r="C1330" s="577"/>
      <c r="D1330" s="577"/>
      <c r="E1330" s="577"/>
      <c r="F1330" s="577"/>
      <c r="G1330" s="577"/>
      <c r="H1330" s="325"/>
      <c r="I1330" s="209"/>
      <c r="L1330" s="209"/>
      <c r="M1330" s="209"/>
      <c r="N1330" s="209"/>
    </row>
    <row r="1331" spans="1:14">
      <c r="A1331" s="200"/>
      <c r="B1331" s="567" t="s">
        <v>253</v>
      </c>
      <c r="C1331" s="577"/>
      <c r="D1331" s="577"/>
      <c r="E1331" s="577"/>
      <c r="F1331" s="577"/>
      <c r="G1331" s="577"/>
      <c r="H1331" s="325"/>
      <c r="I1331" s="209"/>
      <c r="L1331" s="209"/>
      <c r="M1331" s="209"/>
      <c r="N1331" s="209"/>
    </row>
    <row r="1332" spans="1:14" ht="28">
      <c r="A1332" s="200"/>
      <c r="B1332" s="567" t="s">
        <v>254</v>
      </c>
      <c r="C1332" s="577"/>
      <c r="D1332" s="577"/>
      <c r="E1332" s="577"/>
      <c r="F1332" s="577"/>
      <c r="G1332" s="577"/>
      <c r="H1332" s="325"/>
      <c r="I1332" s="209"/>
      <c r="L1332" s="209"/>
      <c r="M1332" s="209"/>
      <c r="N1332" s="209"/>
    </row>
    <row r="1333" spans="1:14" ht="18">
      <c r="A1333" s="200"/>
      <c r="B1333" s="585" t="s">
        <v>255</v>
      </c>
      <c r="C1333" s="587">
        <v>1909900</v>
      </c>
      <c r="D1333" s="587">
        <v>2233500</v>
      </c>
      <c r="E1333" s="587">
        <v>3154600</v>
      </c>
      <c r="F1333" s="587">
        <v>3810900</v>
      </c>
      <c r="G1333" s="587">
        <v>3016500</v>
      </c>
      <c r="H1333" s="228"/>
      <c r="I1333" s="209"/>
      <c r="L1333" s="209"/>
      <c r="M1333" s="209"/>
      <c r="N1333" s="209"/>
    </row>
    <row r="1334" spans="1:14">
      <c r="I1334" s="209"/>
      <c r="L1334" s="209"/>
      <c r="M1334" s="209"/>
      <c r="N1334" s="209"/>
    </row>
    <row r="1335" spans="1:14">
      <c r="I1335" s="209"/>
      <c r="L1335" s="209"/>
      <c r="M1335" s="209"/>
      <c r="N1335" s="209"/>
    </row>
    <row r="1336" spans="1:14">
      <c r="A1336" s="204" t="s">
        <v>337</v>
      </c>
      <c r="B1336" s="200"/>
      <c r="C1336" s="200"/>
      <c r="D1336" s="200"/>
      <c r="E1336" s="200"/>
      <c r="F1336" s="87"/>
      <c r="G1336" s="200"/>
      <c r="H1336" s="200"/>
      <c r="I1336" s="209"/>
      <c r="L1336" s="209"/>
      <c r="M1336" s="209"/>
      <c r="N1336" s="209"/>
    </row>
    <row r="1337" spans="1:14">
      <c r="A1337" s="204" t="s">
        <v>338</v>
      </c>
      <c r="B1337" s="201"/>
      <c r="C1337" s="201">
        <v>2006</v>
      </c>
      <c r="D1337" s="219" t="s">
        <v>329</v>
      </c>
      <c r="E1337" s="219" t="s">
        <v>330</v>
      </c>
      <c r="F1337" s="362" t="s">
        <v>331</v>
      </c>
      <c r="G1337" s="219" t="s">
        <v>332</v>
      </c>
      <c r="H1337" s="219"/>
      <c r="I1337" s="209"/>
      <c r="L1337" s="209"/>
      <c r="M1337" s="209"/>
      <c r="N1337" s="209"/>
    </row>
    <row r="1338" spans="1:14" ht="18">
      <c r="A1338" s="200"/>
      <c r="B1338" s="202" t="s">
        <v>246</v>
      </c>
      <c r="C1338" s="456">
        <v>156871</v>
      </c>
      <c r="D1338" s="456">
        <v>146683</v>
      </c>
      <c r="E1338" s="456">
        <v>142201</v>
      </c>
      <c r="F1338" s="457">
        <v>156747</v>
      </c>
      <c r="G1338" s="456">
        <v>187056</v>
      </c>
      <c r="H1338" s="228"/>
      <c r="I1338" s="209"/>
      <c r="L1338" s="209"/>
      <c r="M1338" s="209"/>
      <c r="N1338" s="209"/>
    </row>
    <row r="1339" spans="1:14">
      <c r="A1339" s="200"/>
      <c r="B1339" s="201"/>
      <c r="C1339" s="458"/>
      <c r="D1339" s="458"/>
      <c r="E1339" s="458"/>
      <c r="F1339" s="459"/>
      <c r="G1339" s="458"/>
      <c r="H1339" s="234"/>
      <c r="I1339" s="209"/>
      <c r="L1339" s="209"/>
      <c r="M1339" s="209"/>
      <c r="N1339" s="209"/>
    </row>
    <row r="1340" spans="1:14" ht="28">
      <c r="A1340" s="200"/>
      <c r="B1340" s="211" t="s">
        <v>247</v>
      </c>
      <c r="C1340" s="456">
        <v>221494</v>
      </c>
      <c r="D1340" s="456">
        <v>198019</v>
      </c>
      <c r="E1340" s="456">
        <v>209657</v>
      </c>
      <c r="F1340" s="457">
        <v>201792</v>
      </c>
      <c r="G1340" s="460">
        <v>311675</v>
      </c>
      <c r="H1340" s="230"/>
      <c r="I1340" s="209"/>
      <c r="L1340" s="209"/>
      <c r="M1340" s="209"/>
      <c r="N1340" s="209"/>
    </row>
    <row r="1341" spans="1:14">
      <c r="A1341" s="200"/>
      <c r="B1341" s="208" t="s">
        <v>248</v>
      </c>
      <c r="C1341" s="214"/>
      <c r="D1341" s="214"/>
      <c r="E1341" s="214"/>
      <c r="F1341" s="367"/>
      <c r="G1341" s="214"/>
      <c r="H1341" s="203"/>
      <c r="I1341" s="209"/>
      <c r="L1341" s="209"/>
      <c r="M1341" s="209"/>
      <c r="N1341" s="209"/>
    </row>
    <row r="1342" spans="1:14">
      <c r="A1342" s="200"/>
      <c r="B1342" s="208" t="s">
        <v>249</v>
      </c>
      <c r="C1342" s="214"/>
      <c r="D1342" s="214"/>
      <c r="E1342" s="214"/>
      <c r="F1342" s="367"/>
      <c r="G1342" s="214"/>
      <c r="H1342" s="203"/>
      <c r="I1342" s="209"/>
      <c r="L1342" s="209"/>
      <c r="M1342" s="209"/>
      <c r="N1342" s="209"/>
    </row>
    <row r="1343" spans="1:14" ht="18">
      <c r="A1343" s="200"/>
      <c r="B1343" s="206" t="s">
        <v>250</v>
      </c>
      <c r="C1343" s="456">
        <v>111115</v>
      </c>
      <c r="D1343" s="456">
        <v>99578</v>
      </c>
      <c r="E1343" s="456">
        <v>75972</v>
      </c>
      <c r="F1343" s="457">
        <v>95325</v>
      </c>
      <c r="G1343" s="456">
        <v>89823</v>
      </c>
      <c r="H1343" s="228"/>
      <c r="I1343" s="209"/>
      <c r="L1343" s="209"/>
      <c r="M1343" s="209"/>
      <c r="N1343" s="209"/>
    </row>
    <row r="1344" spans="1:14" ht="18">
      <c r="A1344" s="200"/>
      <c r="B1344" s="210" t="s">
        <v>251</v>
      </c>
      <c r="C1344" s="456">
        <v>-1349</v>
      </c>
      <c r="D1344" s="456">
        <v>-19125</v>
      </c>
      <c r="E1344" s="456">
        <v>4808</v>
      </c>
      <c r="F1344" s="457">
        <v>-35812</v>
      </c>
      <c r="G1344" s="456">
        <v>-54398</v>
      </c>
      <c r="H1344" s="228"/>
      <c r="I1344" s="209"/>
      <c r="L1344" s="209"/>
      <c r="M1344" s="209"/>
      <c r="N1344" s="209"/>
    </row>
    <row r="1345" spans="1:14">
      <c r="A1345" s="200"/>
      <c r="B1345" s="208" t="s">
        <v>252</v>
      </c>
      <c r="C1345" s="214"/>
      <c r="D1345" s="214"/>
      <c r="E1345" s="214"/>
      <c r="F1345" s="367"/>
      <c r="G1345" s="214"/>
      <c r="H1345" s="325"/>
      <c r="I1345" s="209"/>
      <c r="L1345" s="209"/>
      <c r="M1345" s="209"/>
      <c r="N1345" s="209"/>
    </row>
    <row r="1346" spans="1:14">
      <c r="A1346" s="200"/>
      <c r="B1346" s="208" t="s">
        <v>253</v>
      </c>
      <c r="C1346" s="214"/>
      <c r="D1346" s="214"/>
      <c r="E1346" s="214"/>
      <c r="F1346" s="367"/>
      <c r="G1346" s="214"/>
      <c r="H1346" s="325"/>
      <c r="I1346" s="209"/>
      <c r="L1346" s="209"/>
      <c r="M1346" s="209"/>
      <c r="N1346" s="209"/>
    </row>
    <row r="1347" spans="1:14" ht="28">
      <c r="A1347" s="200"/>
      <c r="B1347" s="208" t="s">
        <v>254</v>
      </c>
      <c r="C1347" s="214"/>
      <c r="D1347" s="214"/>
      <c r="E1347" s="214"/>
      <c r="F1347" s="367"/>
      <c r="G1347" s="214"/>
      <c r="H1347" s="325"/>
      <c r="I1347" s="209"/>
      <c r="L1347" s="209"/>
      <c r="M1347" s="209"/>
      <c r="N1347" s="209"/>
    </row>
    <row r="1348" spans="1:14" ht="18">
      <c r="A1348" s="200"/>
      <c r="B1348" s="203" t="s">
        <v>255</v>
      </c>
      <c r="C1348" s="456">
        <v>45756</v>
      </c>
      <c r="D1348" s="456">
        <v>47105</v>
      </c>
      <c r="E1348" s="456">
        <v>66230</v>
      </c>
      <c r="F1348" s="457">
        <v>61422</v>
      </c>
      <c r="G1348" s="456">
        <v>97233</v>
      </c>
      <c r="H1348" s="228"/>
      <c r="I1348" s="209"/>
      <c r="L1348" s="209"/>
      <c r="M1348" s="209"/>
      <c r="N1348" s="209"/>
    </row>
    <row r="1349" spans="1:14">
      <c r="I1349" s="209"/>
      <c r="L1349" s="209"/>
      <c r="M1349" s="209"/>
      <c r="N1349" s="209"/>
    </row>
    <row r="1350" spans="1:14">
      <c r="I1350" s="209"/>
      <c r="L1350" s="209"/>
      <c r="M1350" s="209"/>
      <c r="N1350" s="209"/>
    </row>
    <row r="1351" spans="1:14">
      <c r="I1351" s="209"/>
      <c r="L1351" s="209"/>
      <c r="M1351" s="209"/>
      <c r="N1351" s="209"/>
    </row>
    <row r="1352" spans="1:14">
      <c r="A1352" s="204" t="s">
        <v>339</v>
      </c>
      <c r="B1352" s="200"/>
      <c r="C1352" s="200"/>
      <c r="D1352" s="200"/>
      <c r="E1352" s="200"/>
      <c r="F1352" s="87"/>
      <c r="G1352" s="200"/>
      <c r="H1352" s="200"/>
      <c r="I1352" s="209"/>
      <c r="L1352" s="209"/>
      <c r="M1352" s="209"/>
      <c r="N1352" s="209"/>
    </row>
    <row r="1353" spans="1:14">
      <c r="A1353" s="204" t="s">
        <v>340</v>
      </c>
      <c r="B1353" s="200"/>
      <c r="C1353" s="200"/>
      <c r="D1353" s="200"/>
      <c r="E1353" s="200"/>
      <c r="F1353" s="87"/>
      <c r="G1353" s="200"/>
      <c r="H1353" s="200"/>
      <c r="I1353" s="209"/>
      <c r="L1353" s="209"/>
      <c r="M1353" s="209"/>
      <c r="N1353" s="209"/>
    </row>
    <row r="1354" spans="1:14">
      <c r="B1354" s="201"/>
      <c r="C1354" s="201">
        <v>2019</v>
      </c>
      <c r="D1354" s="219" t="s">
        <v>175</v>
      </c>
      <c r="E1354" s="219" t="s">
        <v>176</v>
      </c>
      <c r="F1354" s="362" t="s">
        <v>177</v>
      </c>
      <c r="G1354" s="219" t="s">
        <v>178</v>
      </c>
      <c r="H1354" s="219"/>
      <c r="I1354" s="209"/>
      <c r="L1354" s="209"/>
      <c r="M1354" s="209"/>
      <c r="N1354" s="209"/>
    </row>
    <row r="1355" spans="1:14">
      <c r="B1355" s="202" t="s">
        <v>246</v>
      </c>
      <c r="C1355" s="216">
        <f>21338999.982949/1000</f>
        <v>21338.999982949001</v>
      </c>
      <c r="D1355" s="216">
        <f>21878999.970658/1000</f>
        <v>21878.999970658002</v>
      </c>
      <c r="E1355" s="216">
        <f>13367000.0587592/1000</f>
        <v>13367.0000587592</v>
      </c>
      <c r="F1355" s="363">
        <f>29081999.9513342/1000</f>
        <v>29081.999951334201</v>
      </c>
      <c r="G1355" s="216">
        <f>40559000.0001706/1000</f>
        <v>40559.000000170607</v>
      </c>
      <c r="H1355" s="207"/>
      <c r="I1355" s="209"/>
      <c r="L1355" s="209"/>
      <c r="M1355" s="209"/>
      <c r="N1355" s="209"/>
    </row>
    <row r="1356" spans="1:14">
      <c r="B1356" s="201"/>
      <c r="C1356" s="234"/>
      <c r="D1356" s="234"/>
      <c r="E1356" s="234"/>
      <c r="F1356" s="387"/>
      <c r="G1356" s="234"/>
      <c r="H1356" s="234"/>
      <c r="I1356" s="209"/>
      <c r="L1356" s="209"/>
      <c r="M1356" s="209"/>
      <c r="N1356" s="209"/>
    </row>
    <row r="1357" spans="1:14" ht="28">
      <c r="B1357" s="211" t="s">
        <v>247</v>
      </c>
      <c r="C1357" s="212">
        <f>16678000.0364288/1000</f>
        <v>16678.000036428799</v>
      </c>
      <c r="D1357" s="212">
        <f>14253999.9808839/1000</f>
        <v>14253.9999808839</v>
      </c>
      <c r="E1357" s="212">
        <f>7143000.0313995/1000</f>
        <v>7143.0000313994997</v>
      </c>
      <c r="F1357" s="364">
        <f>9727999.94491577/1000</f>
        <v>9727.9999449157694</v>
      </c>
      <c r="G1357" s="212">
        <f>5477999.97555511/1000</f>
        <v>5477.9999755551098</v>
      </c>
      <c r="H1357" s="203"/>
      <c r="I1357" s="209"/>
      <c r="L1357" s="209"/>
      <c r="M1357" s="209"/>
      <c r="N1357" s="209"/>
    </row>
    <row r="1358" spans="1:14">
      <c r="B1358" s="208" t="s">
        <v>248</v>
      </c>
      <c r="C1358" s="212">
        <f>134999.998451024/1000</f>
        <v>134.999998451024</v>
      </c>
      <c r="D1358" s="212">
        <v>0</v>
      </c>
      <c r="E1358" s="212">
        <v>0</v>
      </c>
      <c r="F1358" s="364">
        <f>304999.998272955/1000</f>
        <v>304.999998272955</v>
      </c>
      <c r="G1358" s="212">
        <f>168999.995744079/1000</f>
        <v>168.999995744079</v>
      </c>
      <c r="H1358" s="203"/>
      <c r="I1358" s="209"/>
      <c r="L1358" s="209"/>
      <c r="M1358" s="209"/>
      <c r="N1358" s="209"/>
    </row>
    <row r="1359" spans="1:14">
      <c r="B1359" s="208" t="s">
        <v>249</v>
      </c>
      <c r="C1359" s="212">
        <f>5377000.05220009/1000</f>
        <v>5377.0000522000901</v>
      </c>
      <c r="D1359" s="212">
        <f>9805999.98684913/1000</f>
        <v>9805.9999868491286</v>
      </c>
      <c r="E1359" s="212">
        <f>1972000.0086686/1000</f>
        <v>1972.0000086686</v>
      </c>
      <c r="F1359" s="364">
        <f>8502999.95185226/1000</f>
        <v>8502.99995185226</v>
      </c>
      <c r="G1359" s="212">
        <f>10373999.9657667/1000</f>
        <v>10373.999965766699</v>
      </c>
      <c r="H1359" s="203"/>
      <c r="I1359" s="209"/>
      <c r="L1359" s="209"/>
      <c r="M1359" s="209"/>
      <c r="N1359" s="209"/>
    </row>
    <row r="1360" spans="1:14">
      <c r="B1360" s="206" t="s">
        <v>250</v>
      </c>
      <c r="C1360" s="239">
        <f>5512000.05065111/1000</f>
        <v>5512.0000506511096</v>
      </c>
      <c r="D1360" s="239">
        <f>9805999.98684913/1000</f>
        <v>9805.9999868491286</v>
      </c>
      <c r="E1360" s="239">
        <f>1972000.0086686/1000</f>
        <v>1972.0000086686</v>
      </c>
      <c r="F1360" s="400">
        <f>8807999.95012522/1000</f>
        <v>8807.9999501252187</v>
      </c>
      <c r="G1360" s="239">
        <f>10542999.9615108/1000</f>
        <v>10542.999961510799</v>
      </c>
      <c r="H1360" s="239"/>
      <c r="I1360" s="209"/>
      <c r="L1360" s="209"/>
      <c r="M1360" s="209"/>
      <c r="N1360" s="209"/>
    </row>
    <row r="1361" spans="1:14">
      <c r="B1361" s="210" t="s">
        <v>251</v>
      </c>
      <c r="C1361" s="212">
        <f>3752999.95693848/1000</f>
        <v>3752.99995693848</v>
      </c>
      <c r="D1361" s="212">
        <f>1175999.99842286/1000</f>
        <v>1175.99999842286</v>
      </c>
      <c r="E1361" s="212">
        <f>-8847000.03889002/1000</f>
        <v>-8847.0000388900207</v>
      </c>
      <c r="F1361" s="364">
        <f>-9705999.94504035/1000</f>
        <v>-9705.9999450403502</v>
      </c>
      <c r="G1361" s="212">
        <f>-8302000.0179458/1000</f>
        <v>-8302.0000179458002</v>
      </c>
      <c r="H1361" s="203"/>
      <c r="I1361" s="209"/>
      <c r="L1361" s="209"/>
      <c r="M1361" s="209"/>
      <c r="N1361" s="209"/>
    </row>
    <row r="1362" spans="1:14">
      <c r="B1362" s="208" t="s">
        <v>252</v>
      </c>
      <c r="C1362" s="235"/>
      <c r="D1362" s="235"/>
      <c r="E1362" s="235"/>
      <c r="F1362" s="389"/>
      <c r="G1362" s="235"/>
      <c r="H1362" s="325"/>
      <c r="I1362" s="209"/>
      <c r="L1362" s="209"/>
      <c r="M1362" s="209"/>
      <c r="N1362" s="209"/>
    </row>
    <row r="1363" spans="1:14">
      <c r="B1363" s="208" t="s">
        <v>253</v>
      </c>
      <c r="C1363" s="235"/>
      <c r="D1363" s="235"/>
      <c r="E1363" s="235"/>
      <c r="F1363" s="389"/>
      <c r="G1363" s="235"/>
      <c r="H1363" s="325"/>
      <c r="I1363" s="209"/>
      <c r="L1363" s="209"/>
      <c r="M1363" s="209"/>
      <c r="N1363" s="209"/>
    </row>
    <row r="1364" spans="1:14" ht="28">
      <c r="B1364" s="208" t="s">
        <v>254</v>
      </c>
      <c r="C1364" s="235"/>
      <c r="D1364" s="235"/>
      <c r="E1364" s="235"/>
      <c r="F1364" s="389"/>
      <c r="G1364" s="235"/>
      <c r="H1364" s="325"/>
      <c r="I1364" s="209"/>
      <c r="L1364" s="209"/>
      <c r="M1364" s="209"/>
      <c r="N1364" s="209"/>
    </row>
    <row r="1365" spans="1:14">
      <c r="B1365" s="203" t="s">
        <v>255</v>
      </c>
      <c r="C1365" s="212">
        <f>15827000.0461931/1000</f>
        <v>15827.000046193101</v>
      </c>
      <c r="D1365" s="212">
        <f>12073999.9838075/1000</f>
        <v>12073.9999838075</v>
      </c>
      <c r="E1365" s="212">
        <f>11395000.0500906/1000</f>
        <v>11395.000050090599</v>
      </c>
      <c r="F1365" s="364">
        <f>20274000.0012089/1000</f>
        <v>20274.0000012089</v>
      </c>
      <c r="G1365" s="212">
        <f>30015000.038685/1000</f>
        <v>30015.000038685001</v>
      </c>
      <c r="H1365" s="203"/>
      <c r="I1365" s="209"/>
      <c r="L1365" s="209"/>
      <c r="M1365" s="209"/>
      <c r="N1365" s="209"/>
    </row>
    <row r="1366" spans="1:14">
      <c r="I1366" s="209"/>
      <c r="L1366" s="209"/>
      <c r="M1366" s="209"/>
      <c r="N1366" s="209"/>
    </row>
    <row r="1367" spans="1:14">
      <c r="I1367" s="209"/>
      <c r="L1367" s="209"/>
      <c r="M1367" s="209"/>
      <c r="N1367" s="209"/>
    </row>
    <row r="1368" spans="1:14">
      <c r="I1368" s="209"/>
      <c r="L1368" s="209"/>
      <c r="M1368" s="209"/>
      <c r="N1368" s="209"/>
    </row>
    <row r="1369" spans="1:14">
      <c r="I1369" s="209"/>
      <c r="L1369" s="209"/>
      <c r="M1369" s="209"/>
      <c r="N1369" s="209"/>
    </row>
    <row r="1370" spans="1:14">
      <c r="A1370" s="200" t="s">
        <v>341</v>
      </c>
      <c r="B1370" s="200"/>
      <c r="C1370" s="200"/>
      <c r="D1370" s="200"/>
      <c r="E1370" s="200"/>
      <c r="F1370" s="87"/>
      <c r="G1370" s="200"/>
      <c r="H1370" s="200"/>
      <c r="I1370" s="209"/>
      <c r="L1370" s="209"/>
      <c r="M1370" s="209"/>
      <c r="N1370" s="209"/>
    </row>
    <row r="1371" spans="1:14">
      <c r="A1371" s="204" t="s">
        <v>342</v>
      </c>
      <c r="B1371" s="201"/>
      <c r="C1371" s="201">
        <v>2021</v>
      </c>
      <c r="D1371" s="219" t="s">
        <v>159</v>
      </c>
      <c r="E1371" s="219" t="s">
        <v>160</v>
      </c>
      <c r="F1371" s="362" t="s">
        <v>164</v>
      </c>
      <c r="G1371" s="219" t="s">
        <v>162</v>
      </c>
      <c r="H1371" s="219"/>
      <c r="I1371" s="209"/>
      <c r="L1371" s="209"/>
      <c r="M1371" s="209"/>
      <c r="N1371" s="209"/>
    </row>
    <row r="1372" spans="1:14">
      <c r="A1372" s="200"/>
      <c r="B1372" s="202" t="s">
        <v>246</v>
      </c>
      <c r="C1372" s="216">
        <v>1280228.5311763301</v>
      </c>
      <c r="D1372" s="216">
        <v>740284.38910868799</v>
      </c>
      <c r="E1372" s="216">
        <v>475926.64601990598</v>
      </c>
      <c r="F1372" s="363">
        <v>395309.20545373898</v>
      </c>
      <c r="G1372" s="216">
        <v>375991.11005718302</v>
      </c>
      <c r="H1372" s="207"/>
      <c r="I1372" s="209"/>
      <c r="L1372" s="209"/>
      <c r="M1372" s="209"/>
      <c r="N1372" s="209"/>
    </row>
    <row r="1373" spans="1:14">
      <c r="A1373" s="200"/>
      <c r="B1373" s="201"/>
      <c r="C1373" s="234"/>
      <c r="D1373" s="234"/>
      <c r="E1373" s="234"/>
      <c r="F1373" s="387"/>
      <c r="G1373" s="234"/>
      <c r="H1373" s="234"/>
      <c r="I1373" s="209"/>
      <c r="L1373" s="209"/>
      <c r="M1373" s="209"/>
      <c r="N1373" s="209"/>
    </row>
    <row r="1374" spans="1:14" ht="28">
      <c r="A1374" s="200"/>
      <c r="B1374" s="211" t="s">
        <v>247</v>
      </c>
      <c r="C1374" s="212">
        <v>2997543.1030318099</v>
      </c>
      <c r="D1374" s="212">
        <v>2299724.5603925399</v>
      </c>
      <c r="E1374" s="212">
        <v>1551027.31705561</v>
      </c>
      <c r="F1374" s="364">
        <v>1041142.23105481</v>
      </c>
      <c r="G1374" s="212">
        <v>889368.09160745097</v>
      </c>
      <c r="H1374" s="203"/>
      <c r="I1374" s="209"/>
      <c r="L1374" s="209"/>
      <c r="M1374" s="209"/>
      <c r="N1374" s="209"/>
    </row>
    <row r="1375" spans="1:14">
      <c r="A1375" s="200"/>
      <c r="B1375" s="208" t="s">
        <v>248</v>
      </c>
      <c r="C1375" s="212">
        <v>232588.881575957</v>
      </c>
      <c r="D1375" s="212">
        <v>53876.083035156102</v>
      </c>
      <c r="E1375" s="212">
        <v>52446.582541741402</v>
      </c>
      <c r="F1375" s="364">
        <v>58128.308322504199</v>
      </c>
      <c r="G1375" s="212">
        <v>59933.008789643602</v>
      </c>
      <c r="H1375" s="203"/>
      <c r="I1375" s="209"/>
      <c r="L1375" s="209"/>
      <c r="M1375" s="209"/>
      <c r="N1375" s="209"/>
    </row>
    <row r="1376" spans="1:14">
      <c r="A1376" s="200"/>
      <c r="B1376" s="208" t="s">
        <v>249</v>
      </c>
      <c r="C1376" s="212">
        <v>802974.464549236</v>
      </c>
      <c r="D1376" s="212">
        <v>557079.58721186197</v>
      </c>
      <c r="E1376" s="212">
        <v>356804.32392428798</v>
      </c>
      <c r="F1376" s="364">
        <v>269711.507118151</v>
      </c>
      <c r="G1376" s="212">
        <v>247118.027882881</v>
      </c>
      <c r="H1376" s="203"/>
      <c r="I1376" s="209"/>
      <c r="L1376" s="209"/>
      <c r="M1376" s="209"/>
      <c r="N1376" s="209"/>
    </row>
    <row r="1377" spans="1:14">
      <c r="A1377" s="200"/>
      <c r="B1377" s="206" t="s">
        <v>250</v>
      </c>
      <c r="C1377" s="239">
        <v>1035563.3461251929</v>
      </c>
      <c r="D1377" s="239">
        <v>610955.6702470181</v>
      </c>
      <c r="E1377" s="239">
        <v>409250.90646602935</v>
      </c>
      <c r="F1377" s="400">
        <v>327839.81544065522</v>
      </c>
      <c r="G1377" s="239">
        <v>307051.03667252458</v>
      </c>
      <c r="H1377" s="239"/>
      <c r="I1377" s="209"/>
      <c r="L1377" s="209"/>
      <c r="M1377" s="209"/>
      <c r="N1377" s="209"/>
    </row>
    <row r="1378" spans="1:14">
      <c r="A1378" s="200"/>
      <c r="B1378" s="210" t="s">
        <v>251</v>
      </c>
      <c r="C1378" s="212">
        <v>25728.570619627801</v>
      </c>
      <c r="D1378" s="212">
        <v>14126.0254313797</v>
      </c>
      <c r="E1378" s="212">
        <v>-1393.5079566761899</v>
      </c>
      <c r="F1378" s="364">
        <v>1768.0092036128001</v>
      </c>
      <c r="G1378" s="212">
        <v>-5435.9318143948904</v>
      </c>
      <c r="H1378" s="203"/>
      <c r="I1378" s="209"/>
      <c r="L1378" s="209"/>
      <c r="M1378" s="209"/>
      <c r="N1378" s="209"/>
    </row>
    <row r="1379" spans="1:14">
      <c r="A1379" s="200"/>
      <c r="B1379" s="208" t="s">
        <v>252</v>
      </c>
      <c r="C1379" s="235"/>
      <c r="D1379" s="235"/>
      <c r="E1379" s="235"/>
      <c r="F1379" s="389"/>
      <c r="G1379" s="235"/>
      <c r="H1379" s="325"/>
      <c r="I1379" s="209"/>
      <c r="L1379" s="209"/>
      <c r="M1379" s="209"/>
      <c r="N1379" s="209"/>
    </row>
    <row r="1380" spans="1:14">
      <c r="A1380" s="200"/>
      <c r="B1380" s="208" t="s">
        <v>253</v>
      </c>
      <c r="C1380" s="235"/>
      <c r="D1380" s="235"/>
      <c r="E1380" s="235"/>
      <c r="F1380" s="389"/>
      <c r="G1380" s="235"/>
      <c r="H1380" s="325"/>
      <c r="I1380" s="209"/>
      <c r="L1380" s="209"/>
      <c r="M1380" s="209"/>
      <c r="N1380" s="209"/>
    </row>
    <row r="1381" spans="1:14" ht="28">
      <c r="A1381" s="200"/>
      <c r="B1381" s="208" t="s">
        <v>254</v>
      </c>
      <c r="C1381" s="235"/>
      <c r="D1381" s="235"/>
      <c r="E1381" s="235"/>
      <c r="F1381" s="389"/>
      <c r="G1381" s="235"/>
      <c r="H1381" s="325"/>
      <c r="I1381" s="209"/>
      <c r="L1381" s="209"/>
      <c r="M1381" s="209"/>
      <c r="N1381" s="209"/>
    </row>
    <row r="1382" spans="1:14">
      <c r="A1382" s="200"/>
      <c r="B1382" s="203" t="s">
        <v>255</v>
      </c>
      <c r="C1382" s="212">
        <v>244665.18505113601</v>
      </c>
      <c r="D1382" s="212">
        <v>129328.718861669</v>
      </c>
      <c r="E1382" s="212">
        <v>66675.739553876207</v>
      </c>
      <c r="F1382" s="364">
        <v>67469.390013083801</v>
      </c>
      <c r="G1382" s="212">
        <v>68940.073384657502</v>
      </c>
      <c r="H1382" s="203"/>
      <c r="I1382" s="209"/>
      <c r="L1382" s="209"/>
      <c r="M1382" s="209"/>
      <c r="N1382" s="209"/>
    </row>
    <row r="1386" spans="1:14" ht="16">
      <c r="A1386" s="462" t="s">
        <v>489</v>
      </c>
      <c r="B1386" s="462"/>
      <c r="C1386" s="463">
        <v>2009</v>
      </c>
      <c r="D1386" s="463" t="s">
        <v>220</v>
      </c>
      <c r="E1386" s="463" t="s">
        <v>221</v>
      </c>
      <c r="F1386" s="463" t="s">
        <v>222</v>
      </c>
      <c r="G1386" s="463" t="s">
        <v>223</v>
      </c>
    </row>
    <row r="1387" spans="1:14" ht="16">
      <c r="A1387" s="462"/>
      <c r="B1387" s="462" t="s">
        <v>246</v>
      </c>
      <c r="C1387" s="462">
        <v>650489.17570000002</v>
      </c>
      <c r="D1387" s="462">
        <v>718574.79752400005</v>
      </c>
      <c r="E1387" s="462">
        <v>603225.9247359999</v>
      </c>
      <c r="F1387" s="462">
        <v>465819.87157199997</v>
      </c>
      <c r="G1387" s="462">
        <v>351254.782137</v>
      </c>
    </row>
    <row r="1388" spans="1:14" ht="16">
      <c r="A1388" s="462"/>
      <c r="B1388" s="462"/>
      <c r="C1388" s="462">
        <v>0</v>
      </c>
      <c r="D1388" s="462">
        <v>0</v>
      </c>
      <c r="E1388" s="462">
        <v>0</v>
      </c>
      <c r="F1388" s="462">
        <v>0</v>
      </c>
      <c r="G1388" s="462"/>
    </row>
    <row r="1389" spans="1:14" ht="16">
      <c r="A1389" s="462"/>
      <c r="B1389" s="462" t="s">
        <v>247</v>
      </c>
      <c r="C1389" s="462">
        <v>540239.40789000003</v>
      </c>
      <c r="D1389" s="462">
        <v>547558.57881800004</v>
      </c>
      <c r="E1389" s="462">
        <v>465974.42285599996</v>
      </c>
      <c r="F1389" s="462">
        <v>359925.10252800002</v>
      </c>
      <c r="G1389" s="462">
        <v>296457.50424599997</v>
      </c>
    </row>
    <row r="1390" spans="1:14" ht="18">
      <c r="A1390" s="462"/>
      <c r="B1390" s="462" t="s">
        <v>248</v>
      </c>
      <c r="C1390" s="228">
        <v>2029640</v>
      </c>
      <c r="D1390" s="228">
        <v>2061191</v>
      </c>
      <c r="E1390" s="228">
        <v>1741283</v>
      </c>
      <c r="F1390" s="228">
        <v>1600934</v>
      </c>
      <c r="G1390" s="228">
        <v>308857</v>
      </c>
    </row>
    <row r="1391" spans="1:14" ht="16">
      <c r="A1391" s="462"/>
      <c r="B1391" s="462" t="s">
        <v>249</v>
      </c>
      <c r="C1391" s="462">
        <v>0</v>
      </c>
      <c r="D1391" s="462">
        <v>0</v>
      </c>
      <c r="E1391" s="462">
        <v>0</v>
      </c>
      <c r="F1391" s="462">
        <v>0</v>
      </c>
      <c r="G1391" s="462"/>
    </row>
    <row r="1392" spans="1:14" ht="16">
      <c r="A1392" s="462"/>
      <c r="B1392" s="462" t="s">
        <v>250</v>
      </c>
      <c r="C1392" s="462">
        <v>495477.92514999997</v>
      </c>
      <c r="D1392" s="462">
        <v>619536.08370399999</v>
      </c>
      <c r="E1392" s="462">
        <v>471676.21691999998</v>
      </c>
      <c r="F1392" s="462">
        <v>373487.45335199998</v>
      </c>
      <c r="G1392" s="462">
        <v>136986.275467</v>
      </c>
    </row>
    <row r="1393" spans="1:7" ht="16">
      <c r="A1393" s="462"/>
      <c r="B1393" s="462" t="s">
        <v>251</v>
      </c>
      <c r="C1393" s="462">
        <v>43996.024669999999</v>
      </c>
      <c r="D1393" s="462">
        <v>53401.116436000004</v>
      </c>
      <c r="E1393" s="462">
        <v>26522.188887999997</v>
      </c>
      <c r="F1393" s="462">
        <v>19226.105172</v>
      </c>
      <c r="G1393" s="462">
        <v>19381.859338999999</v>
      </c>
    </row>
    <row r="1394" spans="1:7" ht="16">
      <c r="A1394" s="462"/>
      <c r="B1394" s="462" t="s">
        <v>252</v>
      </c>
      <c r="C1394" s="462">
        <v>0</v>
      </c>
      <c r="D1394" s="462">
        <v>0</v>
      </c>
      <c r="E1394" s="462">
        <v>0</v>
      </c>
      <c r="F1394" s="462">
        <v>0</v>
      </c>
      <c r="G1394" s="462"/>
    </row>
    <row r="1395" spans="1:7" ht="16">
      <c r="A1395" s="462"/>
      <c r="B1395" s="462" t="s">
        <v>253</v>
      </c>
      <c r="C1395" s="462">
        <v>0</v>
      </c>
      <c r="D1395" s="462">
        <v>0</v>
      </c>
      <c r="E1395" s="462">
        <v>0</v>
      </c>
      <c r="F1395" s="462">
        <v>0</v>
      </c>
      <c r="G1395" s="462"/>
    </row>
    <row r="1396" spans="1:7" ht="16">
      <c r="A1396" s="462"/>
      <c r="B1396" s="462" t="s">
        <v>254</v>
      </c>
      <c r="C1396" s="462">
        <v>0</v>
      </c>
      <c r="D1396" s="462">
        <v>0</v>
      </c>
      <c r="E1396" s="462">
        <v>0</v>
      </c>
      <c r="F1396" s="462">
        <v>0</v>
      </c>
      <c r="G1396" s="462"/>
    </row>
    <row r="1397" spans="1:7" ht="16">
      <c r="A1397" s="462"/>
      <c r="B1397" s="462" t="s">
        <v>255</v>
      </c>
      <c r="C1397" s="462">
        <v>155011.09078</v>
      </c>
      <c r="D1397" s="462">
        <v>99038.534033999997</v>
      </c>
      <c r="E1397" s="462">
        <v>131549.70781599998</v>
      </c>
      <c r="F1397" s="462">
        <v>92332.418219999992</v>
      </c>
      <c r="G1397" s="462">
        <v>214268.35118099998</v>
      </c>
    </row>
    <row r="1400" spans="1:7" ht="16">
      <c r="A1400" s="462" t="s">
        <v>490</v>
      </c>
      <c r="B1400" s="462"/>
      <c r="C1400" s="463">
        <v>2015</v>
      </c>
      <c r="D1400" s="463" t="s">
        <v>167</v>
      </c>
      <c r="E1400" s="463" t="s">
        <v>168</v>
      </c>
      <c r="F1400" s="463" t="s">
        <v>169</v>
      </c>
      <c r="G1400" s="463" t="s">
        <v>170</v>
      </c>
    </row>
    <row r="1401" spans="1:7" ht="16">
      <c r="A1401" s="462"/>
      <c r="B1401" s="462" t="s">
        <v>246</v>
      </c>
      <c r="C1401" s="462">
        <v>556026.88017999998</v>
      </c>
      <c r="D1401" s="462">
        <v>997957.63612500008</v>
      </c>
      <c r="E1401" s="462">
        <v>911520.80889300001</v>
      </c>
      <c r="F1401" s="462">
        <v>820843.05757199996</v>
      </c>
      <c r="G1401" s="462">
        <v>729379.09875600005</v>
      </c>
    </row>
    <row r="1402" spans="1:7" ht="16">
      <c r="B1402" s="462"/>
      <c r="C1402" s="462">
        <v>0</v>
      </c>
      <c r="D1402" s="462">
        <v>0</v>
      </c>
      <c r="E1402" s="462">
        <v>0</v>
      </c>
      <c r="F1402" s="462">
        <v>0</v>
      </c>
      <c r="G1402" s="462">
        <v>0</v>
      </c>
    </row>
    <row r="1403" spans="1:7" ht="16">
      <c r="B1403" s="462" t="s">
        <v>247</v>
      </c>
      <c r="C1403" s="462">
        <v>14339.531406</v>
      </c>
      <c r="D1403" s="462">
        <v>4170.9089999999997</v>
      </c>
      <c r="E1403" s="462">
        <v>3819.0888100000002</v>
      </c>
      <c r="F1403" s="462">
        <v>4894.8482039999999</v>
      </c>
      <c r="G1403" s="462">
        <v>4126.6391759999997</v>
      </c>
    </row>
    <row r="1404" spans="1:7" ht="18">
      <c r="B1404" s="462" t="s">
        <v>248</v>
      </c>
      <c r="C1404" s="228">
        <v>3951</v>
      </c>
      <c r="D1404" s="228">
        <v>4084</v>
      </c>
      <c r="E1404" s="228">
        <v>4128</v>
      </c>
      <c r="F1404" s="228">
        <v>4174</v>
      </c>
      <c r="G1404" s="228">
        <v>4232</v>
      </c>
    </row>
    <row r="1405" spans="1:7" ht="16">
      <c r="B1405" s="462" t="s">
        <v>249</v>
      </c>
      <c r="C1405" s="462">
        <v>0</v>
      </c>
      <c r="D1405" s="462">
        <v>0</v>
      </c>
      <c r="E1405" s="462">
        <v>0</v>
      </c>
      <c r="F1405" s="462">
        <v>0</v>
      </c>
      <c r="G1405" s="462">
        <v>0</v>
      </c>
    </row>
    <row r="1406" spans="1:7" ht="16">
      <c r="B1406" s="462" t="s">
        <v>250</v>
      </c>
      <c r="C1406" s="462">
        <v>372114.63509</v>
      </c>
      <c r="D1406" s="462">
        <v>747038.61619500001</v>
      </c>
      <c r="E1406" s="462">
        <v>655914.11555600003</v>
      </c>
      <c r="F1406" s="462">
        <v>571763.00485199993</v>
      </c>
      <c r="G1406" s="462">
        <v>461434.377492</v>
      </c>
    </row>
    <row r="1407" spans="1:7" ht="16">
      <c r="B1407" s="462" t="s">
        <v>251</v>
      </c>
      <c r="C1407" s="462">
        <v>-11889.546233999999</v>
      </c>
      <c r="D1407" s="462">
        <v>27639.276705</v>
      </c>
      <c r="E1407" s="462">
        <v>8683.4467330000007</v>
      </c>
      <c r="F1407" s="462">
        <v>-3700.4921759999997</v>
      </c>
      <c r="G1407" s="462">
        <v>-25576.554564000002</v>
      </c>
    </row>
    <row r="1408" spans="1:7" ht="16">
      <c r="B1408" s="462" t="s">
        <v>252</v>
      </c>
      <c r="C1408" s="462">
        <v>0</v>
      </c>
      <c r="D1408" s="462">
        <v>0</v>
      </c>
      <c r="E1408" s="462">
        <v>0</v>
      </c>
      <c r="F1408" s="462">
        <v>0</v>
      </c>
      <c r="G1408" s="462">
        <v>0</v>
      </c>
    </row>
    <row r="1409" spans="2:7" ht="16">
      <c r="B1409" s="462" t="s">
        <v>253</v>
      </c>
      <c r="C1409" s="462">
        <v>0</v>
      </c>
      <c r="D1409" s="462">
        <v>0</v>
      </c>
      <c r="E1409" s="462">
        <v>0</v>
      </c>
      <c r="F1409" s="462">
        <v>0</v>
      </c>
      <c r="G1409" s="462">
        <v>0</v>
      </c>
    </row>
    <row r="1410" spans="2:7" ht="16">
      <c r="B1410" s="462" t="s">
        <v>254</v>
      </c>
      <c r="C1410" s="462">
        <v>0</v>
      </c>
      <c r="D1410" s="462">
        <v>0</v>
      </c>
      <c r="E1410" s="462">
        <v>0</v>
      </c>
      <c r="F1410" s="462">
        <v>0</v>
      </c>
      <c r="G1410" s="462">
        <v>0</v>
      </c>
    </row>
    <row r="1411" spans="2:7" ht="16">
      <c r="B1411" s="462" t="s">
        <v>255</v>
      </c>
      <c r="C1411" s="462">
        <v>183912.24509000001</v>
      </c>
      <c r="D1411" s="462">
        <v>250919.01993000001</v>
      </c>
      <c r="E1411" s="462">
        <v>255606.693337</v>
      </c>
      <c r="F1411" s="462">
        <v>249079.88079599998</v>
      </c>
      <c r="G1411" s="462">
        <v>267944.36407200003</v>
      </c>
    </row>
  </sheetData>
  <mergeCells count="6">
    <mergeCell ref="AT55:AX55"/>
    <mergeCell ref="AY1:BG1"/>
    <mergeCell ref="A579:N579"/>
    <mergeCell ref="R55:V55"/>
    <mergeCell ref="W55:AA55"/>
    <mergeCell ref="AG55:AK5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CD357"/>
  <sheetViews>
    <sheetView showGridLines="0" zoomScale="80" zoomScaleNormal="80" workbookViewId="0">
      <pane xSplit="1" topLeftCell="AK1" activePane="topRight" state="frozen"/>
      <selection pane="topRight" activeCell="AF188" sqref="AF188"/>
    </sheetView>
  </sheetViews>
  <sheetFormatPr baseColWidth="10" defaultColWidth="14.33203125" defaultRowHeight="15" customHeight="1"/>
  <cols>
    <col min="1" max="1" width="6.6640625" style="435" customWidth="1"/>
    <col min="2" max="2" width="20.83203125" style="435" customWidth="1"/>
    <col min="3" max="3" width="5.6640625" style="200" customWidth="1"/>
    <col min="4" max="4" width="5.6640625" customWidth="1"/>
    <col min="5" max="5" width="5.6640625" style="200" customWidth="1"/>
    <col min="6" max="6" width="25.5" style="200" customWidth="1"/>
    <col min="7" max="7" width="65.1640625" style="200" bestFit="1" customWidth="1"/>
    <col min="8" max="8" width="13.5" style="200" customWidth="1"/>
    <col min="9" max="9" width="24.5" style="200" customWidth="1"/>
    <col min="10" max="10" width="37.5" style="523" customWidth="1"/>
    <col min="11" max="20" width="22.33203125" style="1" customWidth="1"/>
    <col min="21" max="38" width="22.33203125" customWidth="1"/>
    <col min="39" max="43" width="28.83203125" customWidth="1"/>
    <col min="45" max="48" width="14.33203125" style="200"/>
    <col min="52" max="60" width="14.33203125" style="200"/>
    <col min="61" max="82" width="18" customWidth="1"/>
  </cols>
  <sheetData>
    <row r="1" spans="1:82" ht="15" customHeight="1">
      <c r="A1" s="941" t="s">
        <v>484</v>
      </c>
      <c r="B1" s="533"/>
      <c r="C1" s="941" t="s">
        <v>486</v>
      </c>
      <c r="D1" s="941" t="s">
        <v>485</v>
      </c>
      <c r="E1" s="626"/>
      <c r="F1" s="624"/>
      <c r="G1" s="624"/>
      <c r="H1" s="624"/>
      <c r="I1" s="947" t="s">
        <v>544</v>
      </c>
      <c r="J1" s="946" t="s">
        <v>72</v>
      </c>
      <c r="K1" s="914" t="s">
        <v>5</v>
      </c>
      <c r="L1" s="914"/>
      <c r="M1" s="914"/>
      <c r="N1" s="914"/>
      <c r="O1" s="914"/>
      <c r="P1" s="934" t="s">
        <v>6</v>
      </c>
      <c r="Q1" s="934"/>
      <c r="R1" s="934"/>
      <c r="S1" s="934"/>
      <c r="T1" s="934"/>
      <c r="U1" s="935" t="s">
        <v>84</v>
      </c>
      <c r="V1" s="935"/>
      <c r="W1" s="935"/>
      <c r="X1" s="935"/>
      <c r="Y1" s="935"/>
      <c r="Z1" s="936" t="s">
        <v>90</v>
      </c>
      <c r="AA1" s="936"/>
      <c r="AB1" s="936"/>
      <c r="AC1" s="936"/>
      <c r="AD1" s="936"/>
      <c r="AE1" s="942" t="s">
        <v>9</v>
      </c>
      <c r="AF1" s="942"/>
      <c r="AG1" s="942"/>
      <c r="AH1" s="919" t="s">
        <v>10</v>
      </c>
      <c r="AI1" s="919"/>
      <c r="AJ1" s="919"/>
      <c r="AK1" s="81" t="s">
        <v>115</v>
      </c>
      <c r="AL1" s="81" t="s">
        <v>116</v>
      </c>
      <c r="AM1" s="943" t="s">
        <v>105</v>
      </c>
      <c r="AN1" s="944"/>
      <c r="AO1" s="944"/>
      <c r="AP1" s="944"/>
      <c r="AQ1" s="945"/>
      <c r="AR1" s="926" t="s">
        <v>563</v>
      </c>
      <c r="AS1" s="927"/>
      <c r="AT1" s="927"/>
      <c r="AU1" s="927"/>
      <c r="AV1" s="928"/>
      <c r="AW1" s="917" t="s">
        <v>565</v>
      </c>
      <c r="AX1" s="918"/>
      <c r="AY1" s="918"/>
      <c r="AZ1" s="919" t="s">
        <v>564</v>
      </c>
      <c r="BA1" s="919"/>
      <c r="BB1" s="919"/>
    </row>
    <row r="2" spans="1:82" ht="15" customHeight="1">
      <c r="A2" s="941"/>
      <c r="B2" s="533"/>
      <c r="C2" s="941"/>
      <c r="D2" s="941"/>
      <c r="E2" s="627"/>
      <c r="F2" s="625" t="s">
        <v>575</v>
      </c>
      <c r="G2" s="625" t="s">
        <v>602</v>
      </c>
      <c r="H2" s="625" t="s">
        <v>611</v>
      </c>
      <c r="I2" s="948"/>
      <c r="J2" s="946"/>
      <c r="K2" s="513" t="s">
        <v>78</v>
      </c>
      <c r="L2" s="514" t="s">
        <v>77</v>
      </c>
      <c r="M2" s="514" t="s">
        <v>76</v>
      </c>
      <c r="N2" s="514" t="s">
        <v>74</v>
      </c>
      <c r="O2" s="514" t="s">
        <v>75</v>
      </c>
      <c r="P2" s="515" t="s">
        <v>83</v>
      </c>
      <c r="Q2" s="515" t="s">
        <v>82</v>
      </c>
      <c r="R2" s="515" t="s">
        <v>81</v>
      </c>
      <c r="S2" s="515" t="s">
        <v>80</v>
      </c>
      <c r="T2" s="515" t="s">
        <v>79</v>
      </c>
      <c r="U2" s="516" t="s">
        <v>89</v>
      </c>
      <c r="V2" s="516" t="s">
        <v>88</v>
      </c>
      <c r="W2" s="516" t="s">
        <v>87</v>
      </c>
      <c r="X2" s="516" t="s">
        <v>86</v>
      </c>
      <c r="Y2" s="516" t="s">
        <v>85</v>
      </c>
      <c r="Z2" s="517" t="s">
        <v>95</v>
      </c>
      <c r="AA2" s="517" t="s">
        <v>94</v>
      </c>
      <c r="AB2" s="517" t="s">
        <v>93</v>
      </c>
      <c r="AC2" s="517" t="s">
        <v>92</v>
      </c>
      <c r="AD2" s="517" t="s">
        <v>91</v>
      </c>
      <c r="AE2" s="518" t="s">
        <v>96</v>
      </c>
      <c r="AF2" s="518" t="s">
        <v>97</v>
      </c>
      <c r="AG2" s="518" t="s">
        <v>98</v>
      </c>
      <c r="AH2" s="519" t="s">
        <v>99</v>
      </c>
      <c r="AI2" s="519" t="s">
        <v>100</v>
      </c>
      <c r="AJ2" s="519" t="s">
        <v>101</v>
      </c>
      <c r="AK2" s="520"/>
      <c r="AL2" s="521"/>
      <c r="AM2" s="522" t="s">
        <v>107</v>
      </c>
      <c r="AN2" s="522" t="s">
        <v>106</v>
      </c>
      <c r="AO2" s="522" t="s">
        <v>104</v>
      </c>
      <c r="AP2" s="522" t="s">
        <v>103</v>
      </c>
      <c r="AQ2" s="522" t="s">
        <v>102</v>
      </c>
      <c r="AR2" s="516" t="s">
        <v>89</v>
      </c>
      <c r="AS2" s="516" t="s">
        <v>88</v>
      </c>
      <c r="AT2" s="516" t="s">
        <v>87</v>
      </c>
      <c r="AU2" s="516" t="s">
        <v>86</v>
      </c>
      <c r="AV2" s="516" t="s">
        <v>85</v>
      </c>
      <c r="AW2" s="557" t="s">
        <v>566</v>
      </c>
      <c r="AX2" s="557" t="s">
        <v>567</v>
      </c>
      <c r="AY2" s="557" t="s">
        <v>568</v>
      </c>
      <c r="AZ2" s="519" t="s">
        <v>99</v>
      </c>
      <c r="BA2" s="519" t="s">
        <v>100</v>
      </c>
      <c r="BB2" s="519" t="s">
        <v>101</v>
      </c>
    </row>
    <row r="3" spans="1:82" ht="15" customHeight="1">
      <c r="A3" s="449">
        <v>2015</v>
      </c>
      <c r="B3" s="449"/>
      <c r="C3" s="449"/>
      <c r="D3" s="441"/>
      <c r="E3" s="641" t="s">
        <v>576</v>
      </c>
      <c r="F3" s="641" t="s">
        <v>576</v>
      </c>
      <c r="G3" s="631" t="s">
        <v>599</v>
      </c>
      <c r="H3" s="631" t="s">
        <v>612</v>
      </c>
      <c r="I3" s="441"/>
      <c r="J3" s="436" t="s">
        <v>73</v>
      </c>
      <c r="K3" s="442">
        <f>'First Draft'!C570</f>
        <v>23504</v>
      </c>
      <c r="L3" s="442">
        <f>'First Draft'!D570</f>
        <v>16927</v>
      </c>
      <c r="M3" s="442">
        <f>'First Draft'!E570</f>
        <v>15580</v>
      </c>
      <c r="N3" s="442">
        <f>'First Draft'!F570</f>
        <v>20669</v>
      </c>
      <c r="O3" s="442">
        <f>'First Draft'!G570</f>
        <v>79957</v>
      </c>
      <c r="P3" s="442">
        <f>'First Draft'!C574</f>
        <v>-7172</v>
      </c>
      <c r="Q3" s="442">
        <f>'First Draft'!D574</f>
        <v>-5689</v>
      </c>
      <c r="R3" s="442">
        <f>'First Draft'!E574</f>
        <v>-4744</v>
      </c>
      <c r="S3" s="442">
        <f>'First Draft'!F574</f>
        <v>5522</v>
      </c>
      <c r="T3" s="442">
        <f>'First Draft'!G574</f>
        <v>1443</v>
      </c>
      <c r="U3" s="443">
        <f>'First Draft'!C573</f>
        <v>52949</v>
      </c>
      <c r="V3" s="443">
        <f>'First Draft'!D573</f>
        <v>51268</v>
      </c>
      <c r="W3" s="443">
        <f>'First Draft'!E573</f>
        <v>50341</v>
      </c>
      <c r="X3" s="443">
        <f>'First Draft'!F573</f>
        <v>56863</v>
      </c>
      <c r="Y3" s="443">
        <f>'First Draft'!G573</f>
        <v>75714</v>
      </c>
      <c r="Z3" s="443">
        <f>'First Draft'!C567</f>
        <v>39123</v>
      </c>
      <c r="AA3" s="443">
        <f>'First Draft'!D567</f>
        <v>44614</v>
      </c>
      <c r="AB3" s="443">
        <f>'First Draft'!E567</f>
        <v>49376</v>
      </c>
      <c r="AC3" s="443">
        <f>'First Draft'!F567</f>
        <v>60642</v>
      </c>
      <c r="AD3" s="443">
        <f>'First Draft'!G567</f>
        <v>66469</v>
      </c>
      <c r="AE3" s="61">
        <f>T3/AD3</f>
        <v>2.1709368276941129E-2</v>
      </c>
      <c r="AF3" s="61">
        <f>S3/AC3</f>
        <v>9.1059002011807E-2</v>
      </c>
      <c r="AG3" s="61">
        <f>R3/AB3</f>
        <v>-9.6079066753078424E-2</v>
      </c>
      <c r="AH3" s="61">
        <f>T3/AQ3</f>
        <v>-0.15608436992969171</v>
      </c>
      <c r="AI3" s="61">
        <f>S3/AP3</f>
        <v>1.461233130457793</v>
      </c>
      <c r="AJ3" s="61">
        <f>R3/AO3</f>
        <v>4.916062176165803</v>
      </c>
      <c r="AK3" s="434"/>
      <c r="AL3" s="434"/>
      <c r="AM3" s="443">
        <f>'First Draft'!C578</f>
        <v>-13826</v>
      </c>
      <c r="AN3" s="443">
        <f>'First Draft'!D578</f>
        <v>-6654</v>
      </c>
      <c r="AO3" s="443">
        <f>'First Draft'!E578</f>
        <v>-965</v>
      </c>
      <c r="AP3" s="443">
        <f>'First Draft'!F578</f>
        <v>3779</v>
      </c>
      <c r="AQ3" s="443">
        <f>'First Draft'!G578</f>
        <v>-9245</v>
      </c>
      <c r="AR3" s="591">
        <f>'First Draft'!C571</f>
        <v>42791</v>
      </c>
      <c r="AS3" s="591">
        <f>'First Draft'!D571</f>
        <v>42995</v>
      </c>
      <c r="AT3" s="591">
        <f>'First Draft'!E571</f>
        <v>41491</v>
      </c>
      <c r="AU3" s="591">
        <f>'First Draft'!F571</f>
        <v>44854</v>
      </c>
      <c r="AV3" s="591">
        <f>'First Draft'!G571</f>
        <v>6224</v>
      </c>
      <c r="AW3" s="553">
        <f>T3/AV3</f>
        <v>0.23184447300771208</v>
      </c>
      <c r="AX3" s="553">
        <f>S3/AU3</f>
        <v>0.1231105364070094</v>
      </c>
      <c r="AY3" s="553">
        <f>R3/AT3</f>
        <v>-0.11433804921549251</v>
      </c>
      <c r="AZ3" s="538">
        <f>((AQ3/(AQ3+Y3))*AH3)+(Y3/(AQ3+Y3))*AW3</f>
        <v>0.28580048487724974</v>
      </c>
      <c r="BA3" s="538">
        <f>((AP3/(AP3+X3))*AI3)+(X3/(AP3+X3))*AX3</f>
        <v>0.20649771497826219</v>
      </c>
      <c r="BB3" s="455">
        <f>((AO3/(AO3+W3))*AJ3)+(W3/(AO3+W3))*AY3</f>
        <v>-0.21265172828007753</v>
      </c>
    </row>
    <row r="4" spans="1:82" ht="15" customHeight="1">
      <c r="A4" s="449">
        <v>2014</v>
      </c>
      <c r="B4" s="449"/>
      <c r="C4" s="449"/>
      <c r="D4" s="441"/>
      <c r="E4" s="641" t="s">
        <v>626</v>
      </c>
      <c r="F4" s="642" t="s">
        <v>577</v>
      </c>
      <c r="G4" s="631" t="s">
        <v>600</v>
      </c>
      <c r="H4" s="631" t="s">
        <v>613</v>
      </c>
      <c r="I4" s="441"/>
      <c r="J4" s="437" t="s">
        <v>137</v>
      </c>
      <c r="K4" s="444">
        <f>'First Draft'!C581</f>
        <v>258983.070565976</v>
      </c>
      <c r="L4" s="444">
        <f>'First Draft'!D581</f>
        <v>260412.52752775</v>
      </c>
      <c r="M4" s="444">
        <f>'First Draft'!E581</f>
        <v>277798.744423047</v>
      </c>
      <c r="N4" s="444">
        <f>'First Draft'!F581</f>
        <v>261098.935228363</v>
      </c>
      <c r="O4" s="444">
        <f>'First Draft'!G581</f>
        <v>313850.16148057597</v>
      </c>
      <c r="P4" s="444">
        <f>'First Draft'!C586</f>
        <v>30923.629855789201</v>
      </c>
      <c r="Q4" s="444">
        <f>'First Draft'!D586</f>
        <v>948.95591109991096</v>
      </c>
      <c r="R4" s="444">
        <f>'First Draft'!E586</f>
        <v>25845.402300328002</v>
      </c>
      <c r="S4" s="444">
        <f>'First Draft'!F586</f>
        <v>21129.610657051198</v>
      </c>
      <c r="T4" s="444">
        <f>'First Draft'!G586</f>
        <v>10074.342009186699</v>
      </c>
      <c r="U4" s="443">
        <f>'First Draft'!C585</f>
        <v>178630.57325782612</v>
      </c>
      <c r="V4" s="443">
        <f>'First Draft'!D585</f>
        <v>199844.89446003718</v>
      </c>
      <c r="W4" s="443">
        <f>'First Draft'!E585</f>
        <v>214593.86519747999</v>
      </c>
      <c r="X4" s="443">
        <f>'First Draft'!F585</f>
        <v>100559.35857063538</v>
      </c>
      <c r="Y4" s="443">
        <f>'First Draft'!G585</f>
        <v>98820.887215465351</v>
      </c>
      <c r="Z4" s="443">
        <f>'First Draft'!C584</f>
        <v>311065</v>
      </c>
      <c r="AA4" s="443">
        <f>'First Draft'!D584</f>
        <v>296910</v>
      </c>
      <c r="AB4" s="443">
        <f>'First Draft'!E584</f>
        <v>277876</v>
      </c>
      <c r="AC4" s="443">
        <f>'First Draft'!F584</f>
        <v>299663</v>
      </c>
      <c r="AD4" s="443">
        <f>'First Draft'!G584</f>
        <v>336351</v>
      </c>
      <c r="AE4" s="61">
        <f>T4/AD4</f>
        <v>2.995187173276339E-2</v>
      </c>
      <c r="AF4" s="61">
        <f t="shared" ref="AF4:AF46" si="0">S4/AC4</f>
        <v>7.0511243153312878E-2</v>
      </c>
      <c r="AG4" s="61">
        <f t="shared" ref="AG4:AG46" si="1">R4/AB4</f>
        <v>9.3010559747254182E-2</v>
      </c>
      <c r="AH4" s="61">
        <f t="shared" ref="AH4:AH46" si="2">T4/AQ4</f>
        <v>4.2412966241765854E-2</v>
      </c>
      <c r="AI4" s="61">
        <f t="shared" ref="AI4:AI46" si="3">S4/AP4</f>
        <v>0.10612374851200412</v>
      </c>
      <c r="AJ4" s="61">
        <f t="shared" ref="AJ4:AJ46" si="4">R4/AO4</f>
        <v>0.40841225426890526</v>
      </c>
      <c r="AK4" s="434"/>
      <c r="AL4" s="434"/>
      <c r="AM4" s="443">
        <f>'First Draft'!C590</f>
        <v>132434.836148545</v>
      </c>
      <c r="AN4" s="443">
        <f>'First Draft'!D590</f>
        <v>97065.3126754314</v>
      </c>
      <c r="AO4" s="443">
        <f>'First Draft'!E590</f>
        <v>63282.631777524897</v>
      </c>
      <c r="AP4" s="443">
        <f>'First Draft'!F590</f>
        <v>199103.50843535399</v>
      </c>
      <c r="AQ4" s="443">
        <f>'First Draft'!G590</f>
        <v>237529.76747158199</v>
      </c>
      <c r="AR4" s="534">
        <f>'First Draft'!C582</f>
        <v>8047.86848848313</v>
      </c>
      <c r="AS4" s="534">
        <f>'First Draft'!D582</f>
        <v>7355.5684038251602</v>
      </c>
      <c r="AT4" s="534">
        <f>'First Draft'!E582</f>
        <v>0</v>
      </c>
      <c r="AU4" s="534">
        <f>'First Draft'!F582</f>
        <v>7.9407809823751396</v>
      </c>
      <c r="AV4" s="534">
        <f>'First Draft'!G582</f>
        <v>59.374999433755903</v>
      </c>
      <c r="AW4" s="553">
        <f t="shared" ref="AW4:AW13" si="5">T4/AV4</f>
        <v>169.67313019390497</v>
      </c>
      <c r="AX4" s="553">
        <f t="shared" ref="AX4:AX21" si="6">S4/AU4</f>
        <v>2660.8983050847464</v>
      </c>
      <c r="AY4" s="553" t="e">
        <f t="shared" ref="AY4:AY21" si="7">R4/AT4</f>
        <v>#DIV/0!</v>
      </c>
      <c r="AZ4" s="538">
        <f t="shared" ref="AZ4:AZ21" si="8">((AQ4/(AQ4+Y4))*AH4)+(Y4/(AQ4+Y4))*AW4</f>
        <v>49.880454729622144</v>
      </c>
      <c r="BA4" s="538">
        <f t="shared" ref="BA4:BA21" si="9">((AP4/(AP4+X4))*AI4)+(X4/(AP4+X4))*AX4</f>
        <v>893.00138874504432</v>
      </c>
      <c r="BB4" s="455" t="e">
        <f t="shared" ref="BB4:BB21" si="10">((AO4/(AO4+W4))*AJ4)+(W4/(AO4+W4))*AY4</f>
        <v>#DIV/0!</v>
      </c>
      <c r="BI4" s="529" t="s">
        <v>347</v>
      </c>
      <c r="BJ4" s="530">
        <v>2002</v>
      </c>
      <c r="BK4" s="530">
        <v>2003</v>
      </c>
      <c r="BL4" s="530">
        <v>2004</v>
      </c>
      <c r="BM4" s="531">
        <v>2005</v>
      </c>
      <c r="BN4" s="530">
        <v>2006</v>
      </c>
      <c r="BO4" s="530">
        <v>2007</v>
      </c>
      <c r="BP4" s="530">
        <v>2008</v>
      </c>
      <c r="BQ4" s="530">
        <v>2009</v>
      </c>
      <c r="BR4" s="530">
        <v>2010</v>
      </c>
      <c r="BS4" s="530">
        <v>2011</v>
      </c>
      <c r="BT4" s="530">
        <v>2012</v>
      </c>
      <c r="BU4" s="530">
        <v>2013</v>
      </c>
      <c r="BV4" s="530">
        <v>2014</v>
      </c>
      <c r="BW4" s="530">
        <v>2015</v>
      </c>
      <c r="BX4" s="530">
        <v>2016</v>
      </c>
      <c r="BY4" s="530">
        <v>2017</v>
      </c>
      <c r="BZ4" s="530">
        <v>2018</v>
      </c>
      <c r="CA4" s="530">
        <v>2019</v>
      </c>
      <c r="CB4" s="530">
        <v>2020</v>
      </c>
      <c r="CC4" s="530">
        <v>2021</v>
      </c>
      <c r="CD4" s="530">
        <v>2022</v>
      </c>
    </row>
    <row r="5" spans="1:82" ht="15" customHeight="1">
      <c r="A5" s="449">
        <v>2014</v>
      </c>
      <c r="B5" s="449"/>
      <c r="C5" s="449"/>
      <c r="D5" s="441"/>
      <c r="E5" s="641" t="s">
        <v>627</v>
      </c>
      <c r="F5" s="641" t="s">
        <v>578</v>
      </c>
      <c r="G5" s="640" t="s">
        <v>601</v>
      </c>
      <c r="H5" s="640" t="s">
        <v>614</v>
      </c>
      <c r="I5" s="441"/>
      <c r="J5" s="437" t="s">
        <v>139</v>
      </c>
      <c r="K5" s="445">
        <f>'First Draft'!C595</f>
        <v>131357.49144222599</v>
      </c>
      <c r="L5" s="445">
        <f>'First Draft'!D595</f>
        <v>87087.122476711898</v>
      </c>
      <c r="M5" s="445">
        <f>'First Draft'!E595</f>
        <v>88488.306511670395</v>
      </c>
      <c r="N5" s="445">
        <f>'First Draft'!F595</f>
        <v>65058.549409583204</v>
      </c>
      <c r="O5" s="445">
        <f>'First Draft'!G595</f>
        <v>22389.473470687899</v>
      </c>
      <c r="P5" s="445">
        <f>'First Draft'!C599</f>
        <v>-18751.522615924499</v>
      </c>
      <c r="Q5" s="445">
        <f>'First Draft'!D599</f>
        <v>-25795.1274641454</v>
      </c>
      <c r="R5" s="445">
        <f>'First Draft'!E599</f>
        <v>-57097.955429300702</v>
      </c>
      <c r="S5" s="445">
        <f>'First Draft'!F599</f>
        <v>-93981.834716573401</v>
      </c>
      <c r="T5" s="445">
        <f>'First Draft'!G599</f>
        <v>-101304.439823359</v>
      </c>
      <c r="U5" s="443">
        <f>'First Draft'!C598</f>
        <v>24445.432506971065</v>
      </c>
      <c r="V5" s="443">
        <f>'First Draft'!D598</f>
        <v>19589.443044528318</v>
      </c>
      <c r="W5" s="443">
        <f>'First Draft'!E598</f>
        <v>348683.19212718261</v>
      </c>
      <c r="X5" s="443">
        <f>'First Draft'!F598</f>
        <v>391912.26557332324</v>
      </c>
      <c r="Y5" s="443">
        <f>'First Draft'!G598</f>
        <v>488517.26507797849</v>
      </c>
      <c r="Z5" s="443">
        <f>'First Draft'!C593</f>
        <v>459800.48923192901</v>
      </c>
      <c r="AA5" s="443">
        <f>'First Draft'!D593</f>
        <v>452920.87910589599</v>
      </c>
      <c r="AB5" s="443">
        <f>'First Draft'!E593</f>
        <v>473128.36492972099</v>
      </c>
      <c r="AC5" s="443">
        <f>'First Draft'!F593</f>
        <v>607718.19738379098</v>
      </c>
      <c r="AD5" s="443">
        <f>'First Draft'!G593</f>
        <v>672849.00674110698</v>
      </c>
      <c r="AE5" s="61">
        <f t="shared" ref="AE5:AE46" si="11">T5/AD5</f>
        <v>-0.15056043600929034</v>
      </c>
      <c r="AF5" s="61">
        <f t="shared" si="0"/>
        <v>-0.15464706359158314</v>
      </c>
      <c r="AG5" s="61">
        <f t="shared" si="1"/>
        <v>-0.12068174233811177</v>
      </c>
      <c r="AH5" s="61">
        <f t="shared" si="2"/>
        <v>-0.54957675172676457</v>
      </c>
      <c r="AI5" s="61">
        <f t="shared" si="3"/>
        <v>-0.43549236078975412</v>
      </c>
      <c r="AJ5" s="61">
        <f t="shared" si="4"/>
        <v>-0.45882017071003833</v>
      </c>
      <c r="AK5" s="434"/>
      <c r="AL5" s="434"/>
      <c r="AM5" s="443">
        <f>'First Draft'!C603</f>
        <v>435355.05672495801</v>
      </c>
      <c r="AN5" s="443">
        <f>'First Draft'!D603</f>
        <v>433331.43606136699</v>
      </c>
      <c r="AO5" s="443">
        <f>'First Draft'!E603</f>
        <v>124445.172802538</v>
      </c>
      <c r="AP5" s="443">
        <f>'First Draft'!F603</f>
        <v>215805.931810468</v>
      </c>
      <c r="AQ5" s="443">
        <f>'First Draft'!G603</f>
        <v>184331.74166312799</v>
      </c>
      <c r="AR5" s="534">
        <f>'First Draft'!C596</f>
        <v>392.93544630706299</v>
      </c>
      <c r="AS5" s="534">
        <f>'First Draft'!D596</f>
        <v>339.79118137061602</v>
      </c>
      <c r="AT5" s="534">
        <f>'First Draft'!E596</f>
        <v>331215.54216979403</v>
      </c>
      <c r="AU5" s="534">
        <f>'First Draft'!F596</f>
        <v>337466.23347291397</v>
      </c>
      <c r="AV5" s="534">
        <f>'First Draft'!G596</f>
        <v>469905.75209757697</v>
      </c>
      <c r="AW5" s="553">
        <f t="shared" si="5"/>
        <v>-0.21558459195520321</v>
      </c>
      <c r="AX5" s="553">
        <f t="shared" si="6"/>
        <v>-0.2784925583498909</v>
      </c>
      <c r="AY5" s="553">
        <f t="shared" si="7"/>
        <v>-0.17238911874500762</v>
      </c>
      <c r="AZ5" s="538">
        <f t="shared" si="8"/>
        <v>-0.30708410506395967</v>
      </c>
      <c r="BA5" s="538">
        <f t="shared" si="9"/>
        <v>-0.33424453155960038</v>
      </c>
      <c r="BB5" s="455">
        <f t="shared" si="10"/>
        <v>-0.24772800011411714</v>
      </c>
      <c r="BI5" s="528" t="s">
        <v>346</v>
      </c>
      <c r="BJ5" s="254">
        <v>0.12554599999999999</v>
      </c>
      <c r="BK5" s="254">
        <v>0.141177</v>
      </c>
      <c r="BL5" s="254">
        <v>0.14866199999999999</v>
      </c>
      <c r="BM5" s="532">
        <v>0.15548899999999999</v>
      </c>
      <c r="BN5" s="433">
        <v>0.156108</v>
      </c>
      <c r="BO5" s="433">
        <v>0.17111199999999999</v>
      </c>
      <c r="BP5" s="433">
        <v>0.179786</v>
      </c>
      <c r="BQ5" s="433">
        <v>0.15977</v>
      </c>
      <c r="BR5" s="433">
        <v>0.165661</v>
      </c>
      <c r="BS5" s="433">
        <v>0.178596</v>
      </c>
      <c r="BT5" s="433">
        <v>0.17192399999999999</v>
      </c>
      <c r="BU5" s="433">
        <v>0.170267</v>
      </c>
      <c r="BV5" s="433">
        <v>0.159195</v>
      </c>
      <c r="BW5" s="433">
        <v>0.124226</v>
      </c>
      <c r="BX5" s="254">
        <v>0.11905300000000001</v>
      </c>
      <c r="BY5" s="254">
        <v>0.12106600000000001</v>
      </c>
      <c r="BZ5" s="254">
        <v>0.122946</v>
      </c>
      <c r="CA5" s="254">
        <v>0.113701</v>
      </c>
      <c r="CB5" s="254">
        <v>0.10663499999999999</v>
      </c>
      <c r="CC5" s="254">
        <v>0.116379</v>
      </c>
      <c r="CD5" s="254">
        <v>0.112745</v>
      </c>
    </row>
    <row r="6" spans="1:82" ht="15" customHeight="1">
      <c r="A6" s="449">
        <v>2014</v>
      </c>
      <c r="B6" s="449"/>
      <c r="C6" s="449"/>
      <c r="D6" s="441"/>
      <c r="E6" s="641" t="s">
        <v>628</v>
      </c>
      <c r="F6" s="642" t="s">
        <v>579</v>
      </c>
      <c r="G6" s="640" t="s">
        <v>603</v>
      </c>
      <c r="H6" s="640" t="s">
        <v>615</v>
      </c>
      <c r="I6" s="441"/>
      <c r="J6" s="437" t="s">
        <v>140</v>
      </c>
      <c r="K6" s="444">
        <f>'First Draft'!C611</f>
        <v>100182.704459876</v>
      </c>
      <c r="L6" s="444">
        <f>'First Draft'!D611</f>
        <v>104512.760429084</v>
      </c>
      <c r="M6" s="444">
        <f>'First Draft'!E611</f>
        <v>97423.380066454396</v>
      </c>
      <c r="N6" s="444">
        <f>'First Draft'!F611</f>
        <v>99407.810738682703</v>
      </c>
      <c r="O6" s="444">
        <f>'First Draft'!G611</f>
        <v>126611.840897799</v>
      </c>
      <c r="P6" s="444">
        <f>'First Draft'!C615</f>
        <v>171376.37103349</v>
      </c>
      <c r="Q6" s="444">
        <f>'First Draft'!D615</f>
        <v>113387.47035562999</v>
      </c>
      <c r="R6" s="444">
        <f>'First Draft'!E615</f>
        <v>75936.433956027002</v>
      </c>
      <c r="S6" s="444">
        <f>'First Draft'!F615</f>
        <v>17456.259210407701</v>
      </c>
      <c r="T6" s="444">
        <f>'First Draft'!G615</f>
        <v>-47302.631127834298</v>
      </c>
      <c r="U6" s="443">
        <f>'First Draft'!C614</f>
        <v>964847.75089174509</v>
      </c>
      <c r="V6" s="443">
        <f>'First Draft'!D614</f>
        <v>909779.577215016</v>
      </c>
      <c r="W6" s="443">
        <f>'First Draft'!E614</f>
        <v>1222236.0645666721</v>
      </c>
      <c r="X6" s="443">
        <f>'First Draft'!F614</f>
        <v>1449623.2157096257</v>
      </c>
      <c r="Y6" s="443">
        <f>'First Draft'!G614</f>
        <v>1642944.0632790311</v>
      </c>
      <c r="Z6" s="443">
        <f>'First Draft'!C609</f>
        <v>1897222.90724367</v>
      </c>
      <c r="AA6" s="443">
        <f>'First Draft'!D609</f>
        <v>1662552.1947622299</v>
      </c>
      <c r="AB6" s="443">
        <f>'First Draft'!E609</f>
        <v>1878036.27506644</v>
      </c>
      <c r="AC6" s="443">
        <f>'First Draft'!F609</f>
        <v>2161628.6318615102</v>
      </c>
      <c r="AD6" s="443">
        <f>'First Draft'!G609</f>
        <v>2474753.2658726</v>
      </c>
      <c r="AE6" s="61">
        <f t="shared" si="11"/>
        <v>-1.9114079686305758E-2</v>
      </c>
      <c r="AF6" s="61">
        <f t="shared" si="0"/>
        <v>8.0755125802414313E-3</v>
      </c>
      <c r="AG6" s="61">
        <f t="shared" si="1"/>
        <v>4.0433954851772272E-2</v>
      </c>
      <c r="AH6" s="61">
        <f t="shared" si="2"/>
        <v>-5.6867164946415125E-2</v>
      </c>
      <c r="AI6" s="61">
        <f t="shared" si="3"/>
        <v>2.4517031492193073E-2</v>
      </c>
      <c r="AJ6" s="61">
        <f t="shared" si="4"/>
        <v>0.11579202436998065</v>
      </c>
      <c r="AK6" s="434"/>
      <c r="AL6" s="434"/>
      <c r="AM6" s="443">
        <f>'First Draft'!C619</f>
        <v>932375.15635192394</v>
      </c>
      <c r="AN6" s="443">
        <f>'First Draft'!D619</f>
        <v>752772.61754721403</v>
      </c>
      <c r="AO6" s="443">
        <f>'First Draft'!E619</f>
        <v>655800.21049976302</v>
      </c>
      <c r="AP6" s="443">
        <f>'First Draft'!F619</f>
        <v>712005.41615188099</v>
      </c>
      <c r="AQ6" s="443">
        <f>'First Draft'!G619</f>
        <v>831809.20259356499</v>
      </c>
      <c r="AR6" s="534">
        <f>'First Draft'!C612</f>
        <v>945481.124740839</v>
      </c>
      <c r="AS6" s="534">
        <f>'First Draft'!D612</f>
        <v>884466.35230034601</v>
      </c>
      <c r="AT6" s="534">
        <f>'First Draft'!E612</f>
        <v>634982.95790255105</v>
      </c>
      <c r="AU6" s="534">
        <f>'First Draft'!F612</f>
        <v>1415047.1710592499</v>
      </c>
      <c r="AV6" s="534">
        <f>'First Draft'!G612</f>
        <v>1592088.8006061299</v>
      </c>
      <c r="AW6" s="553">
        <f t="shared" si="5"/>
        <v>-2.9711050733995204E-2</v>
      </c>
      <c r="AX6" s="553">
        <f t="shared" si="6"/>
        <v>1.2336167703399327E-2</v>
      </c>
      <c r="AY6" s="553">
        <f t="shared" si="7"/>
        <v>0.11958814486432365</v>
      </c>
      <c r="AZ6" s="538">
        <f t="shared" si="8"/>
        <v>-3.8838710456714283E-2</v>
      </c>
      <c r="BA6" s="538">
        <f t="shared" si="9"/>
        <v>1.6348346698068162E-2</v>
      </c>
      <c r="BB6" s="455">
        <f t="shared" si="10"/>
        <v>0.1182625599156599</v>
      </c>
    </row>
    <row r="7" spans="1:82" ht="15" customHeight="1">
      <c r="A7" s="680">
        <v>2014</v>
      </c>
      <c r="B7" s="680"/>
      <c r="C7" s="680"/>
      <c r="D7" s="760"/>
      <c r="E7" s="731" t="s">
        <v>629</v>
      </c>
      <c r="F7" s="729" t="s">
        <v>580</v>
      </c>
      <c r="G7" s="728" t="s">
        <v>604</v>
      </c>
      <c r="H7" s="728" t="s">
        <v>616</v>
      </c>
      <c r="I7" s="760"/>
      <c r="J7" s="770" t="s">
        <v>141</v>
      </c>
      <c r="K7" s="722">
        <f>'First Draft'!C626</f>
        <v>30981.486128881599</v>
      </c>
      <c r="L7" s="722">
        <f>'First Draft'!D626</f>
        <v>24669.9534565955</v>
      </c>
      <c r="M7" s="722">
        <f>'First Draft'!E626</f>
        <v>29732.121839225299</v>
      </c>
      <c r="N7" s="722">
        <f>'First Draft'!F626</f>
        <v>33803.500873446501</v>
      </c>
      <c r="O7" s="722">
        <f>'First Draft'!G626</f>
        <v>36369.900968939102</v>
      </c>
      <c r="P7" s="722">
        <f>'First Draft'!C630</f>
        <v>4548.8428945392398</v>
      </c>
      <c r="Q7" s="722">
        <f>'First Draft'!D630</f>
        <v>870.18560992181301</v>
      </c>
      <c r="R7" s="722">
        <f>'First Draft'!E630</f>
        <v>857.88874116540001</v>
      </c>
      <c r="S7" s="722">
        <f>'First Draft'!F630</f>
        <v>590.71335138380505</v>
      </c>
      <c r="T7" s="722">
        <f>'First Draft'!G630</f>
        <v>2957.8947086334201</v>
      </c>
      <c r="U7" s="756">
        <f>'First Draft'!C629</f>
        <v>8261.8757975846493</v>
      </c>
      <c r="V7" s="756">
        <f>'First Draft'!D629</f>
        <v>18294.8954880536</v>
      </c>
      <c r="W7" s="756">
        <f>'First Draft'!E629</f>
        <v>15338.478614866701</v>
      </c>
      <c r="X7" s="756">
        <f>'First Draft'!F629</f>
        <v>15509.018206119501</v>
      </c>
      <c r="Y7" s="756">
        <f>'First Draft'!G629</f>
        <v>16248.190634518902</v>
      </c>
      <c r="Z7" s="756">
        <f>'First Draft'!C624</f>
        <v>15161.0232091546</v>
      </c>
      <c r="AA7" s="756">
        <f>'First Draft'!D624</f>
        <v>19642.4592855275</v>
      </c>
      <c r="AB7" s="756">
        <f>'First Draft'!E624</f>
        <v>17094.437707990401</v>
      </c>
      <c r="AC7" s="756">
        <f>'First Draft'!F624</f>
        <v>17467.16096057</v>
      </c>
      <c r="AD7" s="756">
        <f>'First Draft'!G624</f>
        <v>18385.1971930861</v>
      </c>
      <c r="AE7" s="766">
        <f t="shared" si="11"/>
        <v>0.16088457891252644</v>
      </c>
      <c r="AF7" s="766">
        <f t="shared" si="0"/>
        <v>3.381850964316805E-2</v>
      </c>
      <c r="AG7" s="766">
        <f t="shared" si="1"/>
        <v>5.0185256503897741E-2</v>
      </c>
      <c r="AH7" s="766">
        <f t="shared" si="2"/>
        <v>1.3841299161086698</v>
      </c>
      <c r="AI7" s="766">
        <f t="shared" si="3"/>
        <v>0.30167021788439063</v>
      </c>
      <c r="AJ7" s="766">
        <f t="shared" si="4"/>
        <v>0.4885900833925928</v>
      </c>
      <c r="AK7" s="751"/>
      <c r="AL7" s="751"/>
      <c r="AM7" s="756">
        <f>'First Draft'!C634</f>
        <v>6899.1474115699502</v>
      </c>
      <c r="AN7" s="756">
        <f>'First Draft'!D634</f>
        <v>1347.56379747391</v>
      </c>
      <c r="AO7" s="756">
        <f>'First Draft'!E634</f>
        <v>1755.8455857485501</v>
      </c>
      <c r="AP7" s="756">
        <f>'First Draft'!F634</f>
        <v>1958.14275445044</v>
      </c>
      <c r="AQ7" s="756">
        <f>'First Draft'!G634</f>
        <v>2137.0065585672901</v>
      </c>
      <c r="AR7" s="756">
        <f>'First Draft'!C627</f>
        <v>2187.3325309306401</v>
      </c>
      <c r="AS7" s="756">
        <f>'First Draft'!D627</f>
        <v>0</v>
      </c>
      <c r="AT7" s="756">
        <f>'First Draft'!E627</f>
        <v>0</v>
      </c>
      <c r="AU7" s="756">
        <f>'First Draft'!F627</f>
        <v>0</v>
      </c>
      <c r="AV7" s="756">
        <f>'First Draft'!G627</f>
        <v>0</v>
      </c>
      <c r="AW7" s="743" t="e">
        <f t="shared" si="5"/>
        <v>#DIV/0!</v>
      </c>
      <c r="AX7" s="743" t="e">
        <f t="shared" si="6"/>
        <v>#DIV/0!</v>
      </c>
      <c r="AY7" s="743" t="e">
        <f t="shared" si="7"/>
        <v>#DIV/0!</v>
      </c>
      <c r="AZ7" s="766" t="e">
        <f t="shared" si="8"/>
        <v>#DIV/0!</v>
      </c>
      <c r="BA7" s="766" t="e">
        <f t="shared" si="9"/>
        <v>#DIV/0!</v>
      </c>
      <c r="BB7" s="760" t="e">
        <f t="shared" si="10"/>
        <v>#DIV/0!</v>
      </c>
      <c r="BI7" s="529" t="s">
        <v>347</v>
      </c>
      <c r="BJ7" s="530">
        <v>2022</v>
      </c>
      <c r="BK7" s="530">
        <v>2021</v>
      </c>
      <c r="BL7" s="530">
        <v>2020</v>
      </c>
      <c r="BM7" s="530">
        <v>2019</v>
      </c>
      <c r="BN7" s="530">
        <v>2018</v>
      </c>
      <c r="BO7" s="530">
        <v>2017</v>
      </c>
      <c r="BP7" s="530">
        <v>2016</v>
      </c>
      <c r="BQ7" s="530">
        <v>2015</v>
      </c>
      <c r="BR7" s="530">
        <v>2014</v>
      </c>
      <c r="BS7" s="530">
        <v>2013</v>
      </c>
      <c r="BT7" s="530">
        <v>2012</v>
      </c>
      <c r="BU7" s="530">
        <v>2011</v>
      </c>
      <c r="BV7" s="530">
        <v>2010</v>
      </c>
      <c r="BW7" s="530">
        <v>2009</v>
      </c>
      <c r="BX7" s="530">
        <v>2008</v>
      </c>
      <c r="BY7" s="530">
        <v>2007</v>
      </c>
      <c r="BZ7" s="530">
        <v>2006</v>
      </c>
      <c r="CA7" s="530">
        <v>2005</v>
      </c>
      <c r="CB7" s="530">
        <v>2004</v>
      </c>
      <c r="CC7" s="530">
        <v>2003</v>
      </c>
      <c r="CD7" s="530">
        <v>2002</v>
      </c>
    </row>
    <row r="8" spans="1:82" ht="15" customHeight="1">
      <c r="A8" s="449">
        <v>2014</v>
      </c>
      <c r="B8" s="449"/>
      <c r="C8" s="449"/>
      <c r="D8" s="441"/>
      <c r="E8" s="641" t="s">
        <v>630</v>
      </c>
      <c r="F8" s="642" t="s">
        <v>581</v>
      </c>
      <c r="G8" s="640" t="s">
        <v>605</v>
      </c>
      <c r="H8" s="640" t="s">
        <v>617</v>
      </c>
      <c r="I8" s="441"/>
      <c r="J8" s="437" t="s">
        <v>142</v>
      </c>
      <c r="K8" s="446">
        <f>'First Draft'!C642</f>
        <v>463904</v>
      </c>
      <c r="L8" s="446">
        <f>'First Draft'!D642</f>
        <v>257808</v>
      </c>
      <c r="M8" s="446">
        <f>'First Draft'!E642</f>
        <v>190238</v>
      </c>
      <c r="N8" s="446">
        <f>'First Draft'!F642</f>
        <v>96715</v>
      </c>
      <c r="O8" s="446">
        <f>'First Draft'!G642</f>
        <v>37546</v>
      </c>
      <c r="P8" s="446">
        <f>'First Draft'!C646</f>
        <v>-2348</v>
      </c>
      <c r="Q8" s="446">
        <f>'First Draft'!D646</f>
        <v>-127711</v>
      </c>
      <c r="R8" s="446">
        <f>'First Draft'!E646</f>
        <v>-220839</v>
      </c>
      <c r="S8" s="446">
        <f>'First Draft'!F646</f>
        <v>15995</v>
      </c>
      <c r="T8" s="446">
        <f>'First Draft'!G646</f>
        <v>-3903</v>
      </c>
      <c r="U8" s="443">
        <f>'First Draft'!C645</f>
        <v>1376009</v>
      </c>
      <c r="V8" s="443">
        <f>'First Draft'!D645</f>
        <v>1122904</v>
      </c>
      <c r="W8" s="443">
        <f>'First Draft'!E645</f>
        <v>1020018</v>
      </c>
      <c r="X8" s="443">
        <f>'First Draft'!F645</f>
        <v>378467</v>
      </c>
      <c r="Y8" s="443">
        <f>'First Draft'!G645</f>
        <v>102417</v>
      </c>
      <c r="Z8" s="443">
        <f>'First Draft'!C640</f>
        <v>2870058</v>
      </c>
      <c r="AA8" s="443">
        <f>'First Draft'!D640</f>
        <v>2361623</v>
      </c>
      <c r="AB8" s="443">
        <f>'First Draft'!E640</f>
        <v>2178667</v>
      </c>
      <c r="AC8" s="443">
        <f>'First Draft'!F640</f>
        <v>1262740</v>
      </c>
      <c r="AD8" s="443">
        <f>'First Draft'!G640</f>
        <v>409858</v>
      </c>
      <c r="AE8" s="61">
        <f t="shared" si="11"/>
        <v>-9.5228103391906457E-3</v>
      </c>
      <c r="AF8" s="61">
        <f t="shared" si="0"/>
        <v>1.2666898965741165E-2</v>
      </c>
      <c r="AG8" s="61">
        <f t="shared" si="1"/>
        <v>-0.10136427457706937</v>
      </c>
      <c r="AH8" s="61">
        <f t="shared" si="2"/>
        <v>-1.2695118738229448E-2</v>
      </c>
      <c r="AI8" s="61">
        <f t="shared" si="3"/>
        <v>1.8088305308428507E-2</v>
      </c>
      <c r="AJ8" s="61">
        <f t="shared" si="4"/>
        <v>-0.19060043205491914</v>
      </c>
      <c r="AK8" s="434"/>
      <c r="AL8" s="434"/>
      <c r="AM8" s="443">
        <f>'First Draft'!C650</f>
        <v>1494049</v>
      </c>
      <c r="AN8" s="443">
        <f>'First Draft'!D650</f>
        <v>1238719</v>
      </c>
      <c r="AO8" s="443">
        <f>'First Draft'!E650</f>
        <v>1158649</v>
      </c>
      <c r="AP8" s="443">
        <f>'First Draft'!F650</f>
        <v>884273</v>
      </c>
      <c r="AQ8" s="443">
        <f>'First Draft'!G650</f>
        <v>307441</v>
      </c>
      <c r="AR8" s="534">
        <f>'First Draft'!C643</f>
        <v>1194282</v>
      </c>
      <c r="AS8" s="534">
        <f>'First Draft'!D643</f>
        <v>1079303</v>
      </c>
      <c r="AT8" s="534">
        <f>'First Draft'!E643</f>
        <v>939984</v>
      </c>
      <c r="AU8" s="534">
        <f>'First Draft'!F643</f>
        <v>343688</v>
      </c>
      <c r="AV8" s="534">
        <f>'First Draft'!G643</f>
        <v>95000</v>
      </c>
      <c r="AW8" s="553">
        <f t="shared" si="5"/>
        <v>-4.1084210526315793E-2</v>
      </c>
      <c r="AX8" s="553">
        <f t="shared" si="6"/>
        <v>4.6539303088848023E-2</v>
      </c>
      <c r="AY8" s="553">
        <f t="shared" si="7"/>
        <v>-0.23493910534647397</v>
      </c>
      <c r="AZ8" s="538">
        <f t="shared" si="8"/>
        <v>-1.9789101565600001E-2</v>
      </c>
      <c r="BA8" s="538">
        <f t="shared" si="9"/>
        <v>2.6615606080528886E-2</v>
      </c>
      <c r="BB8" s="455">
        <f t="shared" si="10"/>
        <v>-0.21135910919718326</v>
      </c>
      <c r="BI8" s="528" t="s">
        <v>346</v>
      </c>
      <c r="BJ8" s="254">
        <v>0.112745</v>
      </c>
      <c r="BK8" s="254">
        <v>0.116379</v>
      </c>
      <c r="BL8" s="254">
        <v>0.10663499999999999</v>
      </c>
      <c r="BM8" s="532">
        <v>0.113701</v>
      </c>
      <c r="BN8" s="433">
        <v>0.122946</v>
      </c>
      <c r="BO8" s="433">
        <v>0.12106600000000001</v>
      </c>
      <c r="BP8" s="433">
        <v>0.11905300000000001</v>
      </c>
      <c r="BQ8" s="433">
        <v>0.124226</v>
      </c>
      <c r="BR8" s="433">
        <v>0.159195</v>
      </c>
      <c r="BS8" s="433">
        <v>0.170267</v>
      </c>
      <c r="BT8" s="433">
        <v>0.17192399999999999</v>
      </c>
      <c r="BU8" s="433">
        <v>0.178596</v>
      </c>
      <c r="BV8" s="433">
        <v>0.165661</v>
      </c>
      <c r="BW8" s="433">
        <v>0.15977</v>
      </c>
      <c r="BX8" s="254">
        <v>0.179786</v>
      </c>
      <c r="BY8" s="254">
        <v>0.17111199999999999</v>
      </c>
      <c r="BZ8" s="254">
        <v>0.156108</v>
      </c>
      <c r="CA8" s="254">
        <v>0.15548899999999999</v>
      </c>
      <c r="CB8" s="254">
        <v>0.14866199999999999</v>
      </c>
      <c r="CC8" s="254">
        <v>0.141177</v>
      </c>
      <c r="CD8" s="254">
        <v>0.12554599999999999</v>
      </c>
    </row>
    <row r="9" spans="1:82" ht="15" customHeight="1">
      <c r="A9" s="449">
        <v>2014</v>
      </c>
      <c r="B9" s="449"/>
      <c r="C9" s="449"/>
      <c r="D9" s="441"/>
      <c r="E9" s="641" t="s">
        <v>626</v>
      </c>
      <c r="F9" s="642" t="s">
        <v>577</v>
      </c>
      <c r="G9" s="640" t="s">
        <v>600</v>
      </c>
      <c r="H9" s="640" t="s">
        <v>613</v>
      </c>
      <c r="I9" s="441"/>
      <c r="J9" s="437" t="s">
        <v>143</v>
      </c>
      <c r="K9" s="446">
        <f>'First Draft'!C690</f>
        <v>8159.6833489015698</v>
      </c>
      <c r="L9" s="446">
        <f>'First Draft'!D690</f>
        <v>5861.4848856031904</v>
      </c>
      <c r="M9" s="446">
        <f>'First Draft'!E690</f>
        <v>6901.0213926136503</v>
      </c>
      <c r="N9" s="446">
        <f>'First Draft'!F690</f>
        <v>4597.9813678115597</v>
      </c>
      <c r="O9" s="446">
        <f>'First Draft'!G690</f>
        <v>3603.6183866858501</v>
      </c>
      <c r="P9" s="446">
        <f>'First Draft'!C694</f>
        <v>-2115.5907522961502</v>
      </c>
      <c r="Q9" s="446">
        <f>'First Draft'!D694</f>
        <v>-3649.8839700520002</v>
      </c>
      <c r="R9" s="446">
        <f>'First Draft'!E694</f>
        <v>-2151.53229542077</v>
      </c>
      <c r="S9" s="446">
        <f>'First Draft'!F694</f>
        <v>-27914.8061222285</v>
      </c>
      <c r="T9" s="446">
        <f>'First Draft'!G694</f>
        <v>-10546.5459520519</v>
      </c>
      <c r="U9" s="443">
        <f>'First Draft'!C693</f>
        <v>37774.665208682403</v>
      </c>
      <c r="V9" s="443">
        <f>'First Draft'!D693</f>
        <v>69127.029770985202</v>
      </c>
      <c r="W9" s="443">
        <f>'First Draft'!E693</f>
        <v>58624.289102554299</v>
      </c>
      <c r="X9" s="443">
        <f>'First Draft'!F693</f>
        <v>53483.447937935605</v>
      </c>
      <c r="Y9" s="443">
        <f>'First Draft'!G693</f>
        <v>47106.742971807769</v>
      </c>
      <c r="Z9" s="443">
        <f>'First Draft'!C688</f>
        <v>51543.361980535097</v>
      </c>
      <c r="AA9" s="443">
        <f>'First Draft'!D688</f>
        <v>68077.029776930794</v>
      </c>
      <c r="AB9" s="443">
        <f>'First Draft'!E688</f>
        <v>61168.102886393703</v>
      </c>
      <c r="AC9" s="443">
        <f>'First Draft'!F688</f>
        <v>59050.877533137798</v>
      </c>
      <c r="AD9" s="443">
        <f>'First Draft'!G688</f>
        <v>87932.071529835506</v>
      </c>
      <c r="AE9" s="61">
        <f t="shared" si="11"/>
        <v>-0.11993969627422502</v>
      </c>
      <c r="AF9" s="61">
        <f t="shared" si="0"/>
        <v>-0.47272466199276114</v>
      </c>
      <c r="AG9" s="61">
        <f t="shared" si="1"/>
        <v>-3.5174089008723514E-2</v>
      </c>
      <c r="AH9" s="61">
        <f t="shared" si="2"/>
        <v>-0.25833340047861236</v>
      </c>
      <c r="AI9" s="61">
        <f t="shared" si="3"/>
        <v>-5.013948653483534</v>
      </c>
      <c r="AJ9" s="61">
        <f t="shared" si="4"/>
        <v>-0.84579001383249619</v>
      </c>
      <c r="AK9" s="434"/>
      <c r="AL9" s="434"/>
      <c r="AM9" s="443">
        <f>'First Draft'!C698</f>
        <v>26161.388665549501</v>
      </c>
      <c r="AN9" s="443">
        <f>'First Draft'!D698</f>
        <v>-1049.9999940544399</v>
      </c>
      <c r="AO9" s="443">
        <f>'First Draft'!E698</f>
        <v>2543.81378383934</v>
      </c>
      <c r="AP9" s="443">
        <f>'First Draft'!F698</f>
        <v>5567.4295952022103</v>
      </c>
      <c r="AQ9" s="443">
        <f>'First Draft'!G698</f>
        <v>40825.328558027701</v>
      </c>
      <c r="AR9" s="534">
        <f>'First Draft'!C691</f>
        <v>15503.6541485414</v>
      </c>
      <c r="AS9" s="534">
        <f>'First Draft'!D691</f>
        <v>43256.960311904499</v>
      </c>
      <c r="AT9" s="534">
        <f>'First Draft'!E691</f>
        <v>41414.414394065701</v>
      </c>
      <c r="AU9" s="534">
        <f>'First Draft'!F691</f>
        <v>43171.065231993802</v>
      </c>
      <c r="AV9" s="534">
        <f>'First Draft'!G691</f>
        <v>6685.6907257139701</v>
      </c>
      <c r="AW9" s="553">
        <f t="shared" si="5"/>
        <v>-1.5774803808211793</v>
      </c>
      <c r="AX9" s="553">
        <f t="shared" si="6"/>
        <v>-0.64660915759708926</v>
      </c>
      <c r="AY9" s="553">
        <f t="shared" si="7"/>
        <v>-5.1951291039601527E-2</v>
      </c>
      <c r="AZ9" s="538">
        <f t="shared" si="8"/>
        <v>-0.96502342453825518</v>
      </c>
      <c r="BA9" s="538">
        <f t="shared" si="9"/>
        <v>-1.0583702723755926</v>
      </c>
      <c r="BB9" s="455">
        <f t="shared" si="10"/>
        <v>-8.496486821292884E-2</v>
      </c>
    </row>
    <row r="10" spans="1:82" ht="15" customHeight="1">
      <c r="A10" s="449">
        <v>2013</v>
      </c>
      <c r="B10" s="449"/>
      <c r="C10" s="449"/>
      <c r="D10" s="441"/>
      <c r="E10" s="641" t="s">
        <v>631</v>
      </c>
      <c r="F10" s="642" t="s">
        <v>582</v>
      </c>
      <c r="G10" s="640" t="s">
        <v>606</v>
      </c>
      <c r="H10" s="640" t="s">
        <v>618</v>
      </c>
      <c r="I10" s="441"/>
      <c r="J10" s="437" t="s">
        <v>144</v>
      </c>
      <c r="K10" s="446">
        <f>'First Draft'!C720</f>
        <v>6616.5892896801197</v>
      </c>
      <c r="L10" s="446">
        <f>'First Draft'!D720</f>
        <v>4491.6003409177101</v>
      </c>
      <c r="M10" s="446">
        <f>'First Draft'!E720</f>
        <v>4346.5681665390703</v>
      </c>
      <c r="N10" s="446">
        <f>'First Draft'!F720</f>
        <v>2192.9276106655598</v>
      </c>
      <c r="O10" s="446">
        <f>'First Draft'!G720</f>
        <v>2396.40933215618</v>
      </c>
      <c r="P10" s="446">
        <f>'First Draft'!C724</f>
        <v>30736.194721549702</v>
      </c>
      <c r="Q10" s="446">
        <f>'First Draft'!D724</f>
        <v>36037.6835419536</v>
      </c>
      <c r="R10" s="446">
        <f>'First Draft'!E724</f>
        <v>886.40650084614799</v>
      </c>
      <c r="S10" s="446">
        <f>'First Draft'!F724</f>
        <v>-4540.6249566972301</v>
      </c>
      <c r="T10" s="446">
        <f>'First Draft'!G724</f>
        <v>5773.9676754176598</v>
      </c>
      <c r="U10" s="443">
        <f>'First Draft'!C723</f>
        <v>65907.308211490512</v>
      </c>
      <c r="V10" s="443">
        <f>'First Draft'!D723</f>
        <v>111633.02783574184</v>
      </c>
      <c r="W10" s="443">
        <f>'First Draft'!E723</f>
        <v>83742.937882095619</v>
      </c>
      <c r="X10" s="443">
        <f>'First Draft'!F723</f>
        <v>81281.907119572163</v>
      </c>
      <c r="Y10" s="443">
        <f>'First Draft'!G723</f>
        <v>132256.37323200659</v>
      </c>
      <c r="Z10" s="443">
        <f>'First Draft'!C718</f>
        <v>123602.89953212399</v>
      </c>
      <c r="AA10" s="443">
        <f>'First Draft'!D718</f>
        <v>163935.41017355002</v>
      </c>
      <c r="AB10" s="443">
        <f>'First Draft'!E718</f>
        <v>135881.02909630502</v>
      </c>
      <c r="AC10" s="443">
        <f>'First Draft'!F718</f>
        <v>164640.787903547</v>
      </c>
      <c r="AD10" s="443">
        <f>'First Draft'!G718</f>
        <v>228186.71420216598</v>
      </c>
      <c r="AE10" s="61">
        <f t="shared" si="11"/>
        <v>2.5303697875688383E-2</v>
      </c>
      <c r="AF10" s="61">
        <f t="shared" si="0"/>
        <v>-2.7578979756567402E-2</v>
      </c>
      <c r="AG10" s="61">
        <f t="shared" si="1"/>
        <v>6.5234014397838542E-3</v>
      </c>
      <c r="AH10" s="61">
        <f t="shared" si="2"/>
        <v>6.0189170777718681E-2</v>
      </c>
      <c r="AI10" s="61">
        <f t="shared" si="3"/>
        <v>-5.4470800399351323E-2</v>
      </c>
      <c r="AJ10" s="61">
        <f t="shared" si="4"/>
        <v>1.7001086768528628E-2</v>
      </c>
      <c r="AK10" s="434"/>
      <c r="AL10" s="434"/>
      <c r="AM10" s="443">
        <f>'First Draft'!C728</f>
        <v>57695.591320633903</v>
      </c>
      <c r="AN10" s="443">
        <f>'First Draft'!D728</f>
        <v>52302.268830433502</v>
      </c>
      <c r="AO10" s="443">
        <f>'First Draft'!E728</f>
        <v>52138.225803718</v>
      </c>
      <c r="AP10" s="443">
        <f>'First Draft'!F728</f>
        <v>83358.880783975095</v>
      </c>
      <c r="AQ10" s="443">
        <f>'First Draft'!G728</f>
        <v>95930.340970158606</v>
      </c>
      <c r="AR10" s="534">
        <f>'First Draft'!C721</f>
        <v>538.28305959701504</v>
      </c>
      <c r="AS10" s="534">
        <f>'First Draft'!D721</f>
        <v>1053.2349337488399</v>
      </c>
      <c r="AT10" s="534">
        <f>'First Draft'!E721</f>
        <v>3230.0136067122198</v>
      </c>
      <c r="AU10" s="534">
        <f>'First Draft'!F721</f>
        <v>3207.23681151867</v>
      </c>
      <c r="AV10" s="534">
        <f>'First Draft'!G721</f>
        <v>131.238778978586</v>
      </c>
      <c r="AW10" s="553">
        <f t="shared" si="5"/>
        <v>43.995896032831787</v>
      </c>
      <c r="AX10" s="553">
        <f t="shared" si="6"/>
        <v>-1.4157435897435908</v>
      </c>
      <c r="AY10" s="553">
        <f t="shared" si="7"/>
        <v>0.27442810117088245</v>
      </c>
      <c r="AZ10" s="538">
        <f t="shared" si="8"/>
        <v>25.525200423850574</v>
      </c>
      <c r="BA10" s="538">
        <f t="shared" si="9"/>
        <v>-0.72652084241385173</v>
      </c>
      <c r="BB10" s="455">
        <f t="shared" si="10"/>
        <v>0.17565217490695273</v>
      </c>
    </row>
    <row r="11" spans="1:82" ht="15" customHeight="1">
      <c r="A11" s="449">
        <v>2012</v>
      </c>
      <c r="B11" s="449"/>
      <c r="C11" s="449"/>
      <c r="D11" s="441"/>
      <c r="E11" s="641" t="s">
        <v>632</v>
      </c>
      <c r="F11" s="642" t="s">
        <v>583</v>
      </c>
      <c r="G11" s="640" t="s">
        <v>605</v>
      </c>
      <c r="H11" s="640" t="s">
        <v>617</v>
      </c>
      <c r="I11" s="441"/>
      <c r="J11" s="438" t="s">
        <v>145</v>
      </c>
      <c r="K11" s="447">
        <f>'First Draft'!C737</f>
        <v>4229.0000070086298</v>
      </c>
      <c r="L11" s="447">
        <f>'First Draft'!D737</f>
        <v>1973.99995571421</v>
      </c>
      <c r="M11" s="447">
        <f>'First Draft'!E737</f>
        <v>1651.9999842453001</v>
      </c>
      <c r="N11" s="447">
        <f>'First Draft'!F737</f>
        <v>848.99999873489094</v>
      </c>
      <c r="O11" s="447">
        <f>'First Draft'!G737</f>
        <v>116.999998552948</v>
      </c>
      <c r="P11" s="447">
        <f>'First Draft'!C741</f>
        <v>5585.9999728353496</v>
      </c>
      <c r="Q11" s="447">
        <f>'First Draft'!D741</f>
        <v>-893.000040851682</v>
      </c>
      <c r="R11" s="447">
        <f>'First Draft'!E741</f>
        <v>-1516.9999855327599</v>
      </c>
      <c r="S11" s="447">
        <f>'First Draft'!F741</f>
        <v>2904.9999956712099</v>
      </c>
      <c r="T11" s="447">
        <f>'First Draft'!G741</f>
        <v>-2674.9999669157</v>
      </c>
      <c r="U11" s="443">
        <f>'First Draft'!C740</f>
        <v>24178.999958638051</v>
      </c>
      <c r="V11" s="443">
        <f>'First Draft'!D740</f>
        <v>25047.000069098161</v>
      </c>
      <c r="W11" s="443">
        <f>'First Draft'!E740</f>
        <v>27346.999903672317</v>
      </c>
      <c r="X11" s="443">
        <f>'First Draft'!F740</f>
        <v>28709.999957218773</v>
      </c>
      <c r="Y11" s="443">
        <f>'First Draft'!G740</f>
        <v>30723.999953896531</v>
      </c>
      <c r="Z11" s="443">
        <f>'First Draft'!C735</f>
        <v>81697.999985735107</v>
      </c>
      <c r="AA11" s="443">
        <f>'First Draft'!D735</f>
        <v>191983.00003424502</v>
      </c>
      <c r="AB11" s="443">
        <f>'First Draft'!E735</f>
        <v>195189.999947734</v>
      </c>
      <c r="AC11" s="443">
        <f>'First Draft'!F735</f>
        <v>60915.000088762798</v>
      </c>
      <c r="AD11" s="443">
        <f>'First Draft'!G735</f>
        <v>59996.999925738899</v>
      </c>
      <c r="AE11" s="61">
        <f t="shared" si="11"/>
        <v>-4.4585562115216977E-2</v>
      </c>
      <c r="AF11" s="61">
        <f t="shared" si="0"/>
        <v>4.7689403126293446E-2</v>
      </c>
      <c r="AG11" s="61">
        <f t="shared" si="1"/>
        <v>-7.7719144727648277E-3</v>
      </c>
      <c r="AH11" s="61">
        <f t="shared" si="2"/>
        <v>-9.1381135158295129E-2</v>
      </c>
      <c r="AI11" s="61">
        <f t="shared" si="3"/>
        <v>9.0203384567613676E-2</v>
      </c>
      <c r="AJ11" s="61">
        <f t="shared" si="4"/>
        <v>-9.038315936716005E-3</v>
      </c>
      <c r="AK11" s="434"/>
      <c r="AL11" s="434"/>
      <c r="AM11" s="443">
        <f>'First Draft'!C745</f>
        <v>57520.000027071903</v>
      </c>
      <c r="AN11" s="443">
        <f>'First Draft'!D745</f>
        <v>166935.999965147</v>
      </c>
      <c r="AO11" s="443">
        <f>'First Draft'!E745</f>
        <v>167841.00004407999</v>
      </c>
      <c r="AP11" s="443">
        <f>'First Draft'!F745</f>
        <v>32204.999952010799</v>
      </c>
      <c r="AQ11" s="443">
        <f>'First Draft'!G745</f>
        <v>29272.999971842401</v>
      </c>
      <c r="AR11" s="534">
        <f>'First Draft'!C738</f>
        <v>19666.999958756202</v>
      </c>
      <c r="AS11" s="534">
        <f>'First Draft'!D738</f>
        <v>21633.0000475089</v>
      </c>
      <c r="AT11" s="534">
        <f>'First Draft'!E738</f>
        <v>23599.999939406498</v>
      </c>
      <c r="AU11" s="534">
        <f>'First Draft'!F738</f>
        <v>25566.999961902202</v>
      </c>
      <c r="AV11" s="534">
        <f>'First Draft'!G738</f>
        <v>27532.9999933627</v>
      </c>
      <c r="AW11" s="553">
        <f t="shared" si="5"/>
        <v>-9.7156138726639099E-2</v>
      </c>
      <c r="AX11" s="553">
        <f t="shared" si="6"/>
        <v>0.11362302968670542</v>
      </c>
      <c r="AY11" s="553">
        <f t="shared" si="7"/>
        <v>-6.4279660568969901E-2</v>
      </c>
      <c r="AZ11" s="538">
        <f t="shared" si="8"/>
        <v>-9.4338469851482587E-2</v>
      </c>
      <c r="BA11" s="538">
        <f t="shared" si="9"/>
        <v>0.10124135569737028</v>
      </c>
      <c r="BB11" s="455">
        <f t="shared" si="10"/>
        <v>-1.6777956932788277E-2</v>
      </c>
    </row>
    <row r="12" spans="1:82" ht="15" customHeight="1">
      <c r="A12" s="449">
        <v>2015</v>
      </c>
      <c r="B12" s="449"/>
      <c r="C12" s="449"/>
      <c r="D12" s="441"/>
      <c r="E12" s="641" t="s">
        <v>633</v>
      </c>
      <c r="F12" s="642" t="s">
        <v>584</v>
      </c>
      <c r="G12" s="640" t="s">
        <v>599</v>
      </c>
      <c r="H12" s="640" t="s">
        <v>612</v>
      </c>
      <c r="I12" s="441"/>
      <c r="J12" s="438" t="s">
        <v>146</v>
      </c>
      <c r="K12" s="447">
        <f>'First Draft'!C771</f>
        <v>322226</v>
      </c>
      <c r="L12" s="447">
        <f>'First Draft'!D771</f>
        <v>415309</v>
      </c>
      <c r="M12" s="447">
        <f>'First Draft'!E771</f>
        <v>487435</v>
      </c>
      <c r="N12" s="447">
        <f>'First Draft'!F771</f>
        <v>422449</v>
      </c>
      <c r="O12" s="447">
        <f>'First Draft'!G771</f>
        <v>491312</v>
      </c>
      <c r="P12" s="447">
        <f>'First Draft'!C775</f>
        <v>-94051</v>
      </c>
      <c r="Q12" s="447">
        <f>'First Draft'!D775</f>
        <v>-204044</v>
      </c>
      <c r="R12" s="447">
        <f>'First Draft'!E775</f>
        <v>-155905</v>
      </c>
      <c r="S12" s="447">
        <f>'First Draft'!F775</f>
        <v>-144106</v>
      </c>
      <c r="T12" s="447">
        <f>'First Draft'!G775</f>
        <v>117702</v>
      </c>
      <c r="U12" s="443">
        <f>'First Draft'!C774</f>
        <v>1280183</v>
      </c>
      <c r="V12" s="443">
        <f>'First Draft'!D774</f>
        <v>1571464</v>
      </c>
      <c r="W12" s="443">
        <f>'First Draft'!E774</f>
        <v>1765405</v>
      </c>
      <c r="X12" s="443">
        <f>'First Draft'!F774</f>
        <v>1369614</v>
      </c>
      <c r="Y12" s="443">
        <f>'First Draft'!G774</f>
        <v>1436935</v>
      </c>
      <c r="Z12" s="443">
        <f>'First Draft'!C769</f>
        <v>1746273</v>
      </c>
      <c r="AA12" s="443">
        <f>'First Draft'!D769</f>
        <v>2045075</v>
      </c>
      <c r="AB12" s="443">
        <f>'First Draft'!E769</f>
        <v>2413390</v>
      </c>
      <c r="AC12" s="443">
        <f>'First Draft'!F769</f>
        <v>2035122</v>
      </c>
      <c r="AD12" s="443">
        <f>'First Draft'!G769</f>
        <v>2260584</v>
      </c>
      <c r="AE12" s="61">
        <f t="shared" si="11"/>
        <v>5.2067076472274418E-2</v>
      </c>
      <c r="AF12" s="61">
        <f t="shared" si="0"/>
        <v>-7.0809514122494865E-2</v>
      </c>
      <c r="AG12" s="61">
        <f t="shared" si="1"/>
        <v>-6.4600002486129474E-2</v>
      </c>
      <c r="AH12" s="61">
        <f t="shared" si="2"/>
        <v>0.14290310557045538</v>
      </c>
      <c r="AI12" s="61">
        <f t="shared" si="3"/>
        <v>-0.21653533841817077</v>
      </c>
      <c r="AJ12" s="61">
        <f t="shared" si="4"/>
        <v>-0.24059970524009044</v>
      </c>
      <c r="AK12" s="434"/>
      <c r="AL12" s="434"/>
      <c r="AM12" s="443">
        <f>'First Draft'!C779</f>
        <v>466090</v>
      </c>
      <c r="AN12" s="443">
        <f>'First Draft'!D779</f>
        <v>473611</v>
      </c>
      <c r="AO12" s="443">
        <f>'First Draft'!E779</f>
        <v>647985</v>
      </c>
      <c r="AP12" s="443">
        <f>'First Draft'!F779</f>
        <v>665508</v>
      </c>
      <c r="AQ12" s="443">
        <f>'First Draft'!G779</f>
        <v>823649</v>
      </c>
      <c r="AR12" s="534">
        <f>'First Draft'!C772</f>
        <v>1099360</v>
      </c>
      <c r="AS12" s="534">
        <f>'First Draft'!D772</f>
        <v>1346648</v>
      </c>
      <c r="AT12" s="534">
        <f>'First Draft'!E772</f>
        <v>1420695</v>
      </c>
      <c r="AU12" s="534">
        <f>'First Draft'!F772</f>
        <v>1139166</v>
      </c>
      <c r="AV12" s="534">
        <f>'First Draft'!G772</f>
        <v>1154742</v>
      </c>
      <c r="AW12" s="553">
        <f t="shared" si="5"/>
        <v>0.10192926212088935</v>
      </c>
      <c r="AX12" s="553">
        <f t="shared" si="6"/>
        <v>-0.12650131763061748</v>
      </c>
      <c r="AY12" s="553">
        <f t="shared" si="7"/>
        <v>-0.10973854345936319</v>
      </c>
      <c r="AZ12" s="538">
        <f t="shared" si="8"/>
        <v>0.11685817658873995</v>
      </c>
      <c r="BA12" s="538">
        <f t="shared" si="9"/>
        <v>-0.15594346464012504</v>
      </c>
      <c r="BB12" s="455">
        <f t="shared" si="10"/>
        <v>-0.14487421150989982</v>
      </c>
    </row>
    <row r="13" spans="1:82" ht="15" customHeight="1">
      <c r="A13" s="449">
        <v>2016</v>
      </c>
      <c r="B13" s="449"/>
      <c r="C13" s="449"/>
      <c r="D13" s="441"/>
      <c r="E13" s="641" t="s">
        <v>632</v>
      </c>
      <c r="F13" s="642" t="s">
        <v>583</v>
      </c>
      <c r="G13" s="640" t="s">
        <v>605</v>
      </c>
      <c r="H13" s="640" t="s">
        <v>617</v>
      </c>
      <c r="I13" s="441"/>
      <c r="J13" s="438" t="s">
        <v>147</v>
      </c>
      <c r="K13" s="447">
        <f>'First Draft'!C787</f>
        <v>9133.5989840403199</v>
      </c>
      <c r="L13" s="447">
        <f>'First Draft'!D787</f>
        <v>22.999999969154601</v>
      </c>
      <c r="M13" s="447">
        <f>'First Draft'!E787</f>
        <v>40.000000175833705</v>
      </c>
      <c r="N13" s="447">
        <f>'First Draft'!F787</f>
        <v>86.99999950736759</v>
      </c>
      <c r="O13" s="447">
        <f>'First Draft'!G787</f>
        <v>49.9999987408519</v>
      </c>
      <c r="P13" s="447">
        <f>'First Draft'!C791</f>
        <v>7699.5443307906398</v>
      </c>
      <c r="Q13" s="447">
        <f>'First Draft'!D791</f>
        <v>-1086.9999985422201</v>
      </c>
      <c r="R13" s="447">
        <f>'First Draft'!E791</f>
        <v>7568.00003326774</v>
      </c>
      <c r="S13" s="447">
        <f>'First Draft'!F791</f>
        <v>-53962.000042471198</v>
      </c>
      <c r="T13" s="447">
        <f>'First Draft'!G791</f>
        <v>-1646.9999585236599</v>
      </c>
      <c r="U13" s="443">
        <f>'First Draft'!C790</f>
        <v>2324.82913050056</v>
      </c>
      <c r="V13" s="443">
        <f>'First Draft'!D790</f>
        <v>27053.999963717801</v>
      </c>
      <c r="W13" s="443">
        <f>'First Draft'!E790</f>
        <v>25903.999992067198</v>
      </c>
      <c r="X13" s="443">
        <f>'First Draft'!F790</f>
        <v>26230.999967477808</v>
      </c>
      <c r="Y13" s="443">
        <f>'First Draft'!G790</f>
        <v>40371.000004905</v>
      </c>
      <c r="Z13" s="443">
        <f>'First Draft'!C785</f>
        <v>24009.7947131246</v>
      </c>
      <c r="AA13" s="443">
        <f>'First Draft'!D785</f>
        <v>149846.00002919001</v>
      </c>
      <c r="AB13" s="443">
        <f>'First Draft'!E785</f>
        <v>149781.0000494</v>
      </c>
      <c r="AC13" s="443">
        <f>'First Draft'!F785</f>
        <v>142540.00000494099</v>
      </c>
      <c r="AD13" s="443">
        <f>'First Draft'!G785</f>
        <v>214708.00004137002</v>
      </c>
      <c r="AE13" s="61">
        <f t="shared" si="11"/>
        <v>-7.6708830514294543E-3</v>
      </c>
      <c r="AF13" s="61">
        <f t="shared" si="0"/>
        <v>-0.37857443553108366</v>
      </c>
      <c r="AG13" s="61">
        <f t="shared" si="1"/>
        <v>5.0527103109017174E-2</v>
      </c>
      <c r="AH13" s="61">
        <f t="shared" si="2"/>
        <v>-9.4472197994640676E-3</v>
      </c>
      <c r="AI13" s="61">
        <f t="shared" si="3"/>
        <v>-0.46395377851318559</v>
      </c>
      <c r="AJ13" s="61">
        <f t="shared" si="4"/>
        <v>6.1092365309133881E-2</v>
      </c>
      <c r="AK13" s="434"/>
      <c r="AL13" s="434"/>
      <c r="AM13" s="443">
        <f>'First Draft'!C795</f>
        <v>21684.9655826241</v>
      </c>
      <c r="AN13" s="443">
        <f>'First Draft'!D795</f>
        <v>122790.999950399</v>
      </c>
      <c r="AO13" s="443">
        <f>'First Draft'!E795</f>
        <v>123878.00005733701</v>
      </c>
      <c r="AP13" s="443">
        <f>'First Draft'!F795</f>
        <v>116309.00003746299</v>
      </c>
      <c r="AQ13" s="443">
        <f>'First Draft'!G795</f>
        <v>174337.00003646497</v>
      </c>
      <c r="AR13" s="534">
        <f>'First Draft'!C788</f>
        <v>0</v>
      </c>
      <c r="AS13" s="534">
        <f>'First Draft'!D788</f>
        <v>0</v>
      </c>
      <c r="AT13" s="534">
        <f>'First Draft'!E788</f>
        <v>0</v>
      </c>
      <c r="AU13" s="534">
        <f>'First Draft'!F788</f>
        <v>19737.000004249698</v>
      </c>
      <c r="AV13" s="534">
        <f>'First Draft'!G788</f>
        <v>22127.000010313499</v>
      </c>
      <c r="AW13" s="553">
        <f t="shared" si="5"/>
        <v>-7.4433947564332512E-2</v>
      </c>
      <c r="AX13" s="553">
        <f t="shared" si="6"/>
        <v>-2.7340527958074836</v>
      </c>
      <c r="AY13" s="553" t="e">
        <f t="shared" si="7"/>
        <v>#DIV/0!</v>
      </c>
      <c r="AZ13" s="538">
        <f t="shared" si="8"/>
        <v>-2.1666509189746459E-2</v>
      </c>
      <c r="BA13" s="538">
        <f t="shared" si="9"/>
        <v>-0.88170996798108292</v>
      </c>
      <c r="BB13" s="455" t="e">
        <f t="shared" si="10"/>
        <v>#DIV/0!</v>
      </c>
    </row>
    <row r="14" spans="1:82" ht="15" customHeight="1">
      <c r="A14" s="449">
        <v>2017</v>
      </c>
      <c r="B14" s="449"/>
      <c r="C14" s="449"/>
      <c r="D14" s="441"/>
      <c r="E14" s="641" t="s">
        <v>576</v>
      </c>
      <c r="F14" s="642" t="s">
        <v>576</v>
      </c>
      <c r="G14" s="640" t="s">
        <v>599</v>
      </c>
      <c r="H14" s="640" t="s">
        <v>612</v>
      </c>
      <c r="I14" s="441"/>
      <c r="J14" s="438" t="s">
        <v>150</v>
      </c>
      <c r="K14" s="447">
        <f>'First Draft'!C815</f>
        <v>1059000</v>
      </c>
      <c r="L14" s="447">
        <f>'First Draft'!D815</f>
        <v>1417000</v>
      </c>
      <c r="M14" s="447">
        <f>'First Draft'!E815</f>
        <v>562000</v>
      </c>
      <c r="N14" s="447">
        <f>'First Draft'!F815</f>
        <v>2115000</v>
      </c>
      <c r="O14" s="447">
        <f>'First Draft'!G815</f>
        <v>3237000</v>
      </c>
      <c r="P14" s="447">
        <f>'First Draft'!C819</f>
        <v>-4663000</v>
      </c>
      <c r="Q14" s="447">
        <f>'First Draft'!D819</f>
        <v>-1222000</v>
      </c>
      <c r="R14" s="447">
        <f>'First Draft'!E819</f>
        <v>-605000</v>
      </c>
      <c r="S14" s="447">
        <f>'First Draft'!F819</f>
        <v>-3102000</v>
      </c>
      <c r="T14" s="447">
        <f>'First Draft'!G819</f>
        <v>-155000</v>
      </c>
      <c r="U14" s="443">
        <f>'First Draft'!C818</f>
        <v>7101000</v>
      </c>
      <c r="V14" s="443">
        <f>'First Draft'!D818</f>
        <v>7486000</v>
      </c>
      <c r="W14" s="443">
        <f>'First Draft'!E818</f>
        <v>7813000</v>
      </c>
      <c r="X14" s="443">
        <f>'First Draft'!F818</f>
        <v>11023000</v>
      </c>
      <c r="Y14" s="443">
        <f>'First Draft'!G818</f>
        <v>11603000</v>
      </c>
      <c r="Z14" s="443">
        <f>'First Draft'!C813</f>
        <v>3961000</v>
      </c>
      <c r="AA14" s="443">
        <f>'First Draft'!D813</f>
        <v>9279000</v>
      </c>
      <c r="AB14" s="443">
        <f>'First Draft'!E813</f>
        <v>10848000</v>
      </c>
      <c r="AC14" s="443">
        <f>'First Draft'!F813</f>
        <v>17982000</v>
      </c>
      <c r="AD14" s="443">
        <f>'First Draft'!G813</f>
        <v>21666000</v>
      </c>
      <c r="AE14" s="61">
        <f t="shared" si="11"/>
        <v>-7.1540662789624293E-3</v>
      </c>
      <c r="AF14" s="61">
        <f t="shared" si="0"/>
        <v>-0.17250583917250584</v>
      </c>
      <c r="AG14" s="61">
        <f t="shared" si="1"/>
        <v>-5.5770648967551621E-2</v>
      </c>
      <c r="AH14" s="61">
        <f t="shared" si="2"/>
        <v>-1.5402961343535726E-2</v>
      </c>
      <c r="AI14" s="61">
        <f t="shared" si="3"/>
        <v>-0.44575370024428795</v>
      </c>
      <c r="AJ14" s="61">
        <f t="shared" si="4"/>
        <v>-0.19934102141680396</v>
      </c>
      <c r="AK14" s="434"/>
      <c r="AL14" s="434"/>
      <c r="AM14" s="443">
        <f>'First Draft'!C823</f>
        <v>-3140000</v>
      </c>
      <c r="AN14" s="443">
        <f>'First Draft'!D823</f>
        <v>1793000</v>
      </c>
      <c r="AO14" s="443">
        <f>'First Draft'!E823</f>
        <v>3035000</v>
      </c>
      <c r="AP14" s="443">
        <f>'First Draft'!F823</f>
        <v>6959000</v>
      </c>
      <c r="AQ14" s="443">
        <f>'First Draft'!G823</f>
        <v>10063000</v>
      </c>
      <c r="AR14" s="534">
        <f>'First Draft'!C816</f>
        <v>556000</v>
      </c>
      <c r="AS14" s="534">
        <f>'First Draft'!D816</f>
        <v>6716000</v>
      </c>
      <c r="AT14" s="534">
        <f>'First Draft'!E816</f>
        <v>7349000</v>
      </c>
      <c r="AU14" s="534">
        <f>'First Draft'!F816</f>
        <v>10164000</v>
      </c>
      <c r="AV14" s="534">
        <f>'First Draft'!G816</f>
        <v>6880000</v>
      </c>
      <c r="AW14" s="553">
        <f t="shared" ref="AW14:AW46" si="12">T14/AV14</f>
        <v>-2.2529069767441859E-2</v>
      </c>
      <c r="AX14" s="553">
        <f t="shared" si="6"/>
        <v>-0.30519480519480519</v>
      </c>
      <c r="AY14" s="553">
        <f t="shared" si="7"/>
        <v>-8.2324125731392028E-2</v>
      </c>
      <c r="AZ14" s="538">
        <f t="shared" si="8"/>
        <v>-1.9219274278206772E-2</v>
      </c>
      <c r="BA14" s="538">
        <f t="shared" si="9"/>
        <v>-0.35959083181305407</v>
      </c>
      <c r="BB14" s="455">
        <f t="shared" si="10"/>
        <v>-0.11506253635134273</v>
      </c>
    </row>
    <row r="15" spans="1:82" ht="15" customHeight="1">
      <c r="A15" s="643">
        <v>2014</v>
      </c>
      <c r="B15" s="449"/>
      <c r="C15" s="449"/>
      <c r="D15" s="441"/>
      <c r="E15" s="641" t="s">
        <v>623</v>
      </c>
      <c r="F15" s="642" t="s">
        <v>585</v>
      </c>
      <c r="G15" s="640" t="s">
        <v>604</v>
      </c>
      <c r="H15" s="640" t="s">
        <v>616</v>
      </c>
      <c r="I15" s="441"/>
      <c r="J15" s="438" t="s">
        <v>157</v>
      </c>
      <c r="K15" s="447">
        <f>'First Draft'!C829</f>
        <v>1534275</v>
      </c>
      <c r="L15" s="447">
        <f>'First Draft'!D829</f>
        <v>1420951</v>
      </c>
      <c r="M15" s="447">
        <f>'First Draft'!E829</f>
        <v>1460953</v>
      </c>
      <c r="N15" s="447">
        <f>'First Draft'!F829</f>
        <v>1730969</v>
      </c>
      <c r="O15" s="447">
        <f>'First Draft'!G829</f>
        <v>2085937</v>
      </c>
      <c r="P15" s="447">
        <f>'First Draft'!C833</f>
        <v>-31937</v>
      </c>
      <c r="Q15" s="447">
        <f>'First Draft'!D833</f>
        <v>34814</v>
      </c>
      <c r="R15" s="447">
        <f>'First Draft'!E833</f>
        <v>-160125</v>
      </c>
      <c r="S15" s="447">
        <f>'First Draft'!F833</f>
        <v>-117241</v>
      </c>
      <c r="T15" s="447">
        <f>'First Draft'!G833</f>
        <v>-12763</v>
      </c>
      <c r="U15" s="443">
        <f>'First Draft'!C832</f>
        <v>991949</v>
      </c>
      <c r="V15" s="443">
        <f>'First Draft'!D832</f>
        <v>1191056</v>
      </c>
      <c r="W15" s="443">
        <f>'First Draft'!E832</f>
        <v>1013837</v>
      </c>
      <c r="X15" s="443">
        <f>'First Draft'!F832</f>
        <v>864778</v>
      </c>
      <c r="Y15" s="443">
        <f>'First Draft'!G832</f>
        <v>1093701</v>
      </c>
      <c r="Z15" s="443">
        <f>'First Draft'!C827</f>
        <v>1386492</v>
      </c>
      <c r="AA15" s="443">
        <f>'First Draft'!D827</f>
        <v>1213538</v>
      </c>
      <c r="AB15" s="443">
        <f>'First Draft'!E827</f>
        <v>1257378</v>
      </c>
      <c r="AC15" s="443">
        <f>'First Draft'!F827</f>
        <v>1440471</v>
      </c>
      <c r="AD15" s="443">
        <f>'First Draft'!G827</f>
        <v>1973026</v>
      </c>
      <c r="AE15" s="61">
        <f t="shared" si="11"/>
        <v>-6.4687439496489149E-3</v>
      </c>
      <c r="AF15" s="61">
        <f t="shared" si="0"/>
        <v>-8.1390739556714442E-2</v>
      </c>
      <c r="AG15" s="61">
        <f t="shared" si="1"/>
        <v>-0.12734833916292476</v>
      </c>
      <c r="AH15" s="61">
        <f t="shared" si="2"/>
        <v>-1.4514525898244791E-2</v>
      </c>
      <c r="AI15" s="61">
        <f t="shared" si="3"/>
        <v>-0.20365194643672929</v>
      </c>
      <c r="AJ15" s="61">
        <f t="shared" si="4"/>
        <v>-0.65748682973298134</v>
      </c>
      <c r="AK15" s="434"/>
      <c r="AL15" s="434"/>
      <c r="AM15" s="443">
        <f>'First Draft'!C837</f>
        <v>394543</v>
      </c>
      <c r="AN15" s="443">
        <f>'First Draft'!D837</f>
        <v>22483</v>
      </c>
      <c r="AO15" s="443">
        <f>'First Draft'!E837</f>
        <v>243541</v>
      </c>
      <c r="AP15" s="443">
        <f>'First Draft'!F837</f>
        <v>575693</v>
      </c>
      <c r="AQ15" s="443">
        <f>'First Draft'!G837</f>
        <v>879326</v>
      </c>
      <c r="AR15" s="534">
        <f>'First Draft'!C830</f>
        <v>598015</v>
      </c>
      <c r="AS15" s="534">
        <f>'First Draft'!D830</f>
        <v>839594</v>
      </c>
      <c r="AT15" s="534">
        <f>'First Draft'!E830</f>
        <v>612645</v>
      </c>
      <c r="AU15" s="534">
        <f>'First Draft'!F830</f>
        <v>475868</v>
      </c>
      <c r="AV15" s="534">
        <f>'First Draft'!G830</f>
        <v>628405</v>
      </c>
      <c r="AW15" s="553">
        <f t="shared" si="12"/>
        <v>-2.0310150301159284E-2</v>
      </c>
      <c r="AX15" s="553">
        <f t="shared" si="6"/>
        <v>-0.24637294375751259</v>
      </c>
      <c r="AY15" s="553">
        <f t="shared" si="7"/>
        <v>-0.26136669686359965</v>
      </c>
      <c r="AZ15" s="538">
        <f t="shared" si="8"/>
        <v>-1.7727193644348611E-2</v>
      </c>
      <c r="BA15" s="538">
        <f t="shared" si="9"/>
        <v>-0.22929923723333145</v>
      </c>
      <c r="BB15" s="455">
        <f t="shared" si="10"/>
        <v>-0.33809103376081118</v>
      </c>
    </row>
    <row r="16" spans="1:82" ht="15" customHeight="1">
      <c r="A16" s="449">
        <v>2018</v>
      </c>
      <c r="B16" s="449"/>
      <c r="C16" s="449"/>
      <c r="D16" s="441"/>
      <c r="E16" s="641" t="s">
        <v>624</v>
      </c>
      <c r="F16" s="641" t="s">
        <v>587</v>
      </c>
      <c r="G16" s="640" t="s">
        <v>601</v>
      </c>
      <c r="H16" s="640" t="s">
        <v>614</v>
      </c>
      <c r="I16" s="441"/>
      <c r="J16" s="438" t="s">
        <v>202</v>
      </c>
      <c r="K16" s="447">
        <f>'First Draft'!C857*BK8</f>
        <v>502509.15997199999</v>
      </c>
      <c r="L16" s="447">
        <f>'First Draft'!D857*BL8</f>
        <v>371272.039215</v>
      </c>
      <c r="M16" s="447">
        <f>'First Draft'!E857*BM8</f>
        <v>360319.15120600001</v>
      </c>
      <c r="N16" s="447">
        <f>'First Draft'!F857*BN8</f>
        <v>389257.85524800001</v>
      </c>
      <c r="O16" s="447">
        <f>'First Draft'!G857*BO8</f>
        <v>372745.14369400003</v>
      </c>
      <c r="P16" s="447">
        <f>'First Draft'!C861*BK8</f>
        <v>31666.376763</v>
      </c>
      <c r="Q16" s="447">
        <f>'First Draft'!D861*BL8</f>
        <v>14868.331319999999</v>
      </c>
      <c r="R16" s="447">
        <f>'First Draft'!E861*BM8</f>
        <v>17171.920926999999</v>
      </c>
      <c r="S16" s="447">
        <f>'First Draft'!F861*BN8</f>
        <v>40948.148867999997</v>
      </c>
      <c r="T16" s="447">
        <f>'First Draft'!G861*BO8</f>
        <v>40266.672666000006</v>
      </c>
      <c r="U16" s="443">
        <f>'First Draft'!C860*BK8</f>
        <v>582727.80812399997</v>
      </c>
      <c r="V16" s="443">
        <f>'First Draft'!D860*BL8</f>
        <v>445595.88776999997</v>
      </c>
      <c r="W16" s="443">
        <f>'First Draft'!E860*BM8</f>
        <v>453036.74535699998</v>
      </c>
      <c r="X16" s="443">
        <f>'First Draft'!F860*BN8</f>
        <v>139394.33061</v>
      </c>
      <c r="Y16" s="443">
        <f>'First Draft'!G860*BO8</f>
        <v>144740.57736600001</v>
      </c>
      <c r="Z16" s="443">
        <f>'First Draft'!C855*BK8</f>
        <v>941520.77375399997</v>
      </c>
      <c r="AA16" s="443">
        <f>'First Draft'!D855*BL8</f>
        <v>826230.58661999996</v>
      </c>
      <c r="AB16" s="443">
        <f>'First Draft'!E855*BM8</f>
        <v>845443.45577300002</v>
      </c>
      <c r="AC16" s="443">
        <f>'First Draft'!F855*BN8</f>
        <v>281281.14547799999</v>
      </c>
      <c r="AD16" s="443">
        <f>'First Draft'!G855*BO8</f>
        <v>274508.801446</v>
      </c>
      <c r="AE16" s="61">
        <f t="shared" si="11"/>
        <v>0.14668627182039942</v>
      </c>
      <c r="AF16" s="61">
        <f t="shared" si="0"/>
        <v>0.14557729704354713</v>
      </c>
      <c r="AG16" s="61">
        <f t="shared" si="1"/>
        <v>2.0311140632461915E-2</v>
      </c>
      <c r="AH16" s="61">
        <f t="shared" si="2"/>
        <v>0.31029686158898384</v>
      </c>
      <c r="AI16" s="61">
        <f t="shared" si="3"/>
        <v>0.28859703013450783</v>
      </c>
      <c r="AJ16" s="61">
        <f t="shared" si="4"/>
        <v>4.3760530711647927E-2</v>
      </c>
      <c r="AK16" s="434"/>
      <c r="AL16" s="434"/>
      <c r="AM16" s="443">
        <f>'First Draft'!C865*BK8</f>
        <v>358792.96562999999</v>
      </c>
      <c r="AN16" s="443">
        <f>'First Draft'!D865*BL8</f>
        <v>380634.69884999999</v>
      </c>
      <c r="AO16" s="443">
        <f>'First Draft'!E865*BM8</f>
        <v>392406.59671499999</v>
      </c>
      <c r="AP16" s="443">
        <f>'First Draft'!F865*BN8</f>
        <v>141886.937814</v>
      </c>
      <c r="AQ16" s="443">
        <f>'First Draft'!G865*BO8</f>
        <v>129768.22408000001</v>
      </c>
      <c r="AR16" s="534">
        <f>'First Draft'!C858*BK8</f>
        <v>347812.83973800001</v>
      </c>
      <c r="AS16" s="534">
        <f>'First Draft'!D858*BL8</f>
        <v>370515.03735</v>
      </c>
      <c r="AT16" s="534">
        <f>'First Draft'!E858*BM8</f>
        <v>394691.07720699999</v>
      </c>
      <c r="AU16" s="534">
        <f>'First Draft'!F858*BN8</f>
        <v>62769.46557</v>
      </c>
      <c r="AV16" s="534">
        <f>'First Draft'!G858*BO8</f>
        <v>61908.309760000004</v>
      </c>
      <c r="AW16" s="553">
        <f t="shared" si="12"/>
        <v>0.65042435857321657</v>
      </c>
      <c r="AX16" s="553">
        <f t="shared" si="6"/>
        <v>0.65235777453505561</v>
      </c>
      <c r="AY16" s="553">
        <f t="shared" si="7"/>
        <v>4.3507243813353295E-2</v>
      </c>
      <c r="AZ16" s="538">
        <f t="shared" si="8"/>
        <v>0.48963628543341242</v>
      </c>
      <c r="BA16" s="538">
        <f t="shared" si="9"/>
        <v>0.46886564792058727</v>
      </c>
      <c r="BB16" s="455">
        <f t="shared" si="10"/>
        <v>4.3624805150472235E-2</v>
      </c>
    </row>
    <row r="17" spans="1:54" ht="15" customHeight="1">
      <c r="A17" s="449">
        <v>2018</v>
      </c>
      <c r="B17" s="449"/>
      <c r="C17" s="449"/>
      <c r="D17" s="441"/>
      <c r="E17" s="641" t="s">
        <v>623</v>
      </c>
      <c r="F17" s="642" t="s">
        <v>588</v>
      </c>
      <c r="G17" s="640" t="s">
        <v>607</v>
      </c>
      <c r="H17" s="640" t="s">
        <v>619</v>
      </c>
      <c r="I17" s="441"/>
      <c r="J17" s="438" t="s">
        <v>203</v>
      </c>
      <c r="K17" s="447">
        <f>'First Draft'!C872</f>
        <v>78454.759438030407</v>
      </c>
      <c r="L17" s="447">
        <f>'First Draft'!D872</f>
        <v>84950.759851783499</v>
      </c>
      <c r="M17" s="447">
        <f>'First Draft'!E872</f>
        <v>118767.99408146</v>
      </c>
      <c r="N17" s="447">
        <f>'First Draft'!F872</f>
        <v>117525.31629808201</v>
      </c>
      <c r="O17" s="447">
        <f>'First Draft'!G872</f>
        <v>120860.049252354</v>
      </c>
      <c r="P17" s="447">
        <f>'First Draft'!C876</f>
        <v>30935.033040963099</v>
      </c>
      <c r="Q17" s="447">
        <f>'First Draft'!D876</f>
        <v>25912.895002082001</v>
      </c>
      <c r="R17" s="447">
        <f>'First Draft'!E876</f>
        <v>27130.068025842302</v>
      </c>
      <c r="S17" s="447">
        <f>'First Draft'!F876</f>
        <v>38535.903285488501</v>
      </c>
      <c r="T17" s="447">
        <f>'First Draft'!G876</f>
        <v>55920.463096000298</v>
      </c>
      <c r="U17" s="443">
        <f>'First Draft'!C875</f>
        <v>6131411.8253601091</v>
      </c>
      <c r="V17" s="443">
        <f>'First Draft'!D875</f>
        <v>6075505.355154966</v>
      </c>
      <c r="W17" s="443">
        <f>'First Draft'!E875</f>
        <v>5181126.3642425053</v>
      </c>
      <c r="X17" s="443">
        <f>'First Draft'!F875</f>
        <v>6158154.7673454136</v>
      </c>
      <c r="Y17" s="443">
        <f>'First Draft'!G875</f>
        <v>5802091.6211201893</v>
      </c>
      <c r="Z17" s="443">
        <f>'First Draft'!C870</f>
        <v>6635912.03625526</v>
      </c>
      <c r="AA17" s="443">
        <f>'First Draft'!D870</f>
        <v>6565456.1046869503</v>
      </c>
      <c r="AB17" s="443">
        <f>'First Draft'!E870</f>
        <v>5587974.53725091</v>
      </c>
      <c r="AC17" s="443">
        <f>'First Draft'!F870</f>
        <v>6662690.4398563504</v>
      </c>
      <c r="AD17" s="443">
        <f>'First Draft'!G870</f>
        <v>6277076.0324651496</v>
      </c>
      <c r="AE17" s="61">
        <f t="shared" si="11"/>
        <v>8.9086802209784721E-3</v>
      </c>
      <c r="AF17" s="61">
        <f t="shared" si="0"/>
        <v>5.7838351688930256E-3</v>
      </c>
      <c r="AG17" s="61">
        <f t="shared" si="1"/>
        <v>4.8550808249010662E-3</v>
      </c>
      <c r="AH17" s="61">
        <f t="shared" si="2"/>
        <v>0.11773115445548329</v>
      </c>
      <c r="AI17" s="61">
        <f t="shared" si="3"/>
        <v>7.6378946792217448E-2</v>
      </c>
      <c r="AJ17" s="61">
        <f t="shared" si="4"/>
        <v>6.6683519370951738E-2</v>
      </c>
      <c r="AK17" s="434"/>
      <c r="AL17" s="434"/>
      <c r="AM17" s="443">
        <f>'First Draft'!C880</f>
        <v>504500.21089515102</v>
      </c>
      <c r="AN17" s="443">
        <f>'First Draft'!D880</f>
        <v>489950.74953198398</v>
      </c>
      <c r="AO17" s="443">
        <f>'First Draft'!E880</f>
        <v>406848.17300840502</v>
      </c>
      <c r="AP17" s="443">
        <f>'First Draft'!F880</f>
        <v>504535.67251093697</v>
      </c>
      <c r="AQ17" s="443">
        <f>'First Draft'!G880</f>
        <v>474984.41134495998</v>
      </c>
      <c r="AR17" s="534">
        <f>'First Draft'!C873</f>
        <v>504500.21089515102</v>
      </c>
      <c r="AS17" s="534">
        <f>'First Draft'!D873</f>
        <v>489950.74953198398</v>
      </c>
      <c r="AT17" s="534">
        <f>'First Draft'!E873</f>
        <v>406848.17300840502</v>
      </c>
      <c r="AU17" s="534">
        <f>'First Draft'!F873</f>
        <v>504535.67251093697</v>
      </c>
      <c r="AV17" s="534">
        <f>'First Draft'!G873</f>
        <v>474984.41134495998</v>
      </c>
      <c r="AW17" s="553">
        <f t="shared" si="12"/>
        <v>0.11773115445548329</v>
      </c>
      <c r="AX17" s="553">
        <f t="shared" si="6"/>
        <v>7.6378946792217448E-2</v>
      </c>
      <c r="AY17" s="553">
        <f t="shared" si="7"/>
        <v>6.6683519370951738E-2</v>
      </c>
      <c r="AZ17" s="538">
        <f t="shared" si="8"/>
        <v>0.11773115445548328</v>
      </c>
      <c r="BA17" s="538">
        <f t="shared" si="9"/>
        <v>7.6378946792217448E-2</v>
      </c>
      <c r="BB17" s="455">
        <f t="shared" si="10"/>
        <v>6.6683519370951738E-2</v>
      </c>
    </row>
    <row r="18" spans="1:54" ht="15" customHeight="1">
      <c r="A18" s="449">
        <v>2012</v>
      </c>
      <c r="B18" s="449"/>
      <c r="C18" s="449"/>
      <c r="D18" s="441"/>
      <c r="E18" s="641" t="s">
        <v>634</v>
      </c>
      <c r="F18" s="642" t="s">
        <v>589</v>
      </c>
      <c r="G18" s="640" t="s">
        <v>601</v>
      </c>
      <c r="H18" s="640" t="s">
        <v>614</v>
      </c>
      <c r="I18" s="441"/>
      <c r="J18" s="438" t="s">
        <v>204</v>
      </c>
      <c r="K18" s="447">
        <f>'First Draft'!C887</f>
        <v>7681.8667759008395</v>
      </c>
      <c r="L18" s="447">
        <f>'First Draft'!D887</f>
        <v>4172.8637171391201</v>
      </c>
      <c r="M18" s="447">
        <f>'First Draft'!E887</f>
        <v>4413.1198592290002</v>
      </c>
      <c r="N18" s="447">
        <f>'First Draft'!F887</f>
        <v>4485.9597778755397</v>
      </c>
      <c r="O18" s="447">
        <f>'First Draft'!G887</f>
        <v>4011.0901006414001</v>
      </c>
      <c r="P18" s="447">
        <f>'First Draft'!C891</f>
        <v>-2131.67452066545</v>
      </c>
      <c r="Q18" s="447">
        <f>'First Draft'!D891</f>
        <v>-22791.0964665713</v>
      </c>
      <c r="R18" s="447">
        <f>'First Draft'!E891</f>
        <v>-6619.6798710803396</v>
      </c>
      <c r="S18" s="447">
        <f>'First Draft'!F891</f>
        <v>-7256.6998096534599</v>
      </c>
      <c r="T18" s="447">
        <f>'First Draft'!G891</f>
        <v>3493.5300068756201</v>
      </c>
      <c r="U18" s="443">
        <f>'First Draft'!C890</f>
        <v>287810.89263856201</v>
      </c>
      <c r="V18" s="443">
        <f>'First Draft'!D890</f>
        <v>335324.872675088</v>
      </c>
      <c r="W18" s="443">
        <f>'First Draft'!E890</f>
        <v>295265.30261176196</v>
      </c>
      <c r="X18" s="443">
        <f>'First Draft'!F890</f>
        <v>219152.33216894901</v>
      </c>
      <c r="Y18" s="443">
        <f>'First Draft'!G890</f>
        <v>144269.851304157</v>
      </c>
      <c r="Z18" s="443">
        <f>'First Draft'!C885</f>
        <v>391444.23974499799</v>
      </c>
      <c r="AA18" s="443">
        <f>'First Draft'!D885</f>
        <v>453454.432857037</v>
      </c>
      <c r="AB18" s="443">
        <f>'First Draft'!E885</f>
        <v>455240.89845453697</v>
      </c>
      <c r="AC18" s="443">
        <f>'First Draft'!F885</f>
        <v>379195.54647265701</v>
      </c>
      <c r="AD18" s="443">
        <f>'First Draft'!G885</f>
        <v>308724.54309322499</v>
      </c>
      <c r="AE18" s="61">
        <f t="shared" si="11"/>
        <v>1.1316009967567384E-2</v>
      </c>
      <c r="AF18" s="61">
        <f t="shared" si="0"/>
        <v>-1.9137091342861342E-2</v>
      </c>
      <c r="AG18" s="61">
        <f t="shared" si="1"/>
        <v>-1.4541048252810747E-2</v>
      </c>
      <c r="AH18" s="61">
        <f t="shared" si="2"/>
        <v>2.1243115489236901E-2</v>
      </c>
      <c r="AI18" s="61">
        <f t="shared" si="3"/>
        <v>-4.5379538390094239E-2</v>
      </c>
      <c r="AJ18" s="61">
        <f t="shared" si="4"/>
        <v>-4.1379310571722332E-2</v>
      </c>
      <c r="AK18" s="434"/>
      <c r="AL18" s="434"/>
      <c r="AM18" s="443">
        <f>'First Draft'!C895</f>
        <v>103633.346992929</v>
      </c>
      <c r="AN18" s="443">
        <f>'First Draft'!D895</f>
        <v>118129.560047359</v>
      </c>
      <c r="AO18" s="443">
        <f>'First Draft'!E895</f>
        <v>159975.596007249</v>
      </c>
      <c r="AP18" s="443">
        <f>'First Draft'!F895</f>
        <v>159911.27426799701</v>
      </c>
      <c r="AQ18" s="443">
        <f>'First Draft'!G895</f>
        <v>164454.691622124</v>
      </c>
      <c r="AR18" s="534">
        <f>'First Draft'!C888</f>
        <v>31300.123161826901</v>
      </c>
      <c r="AS18" s="534">
        <f>'First Draft'!D888</f>
        <v>35669.061524065401</v>
      </c>
      <c r="AT18" s="534">
        <f>'First Draft'!E888</f>
        <v>41510.908979121094</v>
      </c>
      <c r="AU18" s="534">
        <f>'First Draft'!F888</f>
        <v>42616.6184284173</v>
      </c>
      <c r="AV18" s="534">
        <f>'First Draft'!G888</f>
        <v>24713.490178484699</v>
      </c>
      <c r="AW18" s="553">
        <f t="shared" si="12"/>
        <v>0.14136125580178271</v>
      </c>
      <c r="AX18" s="553">
        <f t="shared" si="6"/>
        <v>-0.17027863958381551</v>
      </c>
      <c r="AY18" s="553">
        <f t="shared" si="7"/>
        <v>-0.15946843935433613</v>
      </c>
      <c r="AZ18" s="538">
        <f t="shared" si="8"/>
        <v>7.7375440044854985E-2</v>
      </c>
      <c r="BA18" s="538">
        <f t="shared" si="9"/>
        <v>-0.11758886908711189</v>
      </c>
      <c r="BB18" s="455">
        <f t="shared" si="10"/>
        <v>-0.11797089636932956</v>
      </c>
    </row>
    <row r="19" spans="1:54" ht="15" customHeight="1">
      <c r="A19" s="449">
        <v>2013</v>
      </c>
      <c r="B19" s="449"/>
      <c r="C19" s="449"/>
      <c r="D19" s="441"/>
      <c r="E19" s="641" t="s">
        <v>576</v>
      </c>
      <c r="F19" s="641" t="s">
        <v>576</v>
      </c>
      <c r="G19" s="640" t="s">
        <v>599</v>
      </c>
      <c r="H19" s="640" t="s">
        <v>612</v>
      </c>
      <c r="I19" s="441"/>
      <c r="J19" s="438" t="s">
        <v>205</v>
      </c>
      <c r="K19" s="447">
        <f>'First Draft'!C902</f>
        <v>237300</v>
      </c>
      <c r="L19" s="447">
        <f>'First Draft'!D902</f>
        <v>366800</v>
      </c>
      <c r="M19" s="447">
        <f>'First Draft'!E902</f>
        <v>321000</v>
      </c>
      <c r="N19" s="447">
        <f>'First Draft'!F902</f>
        <v>249700</v>
      </c>
      <c r="O19" s="447">
        <f>'First Draft'!G902</f>
        <v>173400</v>
      </c>
      <c r="P19" s="447">
        <f>'First Draft'!C906</f>
        <v>-85600</v>
      </c>
      <c r="Q19" s="447">
        <f>'First Draft'!D906</f>
        <v>-150900</v>
      </c>
      <c r="R19" s="447">
        <f>'First Draft'!E906</f>
        <v>-118500</v>
      </c>
      <c r="S19" s="447">
        <f>'First Draft'!F906</f>
        <v>-103700</v>
      </c>
      <c r="T19" s="447">
        <f>'First Draft'!G906</f>
        <v>-31000</v>
      </c>
      <c r="U19" s="443">
        <f>'First Draft'!C905</f>
        <v>1242200</v>
      </c>
      <c r="V19" s="443">
        <f>'First Draft'!D905</f>
        <v>1347800</v>
      </c>
      <c r="W19" s="443">
        <f>'First Draft'!E905</f>
        <v>1433900</v>
      </c>
      <c r="X19" s="443">
        <f>'First Draft'!F905</f>
        <v>1480500</v>
      </c>
      <c r="Y19" s="443">
        <f>'First Draft'!G905</f>
        <v>1057300</v>
      </c>
      <c r="Z19" s="443">
        <f>'First Draft'!C900</f>
        <v>1555100</v>
      </c>
      <c r="AA19" s="443">
        <f>'First Draft'!D900</f>
        <v>1753700</v>
      </c>
      <c r="AB19" s="443">
        <f>'First Draft'!E900</f>
        <v>1991600</v>
      </c>
      <c r="AC19" s="443">
        <f>'First Draft'!F900</f>
        <v>2164200</v>
      </c>
      <c r="AD19" s="443">
        <f>'First Draft'!G900</f>
        <v>1719700</v>
      </c>
      <c r="AE19" s="61">
        <f t="shared" si="11"/>
        <v>-1.8026399953480259E-2</v>
      </c>
      <c r="AF19" s="61">
        <f t="shared" si="0"/>
        <v>-4.7916089086036409E-2</v>
      </c>
      <c r="AG19" s="61">
        <f t="shared" si="1"/>
        <v>-5.9499899578228557E-2</v>
      </c>
      <c r="AH19" s="61">
        <f t="shared" si="2"/>
        <v>-4.679951690821256E-2</v>
      </c>
      <c r="AI19" s="61">
        <f t="shared" si="3"/>
        <v>-0.15167471113061284</v>
      </c>
      <c r="AJ19" s="61">
        <f t="shared" si="4"/>
        <v>-0.21247982786444325</v>
      </c>
      <c r="AK19" s="434"/>
      <c r="AL19" s="434"/>
      <c r="AM19" s="443">
        <f>'First Draft'!C910</f>
        <v>312900</v>
      </c>
      <c r="AN19" s="443">
        <f>'First Draft'!D910</f>
        <v>405900</v>
      </c>
      <c r="AO19" s="443">
        <f>'First Draft'!E910</f>
        <v>557700</v>
      </c>
      <c r="AP19" s="443">
        <f>'First Draft'!F910</f>
        <v>683700</v>
      </c>
      <c r="AQ19" s="443">
        <f>'First Draft'!G910</f>
        <v>662400</v>
      </c>
      <c r="AR19" s="534">
        <f>'First Draft'!C903</f>
        <v>801200</v>
      </c>
      <c r="AS19" s="534">
        <f>'First Draft'!D903</f>
        <v>939400</v>
      </c>
      <c r="AT19" s="534">
        <f>'First Draft'!E903</f>
        <v>1188400</v>
      </c>
      <c r="AU19" s="534">
        <f>'First Draft'!F903</f>
        <v>1196200</v>
      </c>
      <c r="AV19" s="534">
        <f>'First Draft'!G903</f>
        <v>790900</v>
      </c>
      <c r="AW19" s="553">
        <f t="shared" si="12"/>
        <v>-3.919585282589455E-2</v>
      </c>
      <c r="AX19" s="553">
        <f t="shared" si="6"/>
        <v>-8.6691188764420668E-2</v>
      </c>
      <c r="AY19" s="553">
        <f t="shared" si="7"/>
        <v>-9.971390104341972E-2</v>
      </c>
      <c r="AZ19" s="538">
        <f t="shared" si="8"/>
        <v>-4.2124658482769264E-2</v>
      </c>
      <c r="BA19" s="538">
        <f t="shared" si="9"/>
        <v>-0.10722036085654042</v>
      </c>
      <c r="BB19" s="455">
        <f t="shared" si="10"/>
        <v>-0.13129130483337997</v>
      </c>
    </row>
    <row r="20" spans="1:54" ht="15" customHeight="1">
      <c r="A20" s="449">
        <v>2012</v>
      </c>
      <c r="B20" s="449"/>
      <c r="C20" s="449"/>
      <c r="D20" s="441">
        <v>0.25</v>
      </c>
      <c r="E20" s="641" t="s">
        <v>629</v>
      </c>
      <c r="F20" s="642" t="s">
        <v>590</v>
      </c>
      <c r="G20" s="640" t="s">
        <v>608</v>
      </c>
      <c r="H20" s="640" t="s">
        <v>620</v>
      </c>
      <c r="I20" s="441"/>
      <c r="J20" s="438" t="s">
        <v>206</v>
      </c>
      <c r="K20" s="447">
        <f>'First Draft'!C917</f>
        <v>103405.218735337</v>
      </c>
      <c r="L20" s="447">
        <f>'First Draft'!D917</f>
        <v>34756.798359856002</v>
      </c>
      <c r="M20" s="447">
        <f>'First Draft'!E917</f>
        <v>54802.137635260799</v>
      </c>
      <c r="N20" s="447">
        <f>'First Draft'!F917</f>
        <v>47602.513394057802</v>
      </c>
      <c r="O20" s="447">
        <f>'First Draft'!G917</f>
        <v>48185.141307219899</v>
      </c>
      <c r="P20" s="447">
        <f>'First Draft'!C921</f>
        <v>1021.56637609005</v>
      </c>
      <c r="Q20" s="447">
        <f>'First Draft'!D921</f>
        <v>869.17904379963898</v>
      </c>
      <c r="R20" s="447">
        <f>'First Draft'!E921</f>
        <v>-8556.2499184012395</v>
      </c>
      <c r="S20" s="447">
        <f>'First Draft'!F921</f>
        <v>-3546.14003062248</v>
      </c>
      <c r="T20" s="447">
        <f>'First Draft'!G921</f>
        <v>-39318.697343423999</v>
      </c>
      <c r="U20" s="443">
        <f>'First Draft'!C920</f>
        <v>72077.183201909094</v>
      </c>
      <c r="V20" s="443">
        <f>'First Draft'!D920</f>
        <v>9860.8349060118235</v>
      </c>
      <c r="W20" s="443">
        <f>'First Draft'!E920</f>
        <v>22886.183992266702</v>
      </c>
      <c r="X20" s="443">
        <f>'First Draft'!F920</f>
        <v>69157.091458886804</v>
      </c>
      <c r="Y20" s="443">
        <f>'First Draft'!G920</f>
        <v>130415.19037367401</v>
      </c>
      <c r="Z20" s="443">
        <f>'First Draft'!C915</f>
        <v>154597.04491496101</v>
      </c>
      <c r="AA20" s="443">
        <f>'First Draft'!D915</f>
        <v>19908.7492283881</v>
      </c>
      <c r="AB20" s="443">
        <f>'First Draft'!E915</f>
        <v>32138.8154829741</v>
      </c>
      <c r="AC20" s="443">
        <f>'First Draft'!F915</f>
        <v>76494.613889604807</v>
      </c>
      <c r="AD20" s="443">
        <f>'First Draft'!G915</f>
        <v>97959.765065565705</v>
      </c>
      <c r="AE20" s="61">
        <f t="shared" si="11"/>
        <v>-0.40137598652985235</v>
      </c>
      <c r="AF20" s="61">
        <f t="shared" si="0"/>
        <v>-4.6358035557120196E-2</v>
      </c>
      <c r="AG20" s="61">
        <f t="shared" si="1"/>
        <v>-0.26622791754518799</v>
      </c>
      <c r="AH20" s="61">
        <f t="shared" si="2"/>
        <v>1.2114676350767479</v>
      </c>
      <c r="AI20" s="61">
        <f t="shared" si="3"/>
        <v>-0.48328847565451372</v>
      </c>
      <c r="AJ20" s="61">
        <f t="shared" si="4"/>
        <v>-0.9247369169510804</v>
      </c>
      <c r="AK20" s="434"/>
      <c r="AL20" s="434"/>
      <c r="AM20" s="443">
        <f>'First Draft'!C925</f>
        <v>82519.861713051796</v>
      </c>
      <c r="AN20" s="443">
        <f>'First Draft'!D925</f>
        <v>10047.9143223763</v>
      </c>
      <c r="AO20" s="443">
        <f>'First Draft'!E925</f>
        <v>9252.6314907073993</v>
      </c>
      <c r="AP20" s="443">
        <f>'First Draft'!F925</f>
        <v>7337.5224307179496</v>
      </c>
      <c r="AQ20" s="443">
        <f>'First Draft'!G925</f>
        <v>-32455.425308108301</v>
      </c>
      <c r="AR20" s="534">
        <f>'First Draft'!C918</f>
        <v>22474.460273981102</v>
      </c>
      <c r="AS20" s="534">
        <f>'First Draft'!D918</f>
        <v>720.18845824897301</v>
      </c>
      <c r="AT20" s="534">
        <f>'First Draft'!E918</f>
        <v>2259.7039258181999</v>
      </c>
      <c r="AU20" s="534">
        <f>'First Draft'!F918</f>
        <v>15130.5206237733</v>
      </c>
      <c r="AV20" s="534">
        <f>'First Draft'!G918</f>
        <v>67011.685314774499</v>
      </c>
      <c r="AW20" s="553">
        <f t="shared" si="12"/>
        <v>-0.58674389636273117</v>
      </c>
      <c r="AX20" s="553">
        <f t="shared" si="6"/>
        <v>-0.23436999418583995</v>
      </c>
      <c r="AY20" s="553">
        <f t="shared" si="7"/>
        <v>-3.7864473396899414</v>
      </c>
      <c r="AZ20" s="538">
        <f t="shared" si="8"/>
        <v>-1.1825162525719444</v>
      </c>
      <c r="BA20" s="538">
        <f t="shared" si="9"/>
        <v>-0.25824677254088241</v>
      </c>
      <c r="BB20" s="455">
        <f t="shared" si="10"/>
        <v>-2.9625727949436866</v>
      </c>
    </row>
    <row r="21" spans="1:54" ht="15" customHeight="1">
      <c r="A21" s="449">
        <v>2016</v>
      </c>
      <c r="B21" s="449"/>
      <c r="C21" s="449"/>
      <c r="D21" s="441">
        <v>0.13</v>
      </c>
      <c r="E21" s="641" t="s">
        <v>624</v>
      </c>
      <c r="F21" s="642" t="s">
        <v>586</v>
      </c>
      <c r="G21" s="640" t="s">
        <v>601</v>
      </c>
      <c r="H21" s="640" t="s">
        <v>614</v>
      </c>
      <c r="I21" s="441"/>
      <c r="J21" s="438" t="s">
        <v>207</v>
      </c>
      <c r="K21" s="447">
        <f>'First Draft'!C932</f>
        <v>21509.1113705188</v>
      </c>
      <c r="L21" s="447">
        <f>'First Draft'!D932</f>
        <v>21176.294563084801</v>
      </c>
      <c r="M21" s="447">
        <f>'First Draft'!E932</f>
        <v>31415.469078414098</v>
      </c>
      <c r="N21" s="447">
        <f>'First Draft'!F932</f>
        <v>32291.183111816601</v>
      </c>
      <c r="O21" s="447">
        <f>'First Draft'!G932</f>
        <v>28189.3295965791</v>
      </c>
      <c r="P21" s="447">
        <f>'First Draft'!C936</f>
        <v>-1762.7562440112199</v>
      </c>
      <c r="Q21" s="447">
        <f>'First Draft'!D936</f>
        <v>806.78941203653801</v>
      </c>
      <c r="R21" s="447">
        <f>'First Draft'!E936</f>
        <v>-2086.7235170900799</v>
      </c>
      <c r="S21" s="447">
        <f>'First Draft'!F936</f>
        <v>-1214.1531253755099</v>
      </c>
      <c r="T21" s="447">
        <f>'First Draft'!G936</f>
        <v>-1169.01245637238</v>
      </c>
      <c r="U21" s="443">
        <f>'First Draft'!C935</f>
        <v>12280.751567520199</v>
      </c>
      <c r="V21" s="443">
        <f>'First Draft'!D935</f>
        <v>13280.667416021241</v>
      </c>
      <c r="W21" s="443">
        <f>'First Draft'!E935</f>
        <v>18340.316767588301</v>
      </c>
      <c r="X21" s="443">
        <f>'First Draft'!F935</f>
        <v>21106.728418767489</v>
      </c>
      <c r="Y21" s="443">
        <f>'First Draft'!G935</f>
        <v>17851.64540742341</v>
      </c>
      <c r="Z21" s="443">
        <f>'First Draft'!C930</f>
        <v>21304.78335464</v>
      </c>
      <c r="AA21" s="443">
        <f>'First Draft'!D930</f>
        <v>24710.126549139601</v>
      </c>
      <c r="AB21" s="443">
        <f>'First Draft'!E930</f>
        <v>30118.635942384601</v>
      </c>
      <c r="AC21" s="443">
        <f>'First Draft'!F930</f>
        <v>33372.389602214098</v>
      </c>
      <c r="AD21" s="443">
        <f>'First Draft'!G930</f>
        <v>31277.184229373899</v>
      </c>
      <c r="AE21" s="61">
        <f t="shared" si="11"/>
        <v>-3.7375885495296746E-2</v>
      </c>
      <c r="AF21" s="61">
        <f t="shared" si="0"/>
        <v>-3.6381965446518602E-2</v>
      </c>
      <c r="AG21" s="61">
        <f t="shared" si="1"/>
        <v>-6.9283466923331941E-2</v>
      </c>
      <c r="AH21" s="61">
        <f t="shared" si="2"/>
        <v>-8.7073783173682251E-2</v>
      </c>
      <c r="AI21" s="61">
        <f t="shared" si="3"/>
        <v>-9.8987988272014035E-2</v>
      </c>
      <c r="AJ21" s="61">
        <f t="shared" si="4"/>
        <v>-0.17716649431230658</v>
      </c>
      <c r="AK21" s="434"/>
      <c r="AL21" s="434"/>
      <c r="AM21" s="443">
        <f>'First Draft'!C940</f>
        <v>9024.0317871198095</v>
      </c>
      <c r="AN21" s="443">
        <f>'First Draft'!D940</f>
        <v>11429.4591331184</v>
      </c>
      <c r="AO21" s="443">
        <f>'First Draft'!E940</f>
        <v>11778.319174796299</v>
      </c>
      <c r="AP21" s="443">
        <f>'First Draft'!F940</f>
        <v>12265.6611834466</v>
      </c>
      <c r="AQ21" s="443">
        <f>'First Draft'!G940</f>
        <v>13425.5388219506</v>
      </c>
      <c r="AR21" s="534">
        <f>'First Draft'!C933</f>
        <v>3011.3894870877298</v>
      </c>
      <c r="AS21" s="534">
        <f>'First Draft'!D933</f>
        <v>2603.5673152655399</v>
      </c>
      <c r="AT21" s="534">
        <f>'First Draft'!E933</f>
        <v>4720.7064762934997</v>
      </c>
      <c r="AU21" s="534">
        <f>'First Draft'!F933</f>
        <v>4472.8538029789897</v>
      </c>
      <c r="AV21" s="534">
        <f>'First Draft'!G933</f>
        <v>6885.2438674718096</v>
      </c>
      <c r="AW21" s="553">
        <f t="shared" si="12"/>
        <v>-0.16978519263423408</v>
      </c>
      <c r="AX21" s="553">
        <f t="shared" si="6"/>
        <v>-0.27144932046892861</v>
      </c>
      <c r="AY21" s="553">
        <f t="shared" si="7"/>
        <v>-0.44203627731764578</v>
      </c>
      <c r="AZ21" s="538">
        <f t="shared" si="8"/>
        <v>-0.13428182920524565</v>
      </c>
      <c r="BA21" s="538">
        <f t="shared" si="9"/>
        <v>-0.20806302139992694</v>
      </c>
      <c r="BB21" s="455">
        <f t="shared" si="10"/>
        <v>-0.33845519715306632</v>
      </c>
    </row>
    <row r="22" spans="1:54" ht="15" customHeight="1">
      <c r="A22" s="556">
        <v>2012</v>
      </c>
      <c r="B22" s="725"/>
      <c r="C22" s="590" t="s">
        <v>487</v>
      </c>
      <c r="D22" s="452"/>
      <c r="E22" s="634" t="s">
        <v>631</v>
      </c>
      <c r="F22" s="634" t="s">
        <v>591</v>
      </c>
      <c r="G22" s="638" t="s">
        <v>601</v>
      </c>
      <c r="H22" s="638" t="s">
        <v>614</v>
      </c>
      <c r="I22" s="452"/>
      <c r="J22" s="438" t="s">
        <v>210</v>
      </c>
      <c r="K22" s="592">
        <f>'First Draft'!C946*BQ8</f>
        <v>124444.389308</v>
      </c>
      <c r="L22" s="592">
        <f>'First Draft'!D946*BR8</f>
        <v>220143.76092</v>
      </c>
      <c r="M22" s="592">
        <f>'First Draft'!E946*BS8</f>
        <v>298366.01531400002</v>
      </c>
      <c r="N22" s="592">
        <f>'First Draft'!F946*BT8</f>
        <v>304041.23281199997</v>
      </c>
      <c r="O22" s="592">
        <f>'First Draft'!G946*BU8</f>
        <v>293778.63266400003</v>
      </c>
      <c r="P22" s="592">
        <f>'First Draft'!C950*BQ8</f>
        <v>-15034.078972000001</v>
      </c>
      <c r="Q22" s="592">
        <f>'First Draft'!D950*BR8</f>
        <v>-32277.582225000002</v>
      </c>
      <c r="R22" s="592">
        <f>'First Draft'!E950*BS8</f>
        <v>91676.179742000008</v>
      </c>
      <c r="S22" s="592">
        <f>'First Draft'!F950*BT8</f>
        <v>53124.859848</v>
      </c>
      <c r="T22" s="592">
        <f>'First Draft'!G950*BU8</f>
        <v>31408.249752</v>
      </c>
      <c r="U22" s="534">
        <f>'First Draft'!C949*BQ8</f>
        <v>101695.378832</v>
      </c>
      <c r="V22" s="534">
        <f>'First Draft'!D949*BR8</f>
        <v>174602.05129500001</v>
      </c>
      <c r="W22" s="534">
        <f>'First Draft'!E949*BS8</f>
        <v>124473.520083</v>
      </c>
      <c r="X22" s="534">
        <f>'First Draft'!F949*BT8</f>
        <v>295382.796324</v>
      </c>
      <c r="Y22" s="534">
        <f>'First Draft'!G949*BU8</f>
        <v>421847.50251600001</v>
      </c>
      <c r="Z22" s="534">
        <f>'First Draft'!C944*BQ8</f>
        <v>117433.69499800001</v>
      </c>
      <c r="AA22" s="534">
        <f>'First Draft'!D944*BR8</f>
        <v>214117.59338999999</v>
      </c>
      <c r="AB22" s="534">
        <f>'First Draft'!E944*BS8</f>
        <v>221104.639792</v>
      </c>
      <c r="AC22" s="534">
        <f>'First Draft'!F944*BT8</f>
        <v>490592.01095999999</v>
      </c>
      <c r="AD22" s="534">
        <f>'First Draft'!G944*BU8</f>
        <v>604651.04567999998</v>
      </c>
      <c r="AE22" s="538">
        <f t="shared" si="11"/>
        <v>5.1944423112140314E-2</v>
      </c>
      <c r="AF22" s="538">
        <f t="shared" si="0"/>
        <v>0.10828725022253062</v>
      </c>
      <c r="AG22" s="538">
        <f t="shared" si="1"/>
        <v>0.41462802331168913</v>
      </c>
      <c r="AH22" s="538">
        <f t="shared" si="2"/>
        <v>0.17181422858867931</v>
      </c>
      <c r="AI22" s="538">
        <f t="shared" si="3"/>
        <v>0.27214319747692306</v>
      </c>
      <c r="AJ22" s="538">
        <f t="shared" si="4"/>
        <v>0.94872314444951522</v>
      </c>
      <c r="AK22" s="434"/>
      <c r="AL22" s="434"/>
      <c r="AM22" s="534">
        <f>'First Draft'!C954*BQ8</f>
        <v>15738.440392</v>
      </c>
      <c r="AN22" s="534">
        <f>'First Draft'!D954*BR8</f>
        <v>39515.701289999997</v>
      </c>
      <c r="AO22" s="534">
        <f>'First Draft'!E954*BS8</f>
        <v>96631.119709000006</v>
      </c>
      <c r="AP22" s="534">
        <f>'First Draft'!F954*BT8</f>
        <v>195209.21463599999</v>
      </c>
      <c r="AQ22" s="534">
        <f>'First Draft'!G954*BU8</f>
        <v>182803.543164</v>
      </c>
      <c r="AR22" s="534">
        <f>'Long Term Debt'!C4*BQ8</f>
        <v>78608.846313999995</v>
      </c>
      <c r="AS22" s="534">
        <f>'Long Term Debt'!D4*BR8</f>
        <v>81952.471634999994</v>
      </c>
      <c r="AT22" s="534">
        <f>'Long Term Debt'!E4*BS8</f>
        <v>25181.297430999999</v>
      </c>
      <c r="AU22" s="534">
        <f>'Long Term Debt'!F4*BT8</f>
        <v>149580.06926399999</v>
      </c>
      <c r="AV22" s="534">
        <f>'Long Term Debt'!G4*BU8</f>
        <v>235281.12022800001</v>
      </c>
      <c r="AW22" s="553">
        <f t="shared" si="12"/>
        <v>0.13349243543877945</v>
      </c>
      <c r="AX22" s="553">
        <f>S22/AU22</f>
        <v>0.35516001636713884</v>
      </c>
      <c r="AY22" s="553">
        <f>R22/AT22</f>
        <v>3.6406456018878517</v>
      </c>
      <c r="AZ22" s="538">
        <f>((AQ22/(AQ22+Y22))*AH22)+(Y22/(AQ22+Y22))*AW22</f>
        <v>0.14507822466092701</v>
      </c>
      <c r="BA22" s="538">
        <f>((AP22/(AP22+X22))*AI22)+(X22/(AP22+X22))*AX22</f>
        <v>0.3221271751159604</v>
      </c>
      <c r="BB22" s="455">
        <f>((AO22/(AO22+W22))*AJ22)+(W22/(AO22+W22))*AY22</f>
        <v>2.464173314934599</v>
      </c>
    </row>
    <row r="23" spans="1:54" ht="15" customHeight="1">
      <c r="A23" s="449">
        <v>2007</v>
      </c>
      <c r="B23" s="725"/>
      <c r="C23" s="450" t="s">
        <v>487</v>
      </c>
      <c r="D23" s="452"/>
      <c r="E23" s="634" t="s">
        <v>630</v>
      </c>
      <c r="F23" s="642" t="s">
        <v>581</v>
      </c>
      <c r="G23" s="640" t="s">
        <v>609</v>
      </c>
      <c r="H23" s="640" t="s">
        <v>621</v>
      </c>
      <c r="I23" s="452"/>
      <c r="J23" s="438" t="s">
        <v>211</v>
      </c>
      <c r="K23" s="448">
        <f>'First Draft'!C961*BV8</f>
        <v>26136.667292000002</v>
      </c>
      <c r="L23" s="448">
        <f>'First Draft'!D961*BW8</f>
        <v>27943.772999999997</v>
      </c>
      <c r="M23" s="448">
        <f>'First Draft'!E961*BX8</f>
        <v>213154.28159999999</v>
      </c>
      <c r="N23" s="448">
        <f>'First Draft'!F961*BY8</f>
        <v>206874.408</v>
      </c>
      <c r="O23" s="448">
        <f>'First Draft'!G961*BZ8</f>
        <v>254752.6452</v>
      </c>
      <c r="P23" s="448">
        <f>'First Draft'!C965*BV8</f>
        <v>3698.5474859999999</v>
      </c>
      <c r="Q23" s="448">
        <f>'First Draft'!D965*BW8</f>
        <v>11135.968999999999</v>
      </c>
      <c r="R23" s="448">
        <f>'First Draft'!E965*BX8</f>
        <v>11182.689200000001</v>
      </c>
      <c r="S23" s="448">
        <f>'First Draft'!F965*BY8</f>
        <v>6160.0319999999992</v>
      </c>
      <c r="T23" s="448">
        <f>'First Draft'!G965*BZ8</f>
        <v>18280.246800000001</v>
      </c>
      <c r="U23" s="443">
        <f>'First Draft'!C964*BV8</f>
        <v>16546.717662999999</v>
      </c>
      <c r="V23" s="443">
        <f>'First Draft'!D964*BW8</f>
        <v>11743.094999999999</v>
      </c>
      <c r="W23" s="443">
        <f>'First Draft'!E964*BX8</f>
        <v>122308.4158</v>
      </c>
      <c r="X23" s="443">
        <f>'First Draft'!F964*BY8</f>
        <v>82133.759999999995</v>
      </c>
      <c r="Y23" s="443">
        <f>'First Draft'!G964*BZ8</f>
        <v>140356.7028</v>
      </c>
      <c r="Z23" s="443">
        <f>'First Draft'!C959*BV8</f>
        <v>62733.335785000003</v>
      </c>
      <c r="AA23" s="443">
        <f>'First Draft'!D959*BW8</f>
        <v>52708.123</v>
      </c>
      <c r="AB23" s="443">
        <f>'First Draft'!E959*BX8</f>
        <v>160728.68400000001</v>
      </c>
      <c r="AC23" s="443">
        <f>'First Draft'!F959*BY8</f>
        <v>111222.79999999999</v>
      </c>
      <c r="AD23" s="443">
        <f>'First Draft'!G959*BZ8</f>
        <v>163929.01079999999</v>
      </c>
      <c r="AE23" s="61">
        <f t="shared" si="11"/>
        <v>0.11151318922007429</v>
      </c>
      <c r="AF23" s="61">
        <f t="shared" si="0"/>
        <v>5.5384615384615386E-2</v>
      </c>
      <c r="AG23" s="61">
        <f t="shared" si="1"/>
        <v>6.9574944071588374E-2</v>
      </c>
      <c r="AH23" s="61">
        <f t="shared" si="2"/>
        <v>0.77549668874172184</v>
      </c>
      <c r="AI23" s="61">
        <f t="shared" si="3"/>
        <v>0.21176470588235294</v>
      </c>
      <c r="AJ23" s="61">
        <f t="shared" si="4"/>
        <v>0.2910622367805335</v>
      </c>
      <c r="AK23" s="434"/>
      <c r="AL23" s="434"/>
      <c r="AM23" s="443">
        <f>'First Draft'!C969*BV8</f>
        <v>46186.618122</v>
      </c>
      <c r="AN23" s="443">
        <f>'First Draft'!D969*BW8</f>
        <v>40965.027999999998</v>
      </c>
      <c r="AO23" s="443">
        <f>'First Draft'!E969*BX8</f>
        <v>38420.268199999999</v>
      </c>
      <c r="AP23" s="443">
        <f>'First Draft'!F969*BY8</f>
        <v>29089.039999999997</v>
      </c>
      <c r="AQ23" s="443">
        <f>'First Draft'!G969*BZ8</f>
        <v>23572.308000000001</v>
      </c>
      <c r="AR23" s="534">
        <f>'Long Term Debt'!C5*BV8</f>
        <v>1853.912251</v>
      </c>
      <c r="AS23" s="534">
        <f>'Long Term Debt'!D5*BW8</f>
        <v>1901.2629999999999</v>
      </c>
      <c r="AT23" s="534">
        <f>'Long Term Debt'!E5*BX8</f>
        <v>7551.0119999999997</v>
      </c>
      <c r="AU23" s="534">
        <f>'Long Term Debt'!F5*BY8</f>
        <v>8555.5999999999985</v>
      </c>
      <c r="AV23" s="534">
        <f>'Long Term Debt'!G5*BZ8</f>
        <v>15782.5188</v>
      </c>
      <c r="AW23" s="553">
        <f t="shared" si="12"/>
        <v>1.1582591493570722</v>
      </c>
      <c r="AX23" s="553">
        <f t="shared" ref="AX23:AX90" si="13">S23/AU23</f>
        <v>0.72000000000000008</v>
      </c>
      <c r="AY23" s="553">
        <f t="shared" ref="AY23:AY90" si="14">R23/AT23</f>
        <v>1.480952380952381</v>
      </c>
      <c r="AZ23" s="538">
        <f t="shared" ref="AZ23:AZ90" si="15">((AQ23/(AQ23+Y23))*AH23)+(Y23/(AQ23+Y23))*AW23</f>
        <v>1.1032195040348003</v>
      </c>
      <c r="BA23" s="538">
        <f t="shared" ref="BA23:BA90" si="16">((AP23/(AP23+X23))*AI23)+(X23/(AP23+X23))*AX23</f>
        <v>0.58707692307692316</v>
      </c>
      <c r="BB23" s="455">
        <f t="shared" ref="BB23:BB90" si="17">((AO23/(AO23+W23))*AJ23)+(W23/(AO23+W23))*AY23</f>
        <v>1.1965233834025781</v>
      </c>
    </row>
    <row r="24" spans="1:54" ht="15" customHeight="1">
      <c r="A24" s="449">
        <v>2004</v>
      </c>
      <c r="B24" s="725"/>
      <c r="C24" s="450" t="s">
        <v>487</v>
      </c>
      <c r="D24" s="452"/>
      <c r="E24" s="634" t="s">
        <v>635</v>
      </c>
      <c r="F24" s="634" t="s">
        <v>592</v>
      </c>
      <c r="G24" s="638" t="s">
        <v>607</v>
      </c>
      <c r="H24" s="638" t="s">
        <v>619</v>
      </c>
      <c r="I24" s="452"/>
      <c r="J24" s="438" t="s">
        <v>212</v>
      </c>
      <c r="K24" s="447">
        <f>'First Draft'!C977*BY8</f>
        <v>35591.295999999995</v>
      </c>
      <c r="L24" s="447">
        <f>'First Draft'!D977*BZ8</f>
        <v>59008.824000000001</v>
      </c>
      <c r="M24" s="447">
        <f>'First Draft'!E977*CA8</f>
        <v>56753.484999999993</v>
      </c>
      <c r="N24" s="447">
        <f>'First Draft'!F977*CB8</f>
        <v>46531.205999999998</v>
      </c>
      <c r="O24" s="447">
        <f>'First Draft'!G977*CC8</f>
        <v>39247.205999999998</v>
      </c>
      <c r="P24" s="447">
        <f>'First Draft'!C981*BY8</f>
        <v>8726.7119999999995</v>
      </c>
      <c r="Q24" s="447">
        <f>'First Draft'!D981*BZ8</f>
        <v>37153.703999999998</v>
      </c>
      <c r="R24" s="447">
        <f>'First Draft'!E981*CA8</f>
        <v>37161.870999999999</v>
      </c>
      <c r="S24" s="447">
        <f>'First Draft'!F981*CB8</f>
        <v>31070.357999999997</v>
      </c>
      <c r="T24" s="447">
        <f>'First Draft'!G981*CC8</f>
        <v>27388.338</v>
      </c>
      <c r="U24" s="443">
        <f>'First Draft'!C980*BY8</f>
        <v>6380253.1439999994</v>
      </c>
      <c r="V24" s="443">
        <f>'First Draft'!D980*BZ8</f>
        <v>5143758.5999999996</v>
      </c>
      <c r="W24" s="443">
        <f>'First Draft'!E980*CA8</f>
        <v>4952791.1169999996</v>
      </c>
      <c r="X24" s="443">
        <f>'First Draft'!F980*CB8</f>
        <v>4200742.1339999996</v>
      </c>
      <c r="Y24" s="443">
        <f>'First Draft'!G980*CC8</f>
        <v>3787920.0869999998</v>
      </c>
      <c r="Z24" s="443">
        <f>'First Draft'!C975*BY8</f>
        <v>6652150.1119999997</v>
      </c>
      <c r="AA24" s="443">
        <f>'First Draft'!D975*BZ8</f>
        <v>5519666.6639999999</v>
      </c>
      <c r="AB24" s="443">
        <f>'First Draft'!E975*CA8</f>
        <v>5298909.6310000001</v>
      </c>
      <c r="AC24" s="443">
        <f>'First Draft'!F975*CB8</f>
        <v>4504904.5859999992</v>
      </c>
      <c r="AD24" s="443">
        <f>'First Draft'!G975*CC8</f>
        <v>4067874.0779999997</v>
      </c>
      <c r="AE24" s="61">
        <f t="shared" si="11"/>
        <v>6.7328382036510037E-3</v>
      </c>
      <c r="AF24" s="61">
        <f t="shared" si="0"/>
        <v>6.8970068970068974E-3</v>
      </c>
      <c r="AG24" s="61">
        <f t="shared" si="1"/>
        <v>7.0131165820593328E-3</v>
      </c>
      <c r="AH24" s="61">
        <f t="shared" si="2"/>
        <v>9.7831568330811913E-2</v>
      </c>
      <c r="AI24" s="61">
        <f t="shared" si="3"/>
        <v>0.10215053763440859</v>
      </c>
      <c r="AJ24" s="61">
        <f t="shared" si="4"/>
        <v>0.10736747529200361</v>
      </c>
      <c r="AK24" s="434"/>
      <c r="AL24" s="434"/>
      <c r="AM24" s="443">
        <f>'First Draft'!C985*BY8</f>
        <v>271896.96799999999</v>
      </c>
      <c r="AN24" s="443">
        <f>'First Draft'!D985*BZ8</f>
        <v>375908.06400000001</v>
      </c>
      <c r="AO24" s="443">
        <f>'First Draft'!E985*CA8</f>
        <v>346118.51399999997</v>
      </c>
      <c r="AP24" s="443">
        <f>'First Draft'!F985*CB8</f>
        <v>304162.45199999999</v>
      </c>
      <c r="AQ24" s="443">
        <f>'First Draft'!G985*CC8</f>
        <v>279953.99099999998</v>
      </c>
      <c r="AR24" s="534">
        <f>'Long Term Debt'!C6*BY8</f>
        <v>216970.01599999997</v>
      </c>
      <c r="AS24" s="534">
        <f>'Long Term Debt'!D6*BZ8</f>
        <v>194198.35199999998</v>
      </c>
      <c r="AT24" s="534">
        <f>'Long Term Debt'!E6*CA8</f>
        <v>195916.13999999998</v>
      </c>
      <c r="AU24" s="534">
        <f>'Long Term Debt'!F6*CB8</f>
        <v>141228.9</v>
      </c>
      <c r="AV24" s="534">
        <f>'Long Term Debt'!G6*CC8</f>
        <v>98823.9</v>
      </c>
      <c r="AW24" s="553">
        <f t="shared" si="12"/>
        <v>0.27714285714285714</v>
      </c>
      <c r="AX24" s="553">
        <f t="shared" si="13"/>
        <v>0.21999999999999997</v>
      </c>
      <c r="AY24" s="553">
        <f t="shared" si="14"/>
        <v>0.1896825396825397</v>
      </c>
      <c r="AZ24" s="538">
        <f t="shared" si="15"/>
        <v>0.26480252654959396</v>
      </c>
      <c r="BA24" s="538">
        <f t="shared" si="16"/>
        <v>0.21204303204303204</v>
      </c>
      <c r="BB24" s="455">
        <f t="shared" si="17"/>
        <v>0.18430581696962756</v>
      </c>
    </row>
    <row r="25" spans="1:54" ht="15" customHeight="1">
      <c r="A25" s="449">
        <v>2008</v>
      </c>
      <c r="B25" s="725"/>
      <c r="C25" s="450" t="s">
        <v>487</v>
      </c>
      <c r="D25" s="453">
        <v>0.48</v>
      </c>
      <c r="E25" s="653" t="s">
        <v>636</v>
      </c>
      <c r="F25" s="634" t="s">
        <v>593</v>
      </c>
      <c r="G25" s="638" t="s">
        <v>599</v>
      </c>
      <c r="H25" s="638" t="s">
        <v>612</v>
      </c>
      <c r="I25" s="453"/>
      <c r="J25" s="438" t="s">
        <v>245</v>
      </c>
      <c r="K25" s="444">
        <f>'First Draft'!C1022*BU8</f>
        <v>262576.83988799999</v>
      </c>
      <c r="L25" s="444">
        <f>'First Draft'!D1022*BV8</f>
        <v>220537.200216</v>
      </c>
      <c r="M25" s="444">
        <f>'First Draft'!E1022*BW8</f>
        <v>190248.20450999998</v>
      </c>
      <c r="N25" s="444">
        <f>'First Draft'!F1022*BX8</f>
        <v>182456.72103000002</v>
      </c>
      <c r="O25" s="444">
        <f>'First Draft'!G1022*BY8</f>
        <v>152242.62419999999</v>
      </c>
      <c r="P25" s="444">
        <f>'First Draft'!C1026*BU8</f>
        <v>-14396.444964</v>
      </c>
      <c r="Q25" s="444">
        <f>'First Draft'!D1026*BV8</f>
        <v>-113841.079573</v>
      </c>
      <c r="R25" s="444">
        <f>'First Draft'!E1026*BW8</f>
        <v>-1969.48479</v>
      </c>
      <c r="S25" s="444">
        <f>'First Draft'!F1026*BX8</f>
        <v>-8088.2125679999999</v>
      </c>
      <c r="T25" s="444">
        <f>'First Draft'!G1026*BY8</f>
        <v>7937.2012319999994</v>
      </c>
      <c r="U25" s="443">
        <f>'First Draft'!C1025*BU8</f>
        <v>191491.881372</v>
      </c>
      <c r="V25" s="443">
        <f>'First Draft'!D1025*BV8</f>
        <v>167697.305012</v>
      </c>
      <c r="W25" s="443">
        <f>'First Draft'!E1025*BW8</f>
        <v>123017.78736</v>
      </c>
      <c r="X25" s="443">
        <f>'First Draft'!F1025*BX8</f>
        <v>411593.79824400001</v>
      </c>
      <c r="Y25" s="443">
        <f>'First Draft'!G1025*BY8</f>
        <v>203814.58321599997</v>
      </c>
      <c r="Z25" s="443">
        <f>'First Draft'!C1020*BU8</f>
        <v>314184.29723999999</v>
      </c>
      <c r="AA25" s="443">
        <f>'First Draft'!D1020*BV8</f>
        <v>311619.44028700003</v>
      </c>
      <c r="AB25" s="443">
        <f>'First Draft'!E1020*BW8</f>
        <v>376800.92891999998</v>
      </c>
      <c r="AC25" s="443">
        <f>'First Draft'!F1020*BX8</f>
        <v>699387.13667399995</v>
      </c>
      <c r="AD25" s="443">
        <f>'First Draft'!G1020*BY8</f>
        <v>380272.29320799996</v>
      </c>
      <c r="AE25" s="61">
        <f t="shared" si="11"/>
        <v>2.0872415302838111E-2</v>
      </c>
      <c r="AF25" s="61">
        <f t="shared" si="0"/>
        <v>-1.156471451057027E-2</v>
      </c>
      <c r="AG25" s="61">
        <f t="shared" si="1"/>
        <v>-5.2268575760813707E-3</v>
      </c>
      <c r="AH25" s="61">
        <f t="shared" si="2"/>
        <v>4.4980799813816377E-2</v>
      </c>
      <c r="AI25" s="61">
        <f t="shared" si="3"/>
        <v>-2.8104238312546267E-2</v>
      </c>
      <c r="AJ25" s="61">
        <f t="shared" si="4"/>
        <v>-7.7605028367669169E-3</v>
      </c>
      <c r="AK25" s="434"/>
      <c r="AL25" s="434"/>
      <c r="AM25" s="443">
        <f>'First Draft'!C1030*BU8</f>
        <v>122692.415868</v>
      </c>
      <c r="AN25" s="443">
        <f>'First Draft'!D1030*BV8</f>
        <v>143922.13527500001</v>
      </c>
      <c r="AO25" s="443">
        <f>'First Draft'!E1030*BW8</f>
        <v>253783.14155999999</v>
      </c>
      <c r="AP25" s="443">
        <f>'First Draft'!F1030*BX8</f>
        <v>287793.33843</v>
      </c>
      <c r="AQ25" s="443">
        <f>'First Draft'!G1030*BY8</f>
        <v>176457.53887999998</v>
      </c>
      <c r="AR25" s="534">
        <f>'Long Term Debt'!C8*BU8</f>
        <v>97864.535736000005</v>
      </c>
      <c r="AS25" s="534">
        <f>'Long Term Debt'!D8*BV8</f>
        <v>101568.747032</v>
      </c>
      <c r="AT25" s="534">
        <f>'Long Term Debt'!E8*BW8</f>
        <v>630.45241999999996</v>
      </c>
      <c r="AU25" s="534">
        <f>'Long Term Debt'!F8*BX8</f>
        <v>58738.962776</v>
      </c>
      <c r="AV25" s="534">
        <f>'Long Term Debt'!G8*BY8</f>
        <v>142335.92384799998</v>
      </c>
      <c r="AW25" s="553">
        <f t="shared" si="12"/>
        <v>5.5763864928969779E-2</v>
      </c>
      <c r="AX25" s="553">
        <f t="shared" si="13"/>
        <v>-0.13769757220338152</v>
      </c>
      <c r="AY25" s="553">
        <f t="shared" si="14"/>
        <v>-3.1239229599594527</v>
      </c>
      <c r="AZ25" s="538">
        <f t="shared" si="15"/>
        <v>5.0760203021504469E-2</v>
      </c>
      <c r="BA25" s="538">
        <f t="shared" si="16"/>
        <v>-9.2600615487663809E-2</v>
      </c>
      <c r="BB25" s="455">
        <f t="shared" si="17"/>
        <v>-1.0251237339420776</v>
      </c>
    </row>
    <row r="26" spans="1:54" ht="15" customHeight="1">
      <c r="A26" s="449">
        <v>2008</v>
      </c>
      <c r="B26" s="725"/>
      <c r="C26" s="450" t="s">
        <v>435</v>
      </c>
      <c r="D26" s="454">
        <v>0.3</v>
      </c>
      <c r="E26" s="633" t="s">
        <v>637</v>
      </c>
      <c r="F26" s="633" t="s">
        <v>594</v>
      </c>
      <c r="G26" s="632" t="s">
        <v>608</v>
      </c>
      <c r="H26" s="632" t="s">
        <v>620</v>
      </c>
      <c r="I26" s="454"/>
      <c r="J26" s="438" t="s">
        <v>256</v>
      </c>
      <c r="K26" s="448">
        <f>'First Draft'!C1037</f>
        <v>52777</v>
      </c>
      <c r="L26" s="448">
        <f>'First Draft'!D1037</f>
        <v>171837</v>
      </c>
      <c r="M26" s="448">
        <f>'First Draft'!E1037</f>
        <v>298303</v>
      </c>
      <c r="N26" s="448">
        <f>'First Draft'!F1037</f>
        <v>314608</v>
      </c>
      <c r="O26" s="448">
        <f>'First Draft'!G1037</f>
        <v>192981</v>
      </c>
      <c r="P26" s="448">
        <f>'First Draft'!C1041</f>
        <v>5567</v>
      </c>
      <c r="Q26" s="448">
        <f>'First Draft'!D1041</f>
        <v>-15905</v>
      </c>
      <c r="R26" s="448">
        <f>'First Draft'!E1041</f>
        <v>-90877</v>
      </c>
      <c r="S26" s="448">
        <f>'First Draft'!F1041</f>
        <v>11035</v>
      </c>
      <c r="T26" s="448">
        <f>'First Draft'!G1041</f>
        <v>56584</v>
      </c>
      <c r="U26" s="443">
        <f>'First Draft'!C1040</f>
        <v>75143</v>
      </c>
      <c r="V26" s="443">
        <f>'First Draft'!D1040</f>
        <v>31180</v>
      </c>
      <c r="W26" s="443">
        <f>'First Draft'!E1040</f>
        <v>207788</v>
      </c>
      <c r="X26" s="443">
        <f>'First Draft'!F1040</f>
        <v>267864</v>
      </c>
      <c r="Y26" s="443">
        <f>'First Draft'!G1040</f>
        <v>259436</v>
      </c>
      <c r="Z26" s="443">
        <f>'First Draft'!C1035</f>
        <v>200784</v>
      </c>
      <c r="AA26" s="443">
        <f>'First Draft'!D1035</f>
        <v>197249</v>
      </c>
      <c r="AB26" s="443">
        <f>'First Draft'!E1035</f>
        <v>373802</v>
      </c>
      <c r="AC26" s="443">
        <f>'First Draft'!F1035</f>
        <v>572416</v>
      </c>
      <c r="AD26" s="443">
        <f>'First Draft'!G1035</f>
        <v>552680</v>
      </c>
      <c r="AE26" s="61">
        <f t="shared" si="11"/>
        <v>0.10238112470145473</v>
      </c>
      <c r="AF26" s="61">
        <f t="shared" si="0"/>
        <v>1.9277937723613595E-2</v>
      </c>
      <c r="AG26" s="61">
        <f t="shared" si="1"/>
        <v>-0.24311533913676225</v>
      </c>
      <c r="AH26" s="61">
        <f t="shared" si="2"/>
        <v>0.19295810670258656</v>
      </c>
      <c r="AI26" s="61">
        <f t="shared" si="3"/>
        <v>3.6233549607292019E-2</v>
      </c>
      <c r="AJ26" s="61">
        <f t="shared" si="4"/>
        <v>-0.54740564048815166</v>
      </c>
      <c r="AK26" s="434"/>
      <c r="AL26" s="434"/>
      <c r="AM26" s="443">
        <f>'First Draft'!C1045</f>
        <v>125641</v>
      </c>
      <c r="AN26" s="443">
        <f>'First Draft'!D1045</f>
        <v>166070</v>
      </c>
      <c r="AO26" s="443">
        <f>'First Draft'!E1045</f>
        <v>166014</v>
      </c>
      <c r="AP26" s="443">
        <f>'First Draft'!F1045</f>
        <v>304552</v>
      </c>
      <c r="AQ26" s="443">
        <f>'First Draft'!G1045</f>
        <v>293245</v>
      </c>
      <c r="AR26" s="534">
        <f>'Long Term Debt'!C9</f>
        <v>0</v>
      </c>
      <c r="AS26" s="534">
        <f>'Long Term Debt'!D9</f>
        <v>0</v>
      </c>
      <c r="AT26" s="534">
        <f>'Long Term Debt'!E9</f>
        <v>73528</v>
      </c>
      <c r="AU26" s="534">
        <f>'Long Term Debt'!F9</f>
        <v>102512</v>
      </c>
      <c r="AV26" s="534">
        <f>'Long Term Debt'!G9</f>
        <v>141620</v>
      </c>
      <c r="AW26" s="553">
        <f t="shared" si="12"/>
        <v>0.39954808642847056</v>
      </c>
      <c r="AX26" s="553">
        <f t="shared" si="13"/>
        <v>0.10764593413454035</v>
      </c>
      <c r="AY26" s="553">
        <f t="shared" si="14"/>
        <v>-1.2359509302578608</v>
      </c>
      <c r="AZ26" s="538">
        <f t="shared" si="15"/>
        <v>0.2899342610848874</v>
      </c>
      <c r="BA26" s="538">
        <f t="shared" si="16"/>
        <v>6.9651216075397121E-2</v>
      </c>
      <c r="BB26" s="455">
        <f t="shared" si="17"/>
        <v>-0.93015225144975244</v>
      </c>
    </row>
    <row r="27" spans="1:54" ht="15" customHeight="1">
      <c r="A27" s="449">
        <v>2006</v>
      </c>
      <c r="B27" s="725"/>
      <c r="C27" s="450" t="s">
        <v>487</v>
      </c>
      <c r="D27" s="454">
        <v>0.31</v>
      </c>
      <c r="E27" s="654" t="s">
        <v>629</v>
      </c>
      <c r="F27" s="200" t="s">
        <v>590</v>
      </c>
      <c r="G27" s="637" t="s">
        <v>604</v>
      </c>
      <c r="H27" s="637" t="s">
        <v>616</v>
      </c>
      <c r="I27" s="454"/>
      <c r="J27" s="438" t="s">
        <v>257</v>
      </c>
      <c r="K27" s="448">
        <f>'First Draft'!C1052*BW8</f>
        <v>45343.205309999998</v>
      </c>
      <c r="L27" s="448">
        <f>'First Draft'!D1052*BX8</f>
        <v>62112.467279999997</v>
      </c>
      <c r="M27" s="448">
        <f>'First Draft'!E1052*BY8</f>
        <v>51026.625071999995</v>
      </c>
      <c r="N27" s="448">
        <f>'First Draft'!F1052*BZ8</f>
        <v>40224.972792</v>
      </c>
      <c r="O27" s="448">
        <f>'First Draft'!G1052*CA8</f>
        <v>42118.393852999994</v>
      </c>
      <c r="P27" s="448">
        <f>'First Draft'!C1056*BW8</f>
        <v>6001.9198200000001</v>
      </c>
      <c r="Q27" s="448">
        <f>'First Draft'!D1056*BX8</f>
        <v>12208.188544000001</v>
      </c>
      <c r="R27" s="448">
        <f>'First Draft'!E1056*BY8</f>
        <v>8090.0042479999993</v>
      </c>
      <c r="S27" s="448">
        <f>'First Draft'!F1056*BZ8</f>
        <v>4982.342928</v>
      </c>
      <c r="T27" s="448">
        <f>'First Draft'!G1056*CA8</f>
        <v>8117.7697119999993</v>
      </c>
      <c r="U27" s="443">
        <f>'First Draft'!C1055*BW8</f>
        <v>27077.180519999998</v>
      </c>
      <c r="V27" s="443">
        <f>'First Draft'!D1055*BX8</f>
        <v>32326.961088</v>
      </c>
      <c r="W27" s="443">
        <f>'First Draft'!E1055*BY8</f>
        <v>18561.545311999998</v>
      </c>
      <c r="X27" s="443">
        <f>'First Draft'!F1055*BZ8</f>
        <v>13281.044207999999</v>
      </c>
      <c r="Y27" s="443">
        <f>'First Draft'!G1055*CA8</f>
        <v>18460.587013999997</v>
      </c>
      <c r="Z27" s="443">
        <f>'First Draft'!C1050*BW8</f>
        <v>40763.717799999999</v>
      </c>
      <c r="AA27" s="443">
        <f>'First Draft'!D1050*BX8</f>
        <v>48174.198058000002</v>
      </c>
      <c r="AB27" s="443">
        <f>'First Draft'!E1050*BY8</f>
        <v>36209.694767999994</v>
      </c>
      <c r="AC27" s="443">
        <f>'First Draft'!F1050*BZ8</f>
        <v>27731.337336000001</v>
      </c>
      <c r="AD27" s="443">
        <f>'First Draft'!G1050*CA8</f>
        <v>35323.213574999994</v>
      </c>
      <c r="AE27" s="61">
        <f t="shared" si="11"/>
        <v>0.22981402002861231</v>
      </c>
      <c r="AF27" s="61">
        <f t="shared" si="0"/>
        <v>0.17966471892908209</v>
      </c>
      <c r="AG27" s="61">
        <f t="shared" si="1"/>
        <v>0.22342094568412299</v>
      </c>
      <c r="AH27" s="61">
        <f t="shared" si="2"/>
        <v>0.48139712865718159</v>
      </c>
      <c r="AI27" s="61">
        <f t="shared" si="3"/>
        <v>0.34479182421191368</v>
      </c>
      <c r="AJ27" s="61">
        <f t="shared" si="4"/>
        <v>0.45840524346021833</v>
      </c>
      <c r="AK27" s="434"/>
      <c r="AL27" s="434"/>
      <c r="AM27" s="443">
        <f>'First Draft'!C1060*BW8</f>
        <v>13686.53728</v>
      </c>
      <c r="AN27" s="443">
        <f>'First Draft'!D1060*BX8</f>
        <v>15847.23697</v>
      </c>
      <c r="AO27" s="443">
        <f>'First Draft'!E1060*BY8</f>
        <v>17648.149455999999</v>
      </c>
      <c r="AP27" s="443">
        <f>'First Draft'!F1060*BZ8</f>
        <v>14450.293127999999</v>
      </c>
      <c r="AQ27" s="443">
        <f>'First Draft'!G1060*CA8</f>
        <v>16862.937538999999</v>
      </c>
      <c r="AR27" s="534">
        <f>'Long Term Debt'!C10*BW8</f>
        <v>2732.5463099999997</v>
      </c>
      <c r="AS27" s="534">
        <f>'Long Term Debt'!D10*BX8</f>
        <v>2575.4344500000002</v>
      </c>
      <c r="AT27" s="534">
        <f>'Long Term Debt'!E10*BY8</f>
        <v>3093.8760719999996</v>
      </c>
      <c r="AU27" s="534">
        <f>'Long Term Debt'!F10*BZ8</f>
        <v>663.61510799999996</v>
      </c>
      <c r="AV27" s="534">
        <f>'Long Term Debt'!G10*CA8</f>
        <v>1255.7291639999999</v>
      </c>
      <c r="AW27" s="553">
        <f t="shared" si="12"/>
        <v>6.4645864289252106</v>
      </c>
      <c r="AX27" s="553">
        <f t="shared" si="13"/>
        <v>7.5078804987061876</v>
      </c>
      <c r="AY27" s="553">
        <f t="shared" si="14"/>
        <v>2.6148443117084232</v>
      </c>
      <c r="AZ27" s="538">
        <f t="shared" si="15"/>
        <v>3.6082987642260198</v>
      </c>
      <c r="BA27" s="538">
        <f t="shared" si="16"/>
        <v>3.7753258875036741</v>
      </c>
      <c r="BB27" s="455">
        <f t="shared" si="17"/>
        <v>1.563823053091397</v>
      </c>
    </row>
    <row r="28" spans="1:54" ht="15" customHeight="1">
      <c r="A28" s="449">
        <v>2005</v>
      </c>
      <c r="B28" s="725"/>
      <c r="C28" s="450" t="s">
        <v>487</v>
      </c>
      <c r="D28" s="452"/>
      <c r="E28" s="634" t="s">
        <v>636</v>
      </c>
      <c r="F28" s="634" t="s">
        <v>593</v>
      </c>
      <c r="G28" s="638" t="s">
        <v>604</v>
      </c>
      <c r="H28" s="638" t="s">
        <v>616</v>
      </c>
      <c r="I28" s="452"/>
      <c r="J28" s="438" t="s">
        <v>258</v>
      </c>
      <c r="K28" s="447">
        <f>'First Draft'!C1067*BX8</f>
        <v>9115.1502</v>
      </c>
      <c r="L28" s="447">
        <f>'First Draft'!D1067*BY8</f>
        <v>9066.7115439999998</v>
      </c>
      <c r="M28" s="447">
        <f>'First Draft'!E1067*BZ8</f>
        <v>8152.8964079999996</v>
      </c>
      <c r="N28" s="447">
        <f>'First Draft'!F1067*CA8</f>
        <v>8511.1568819999993</v>
      </c>
      <c r="O28" s="447">
        <f>'First Draft'!G1067*CB8</f>
        <v>8113.5259739999992</v>
      </c>
      <c r="P28" s="447">
        <f>'First Draft'!C1071*BX8</f>
        <v>-20.67539</v>
      </c>
      <c r="Q28" s="447">
        <f>'First Draft'!D1071*BY8</f>
        <v>661.34787999999992</v>
      </c>
      <c r="R28" s="447">
        <f>'First Draft'!E1071*BZ8</f>
        <v>729.96100799999999</v>
      </c>
      <c r="S28" s="447">
        <f>'First Draft'!F1071*CA8</f>
        <v>384.21331899999996</v>
      </c>
      <c r="T28" s="447">
        <f>'First Draft'!G1071*CB8</f>
        <v>1706.9370839999999</v>
      </c>
      <c r="U28" s="443">
        <f>'First Draft'!C1070*BX8</f>
        <v>5572.6468560000003</v>
      </c>
      <c r="V28" s="443">
        <f>'First Draft'!D1070*BY8</f>
        <v>7262.5066159999997</v>
      </c>
      <c r="W28" s="443">
        <f>'First Draft'!E1070*BZ8</f>
        <v>5033.7024599999995</v>
      </c>
      <c r="X28" s="443">
        <f>'First Draft'!F1070*CA8</f>
        <v>3921.7435579999997</v>
      </c>
      <c r="Y28" s="443">
        <f>'First Draft'!G1070*CB8</f>
        <v>3155.4996119999996</v>
      </c>
      <c r="Z28" s="443">
        <f>'First Draft'!C1065*BX8</f>
        <v>9447.5745139999999</v>
      </c>
      <c r="AA28" s="443">
        <f>'First Draft'!D1065*BY8</f>
        <v>11416.934863999999</v>
      </c>
      <c r="AB28" s="443">
        <f>'First Draft'!E1065*BZ8</f>
        <v>8766.0886319999991</v>
      </c>
      <c r="AC28" s="443">
        <f>'First Draft'!F1065*CA8</f>
        <v>8151.8218029999998</v>
      </c>
      <c r="AD28" s="443">
        <f>'First Draft'!G1065*CB8</f>
        <v>7633.9423619999998</v>
      </c>
      <c r="AE28" s="61">
        <f t="shared" si="11"/>
        <v>0.22359837198886098</v>
      </c>
      <c r="AF28" s="61">
        <f t="shared" si="0"/>
        <v>4.7132202872565657E-2</v>
      </c>
      <c r="AG28" s="61">
        <f t="shared" si="1"/>
        <v>8.3271004736973325E-2</v>
      </c>
      <c r="AH28" s="61">
        <f t="shared" si="2"/>
        <v>0.38114522821576768</v>
      </c>
      <c r="AI28" s="61">
        <f t="shared" si="3"/>
        <v>9.0828891747840465E-2</v>
      </c>
      <c r="AJ28" s="61">
        <f t="shared" si="4"/>
        <v>0.19557488811744531</v>
      </c>
      <c r="AK28" s="434"/>
      <c r="AL28" s="434"/>
      <c r="AM28" s="443">
        <f>'First Draft'!C1075*BX8</f>
        <v>3874.9276580000001</v>
      </c>
      <c r="AN28" s="443">
        <f>'First Draft'!D1075*BY8</f>
        <v>4154.4282479999993</v>
      </c>
      <c r="AO28" s="443">
        <f>'First Draft'!E1075*BZ8</f>
        <v>3732.386172</v>
      </c>
      <c r="AP28" s="443">
        <f>'First Draft'!F1075*CA8</f>
        <v>4230.0782449999997</v>
      </c>
      <c r="AQ28" s="443">
        <f>'First Draft'!G1075*CB8</f>
        <v>4478.4427499999993</v>
      </c>
      <c r="AR28" s="534">
        <f>'Long Term Debt'!C11*BX8</f>
        <v>1510.2024000000001</v>
      </c>
      <c r="AS28" s="534">
        <f>'Long Term Debt'!D11*BY8</f>
        <v>1296.8578479999999</v>
      </c>
      <c r="AT28" s="534">
        <f>'Long Term Debt'!E11*BZ8</f>
        <v>887.00565599999993</v>
      </c>
      <c r="AU28" s="534">
        <f>'Long Term Debt'!F11*CA8</f>
        <v>1306.1075999999998</v>
      </c>
      <c r="AV28" s="534">
        <f>'Long Term Debt'!G11*CB8</f>
        <v>1782.3087179999998</v>
      </c>
      <c r="AW28" s="553">
        <f t="shared" si="12"/>
        <v>0.95771123529902413</v>
      </c>
      <c r="AX28" s="553">
        <f t="shared" si="13"/>
        <v>0.29416666666666669</v>
      </c>
      <c r="AY28" s="553">
        <f t="shared" si="14"/>
        <v>0.82294966561070049</v>
      </c>
      <c r="AZ28" s="538">
        <f t="shared" si="15"/>
        <v>0.61946950751605789</v>
      </c>
      <c r="BA28" s="538">
        <f t="shared" si="16"/>
        <v>0.18865225297397653</v>
      </c>
      <c r="BB28" s="455">
        <f t="shared" si="17"/>
        <v>0.55582882728954364</v>
      </c>
    </row>
    <row r="29" spans="1:54" ht="15" customHeight="1">
      <c r="A29" s="680">
        <v>2013</v>
      </c>
      <c r="B29" s="718"/>
      <c r="C29" s="735"/>
      <c r="D29" s="705">
        <v>0.1</v>
      </c>
      <c r="E29" s="704" t="s">
        <v>636</v>
      </c>
      <c r="F29" s="737" t="s">
        <v>593</v>
      </c>
      <c r="G29" s="770" t="s">
        <v>601</v>
      </c>
      <c r="H29" s="770" t="s">
        <v>614</v>
      </c>
      <c r="I29" s="705"/>
      <c r="J29" s="708" t="s">
        <v>259</v>
      </c>
      <c r="K29" s="730">
        <f>'First Draft'!C1083</f>
        <v>3845</v>
      </c>
      <c r="L29" s="730">
        <f>'First Draft'!D1083</f>
        <v>4413</v>
      </c>
      <c r="M29" s="730">
        <f>'First Draft'!E1083</f>
        <v>4479</v>
      </c>
      <c r="N29" s="730">
        <f>'First Draft'!F1083</f>
        <v>1898.0262976884801</v>
      </c>
      <c r="O29" s="730">
        <f>'First Draft'!G1083</f>
        <v>874.86534878611599</v>
      </c>
      <c r="P29" s="730">
        <f>'First Draft'!C1087</f>
        <v>-44213</v>
      </c>
      <c r="Q29" s="730">
        <f>'First Draft'!D1087</f>
        <v>-31788</v>
      </c>
      <c r="R29" s="730">
        <f>'First Draft'!E1087</f>
        <v>-25796</v>
      </c>
      <c r="S29" s="730">
        <f>'First Draft'!F1087</f>
        <v>-13695.065658867399</v>
      </c>
      <c r="T29" s="730">
        <f>'First Draft'!G1087</f>
        <v>-8388.68939504027</v>
      </c>
      <c r="U29" s="756">
        <f>'First Draft'!C1086</f>
        <v>20639</v>
      </c>
      <c r="V29" s="756">
        <f>'First Draft'!D1086</f>
        <v>5170</v>
      </c>
      <c r="W29" s="756">
        <f>'First Draft'!E1086</f>
        <v>4748</v>
      </c>
      <c r="X29" s="756">
        <f>'First Draft'!F1086</f>
        <v>5867.7631019353903</v>
      </c>
      <c r="Y29" s="756">
        <f>'First Draft'!G1086</f>
        <v>1764.9910207092801</v>
      </c>
      <c r="Z29" s="756">
        <f>'First Draft'!C1081</f>
        <v>104134</v>
      </c>
      <c r="AA29" s="756">
        <f>'First Draft'!D1081</f>
        <v>29815</v>
      </c>
      <c r="AB29" s="756">
        <f>'First Draft'!E1081</f>
        <v>41059</v>
      </c>
      <c r="AC29" s="756">
        <f>'First Draft'!F1081</f>
        <v>48253.124539822304</v>
      </c>
      <c r="AD29" s="756">
        <f>'First Draft'!G1081</f>
        <v>7177.9174040257903</v>
      </c>
      <c r="AE29" s="766">
        <f t="shared" si="11"/>
        <v>-1.1686801230584527</v>
      </c>
      <c r="AF29" s="766">
        <f t="shared" si="0"/>
        <v>-0.2838171784619905</v>
      </c>
      <c r="AG29" s="766">
        <f t="shared" si="1"/>
        <v>-0.6282666406877907</v>
      </c>
      <c r="AH29" s="766">
        <f t="shared" si="2"/>
        <v>-1.549751243781093</v>
      </c>
      <c r="AI29" s="766">
        <f t="shared" si="3"/>
        <v>-0.32310838445807832</v>
      </c>
      <c r="AJ29" s="766">
        <f t="shared" si="4"/>
        <v>-0.71041833053344716</v>
      </c>
      <c r="AK29" s="751"/>
      <c r="AL29" s="751"/>
      <c r="AM29" s="756">
        <f>'First Draft'!C1091</f>
        <v>83495</v>
      </c>
      <c r="AN29" s="756">
        <f>'First Draft'!D1091</f>
        <v>24645</v>
      </c>
      <c r="AO29" s="756">
        <f>'First Draft'!E1091</f>
        <v>36311</v>
      </c>
      <c r="AP29" s="756">
        <f>'First Draft'!F1091</f>
        <v>42385.361437886997</v>
      </c>
      <c r="AQ29" s="756">
        <f>'First Draft'!G1091</f>
        <v>5412.9263833165196</v>
      </c>
      <c r="AR29" s="756">
        <f>'First Draft'!C1084</f>
        <v>12850</v>
      </c>
      <c r="AS29" s="756">
        <f>'First Draft'!D1084</f>
        <v>0</v>
      </c>
      <c r="AT29" s="756">
        <f>'First Draft'!E1084</f>
        <v>0</v>
      </c>
      <c r="AU29" s="756">
        <f>'First Draft'!F1084</f>
        <v>0</v>
      </c>
      <c r="AV29" s="756">
        <f>'First Draft'!G1084</f>
        <v>0</v>
      </c>
      <c r="AW29" s="743" t="e">
        <f t="shared" si="12"/>
        <v>#DIV/0!</v>
      </c>
      <c r="AX29" s="743" t="e">
        <f t="shared" si="13"/>
        <v>#DIV/0!</v>
      </c>
      <c r="AY29" s="743" t="e">
        <f t="shared" si="14"/>
        <v>#DIV/0!</v>
      </c>
      <c r="AZ29" s="766" t="e">
        <f t="shared" si="15"/>
        <v>#DIV/0!</v>
      </c>
      <c r="BA29" s="766" t="e">
        <f t="shared" si="16"/>
        <v>#DIV/0!</v>
      </c>
      <c r="BB29" s="760" t="e">
        <f t="shared" si="17"/>
        <v>#DIV/0!</v>
      </c>
    </row>
    <row r="30" spans="1:54" ht="15" customHeight="1">
      <c r="A30" s="680">
        <v>2010</v>
      </c>
      <c r="B30" s="716"/>
      <c r="C30" s="735" t="s">
        <v>487</v>
      </c>
      <c r="D30" s="705">
        <v>0.21</v>
      </c>
      <c r="E30" s="704" t="s">
        <v>638</v>
      </c>
      <c r="F30" s="737" t="s">
        <v>595</v>
      </c>
      <c r="G30" s="770" t="s">
        <v>607</v>
      </c>
      <c r="H30" s="770" t="s">
        <v>619</v>
      </c>
      <c r="I30" s="705"/>
      <c r="J30" s="708" t="s">
        <v>260</v>
      </c>
      <c r="K30" s="722">
        <f>'First Draft'!C1098*BS8</f>
        <v>61.977187999999998</v>
      </c>
      <c r="L30" s="722">
        <f>'First Draft'!D1098*BT8</f>
        <v>45.731783999999998</v>
      </c>
      <c r="M30" s="722">
        <f>'First Draft'!E1098*BU8</f>
        <v>67.687883999999997</v>
      </c>
      <c r="N30" s="722">
        <f>'First Draft'!F1098*BV8</f>
        <v>0.165661</v>
      </c>
      <c r="O30" s="722">
        <f>'First Draft'!G1098*BW8</f>
        <v>0.15977</v>
      </c>
      <c r="P30" s="722">
        <f>'First Draft'!C1102*BS8</f>
        <v>1212.1307730000001</v>
      </c>
      <c r="Q30" s="722">
        <f>'First Draft'!D1102*BT8</f>
        <v>-11256.895823999999</v>
      </c>
      <c r="R30" s="722">
        <f>'First Draft'!E1102*BU8</f>
        <v>-3766.5896400000001</v>
      </c>
      <c r="S30" s="722">
        <f>'First Draft'!F1102*BV8</f>
        <v>670.43006700000001</v>
      </c>
      <c r="T30" s="722">
        <f>'First Draft'!G1102*BW8</f>
        <v>-11580.768679999999</v>
      </c>
      <c r="U30" s="756">
        <f>'First Draft'!C1101*BS8</f>
        <v>813.53572599999995</v>
      </c>
      <c r="V30" s="756">
        <f>'First Draft'!D1101*BT8</f>
        <v>488.43608399999999</v>
      </c>
      <c r="W30" s="756">
        <f>'First Draft'!E1101*BU8</f>
        <v>456.134184</v>
      </c>
      <c r="X30" s="756">
        <f>'First Draft'!F1101*BV8</f>
        <v>894.56939999999997</v>
      </c>
      <c r="Y30" s="756">
        <f>'First Draft'!G1101*BW8</f>
        <v>959.09930999999995</v>
      </c>
      <c r="Z30" s="756">
        <f>'First Draft'!C1096*BS8</f>
        <v>80733.800719999999</v>
      </c>
      <c r="AA30" s="756">
        <f>'First Draft'!D1096*BT8</f>
        <v>79798.52459999999</v>
      </c>
      <c r="AB30" s="756">
        <f>'First Draft'!E1096*BU8</f>
        <v>93803.262696000005</v>
      </c>
      <c r="AC30" s="756">
        <f>'First Draft'!F1096*BV8</f>
        <v>96478.978468000001</v>
      </c>
      <c r="AD30" s="756">
        <f>'First Draft'!G1096*BW8</f>
        <v>92349.296780000004</v>
      </c>
      <c r="AE30" s="766">
        <f t="shared" si="11"/>
        <v>-0.12540180687665003</v>
      </c>
      <c r="AF30" s="766">
        <f t="shared" si="0"/>
        <v>6.9489755970246637E-3</v>
      </c>
      <c r="AG30" s="766">
        <f t="shared" si="1"/>
        <v>-4.0154143168845413E-2</v>
      </c>
      <c r="AH30" s="766">
        <f t="shared" si="2"/>
        <v>-0.12671784283868667</v>
      </c>
      <c r="AI30" s="766">
        <f t="shared" si="3"/>
        <v>7.0140106899970181E-3</v>
      </c>
      <c r="AJ30" s="766">
        <f t="shared" si="4"/>
        <v>-4.035035356782074E-2</v>
      </c>
      <c r="AK30" s="751"/>
      <c r="AL30" s="751"/>
      <c r="AM30" s="756">
        <f>'First Draft'!C1106*BS8</f>
        <v>79920.264993999997</v>
      </c>
      <c r="AN30" s="756">
        <f>'First Draft'!D1106*BT8</f>
        <v>79310.088516000003</v>
      </c>
      <c r="AO30" s="756">
        <f>'First Draft'!E1106*BU8</f>
        <v>93347.128511999996</v>
      </c>
      <c r="AP30" s="756">
        <f>'First Draft'!F1106*BV8</f>
        <v>95584.409068000008</v>
      </c>
      <c r="AQ30" s="756">
        <f>'First Draft'!G1106*BW8</f>
        <v>91390.197469999999</v>
      </c>
      <c r="AR30" s="756">
        <f>'Long Term Debt'!C12*BS8</f>
        <v>462.785706</v>
      </c>
      <c r="AS30" s="756">
        <f>'Long Term Debt'!D12*BT8</f>
        <v>0</v>
      </c>
      <c r="AT30" s="756">
        <f>'Long Term Debt'!E12*BU8</f>
        <v>0</v>
      </c>
      <c r="AU30" s="756">
        <f>'Long Term Debt'!F12*BV8</f>
        <v>0</v>
      </c>
      <c r="AV30" s="756">
        <f>'Long Term Debt'!G12*BW8</f>
        <v>0</v>
      </c>
      <c r="AW30" s="743" t="e">
        <f t="shared" si="12"/>
        <v>#DIV/0!</v>
      </c>
      <c r="AX30" s="743" t="e">
        <f t="shared" si="13"/>
        <v>#DIV/0!</v>
      </c>
      <c r="AY30" s="743" t="e">
        <f t="shared" si="14"/>
        <v>#DIV/0!</v>
      </c>
      <c r="AZ30" s="766" t="e">
        <f t="shared" si="15"/>
        <v>#DIV/0!</v>
      </c>
      <c r="BA30" s="766" t="e">
        <f t="shared" si="16"/>
        <v>#DIV/0!</v>
      </c>
      <c r="BB30" s="760" t="e">
        <f t="shared" si="17"/>
        <v>#DIV/0!</v>
      </c>
    </row>
    <row r="31" spans="1:54" ht="15" customHeight="1">
      <c r="A31" s="449">
        <v>2010</v>
      </c>
      <c r="B31" s="725"/>
      <c r="C31" s="450" t="s">
        <v>487</v>
      </c>
      <c r="D31" s="452"/>
      <c r="E31" s="634" t="s">
        <v>631</v>
      </c>
      <c r="F31" s="634" t="s">
        <v>582</v>
      </c>
      <c r="G31" s="638" t="s">
        <v>601</v>
      </c>
      <c r="H31" s="638" t="s">
        <v>614</v>
      </c>
      <c r="I31" s="452"/>
      <c r="J31" s="438" t="s">
        <v>309</v>
      </c>
      <c r="K31" s="447">
        <f>'First Draft'!C1114*BS8</f>
        <v>64535.449675000003</v>
      </c>
      <c r="L31" s="447">
        <f>'First Draft'!D1114*BT8</f>
        <v>72632.560356000002</v>
      </c>
      <c r="M31" s="447">
        <f>'First Draft'!E1114*BU8</f>
        <v>86006.654316</v>
      </c>
      <c r="N31" s="447">
        <f>'First Draft'!F1114*BV8</f>
        <v>96894.621916999997</v>
      </c>
      <c r="O31" s="447">
        <f>'First Draft'!G1114*BW8</f>
        <v>103975.59990999999</v>
      </c>
      <c r="P31" s="447">
        <f>'First Draft'!C1118*BS8</f>
        <v>-2330.6146960000001</v>
      </c>
      <c r="Q31" s="447">
        <f>'First Draft'!D1118*BT8</f>
        <v>6413.2809719999996</v>
      </c>
      <c r="R31" s="447">
        <f>'First Draft'!E1118*BU8</f>
        <v>5955.8194080000003</v>
      </c>
      <c r="S31" s="447">
        <f>'First Draft'!F1118*BV8</f>
        <v>5228.758143</v>
      </c>
      <c r="T31" s="447">
        <f>'First Draft'!G1118*BW8</f>
        <v>5910.2118399999999</v>
      </c>
      <c r="U31" s="443">
        <f>'First Draft'!C1117*BS8</f>
        <v>41573.582588999998</v>
      </c>
      <c r="V31" s="443">
        <f>'First Draft'!D1117*BT8</f>
        <v>33413.257475999999</v>
      </c>
      <c r="W31" s="443">
        <f>'First Draft'!E1117*BU8</f>
        <v>17855.1351</v>
      </c>
      <c r="X31" s="443">
        <f>'First Draft'!F1117*BV8</f>
        <v>18140.210822000001</v>
      </c>
      <c r="Y31" s="443">
        <f>'First Draft'!G1117*BW8</f>
        <v>34813.723229999996</v>
      </c>
      <c r="Z31" s="443">
        <f>'First Draft'!C1112*BS8</f>
        <v>73183.821406000003</v>
      </c>
      <c r="AA31" s="443">
        <f>'First Draft'!D1112*BT8</f>
        <v>67684.587635999997</v>
      </c>
      <c r="AB31" s="443">
        <f>'First Draft'!E1112*BU8</f>
        <v>49830.248555999999</v>
      </c>
      <c r="AC31" s="443">
        <f>'First Draft'!F1112*BV8</f>
        <v>42275.030590000002</v>
      </c>
      <c r="AD31" s="443">
        <f>'First Draft'!G1112*BW8</f>
        <v>53047.474479999997</v>
      </c>
      <c r="AE31" s="61">
        <f t="shared" si="11"/>
        <v>0.1114136327494398</v>
      </c>
      <c r="AF31" s="61">
        <f t="shared" si="0"/>
        <v>0.12368431364865394</v>
      </c>
      <c r="AG31" s="61">
        <f t="shared" si="1"/>
        <v>0.11952216937683462</v>
      </c>
      <c r="AH31" s="61">
        <f t="shared" si="2"/>
        <v>0.32413581599123764</v>
      </c>
      <c r="AI31" s="61">
        <f t="shared" si="3"/>
        <v>0.21664641805489776</v>
      </c>
      <c r="AJ31" s="61">
        <f t="shared" si="4"/>
        <v>0.1862631746510498</v>
      </c>
      <c r="AK31" s="434"/>
      <c r="AL31" s="434"/>
      <c r="AM31" s="443">
        <f>'First Draft'!C1122*BS8</f>
        <v>31610.238817000001</v>
      </c>
      <c r="AN31" s="443">
        <f>'First Draft'!D1122*BT8</f>
        <v>34271.330159999998</v>
      </c>
      <c r="AO31" s="443">
        <f>'First Draft'!E1122*BU8</f>
        <v>31975.292052000001</v>
      </c>
      <c r="AP31" s="443">
        <f>'First Draft'!F1122*BV8</f>
        <v>24134.985429</v>
      </c>
      <c r="AQ31" s="443">
        <f>'First Draft'!G1122*BW8</f>
        <v>18233.751250000001</v>
      </c>
      <c r="AR31" s="443">
        <f>'Long Term Debt'!C13*BS8</f>
        <v>20991.537361999999</v>
      </c>
      <c r="AS31" s="443">
        <f>'Long Term Debt'!D13*BT8</f>
        <v>10631.436312</v>
      </c>
      <c r="AT31" s="443">
        <f>'Long Term Debt'!E13*BU8</f>
        <v>331.29558000000003</v>
      </c>
      <c r="AU31" s="443">
        <f>'Long Term Debt'!F13*BV8</f>
        <v>421.93856700000003</v>
      </c>
      <c r="AV31" s="443">
        <f>'Long Term Debt'!G13*BW8</f>
        <v>686.69146000000001</v>
      </c>
      <c r="AW31" s="553">
        <f t="shared" si="12"/>
        <v>8.6067938576081904</v>
      </c>
      <c r="AX31" s="553">
        <f t="shared" si="13"/>
        <v>12.392226148409893</v>
      </c>
      <c r="AY31" s="553">
        <f t="shared" si="14"/>
        <v>17.977358490566036</v>
      </c>
      <c r="AZ31" s="538">
        <f t="shared" si="15"/>
        <v>5.7598359599877336</v>
      </c>
      <c r="BA31" s="538">
        <f t="shared" si="16"/>
        <v>5.4411658236504428</v>
      </c>
      <c r="BB31" s="455">
        <f t="shared" si="17"/>
        <v>6.5611314749700345</v>
      </c>
    </row>
    <row r="32" spans="1:54" ht="15" customHeight="1">
      <c r="A32" s="449">
        <v>2016</v>
      </c>
      <c r="B32" s="725"/>
      <c r="C32" s="450" t="s">
        <v>487</v>
      </c>
      <c r="D32" s="454">
        <v>0.2</v>
      </c>
      <c r="E32" s="633" t="s">
        <v>634</v>
      </c>
      <c r="F32" s="633" t="s">
        <v>589</v>
      </c>
      <c r="G32" s="632" t="s">
        <v>601</v>
      </c>
      <c r="H32" s="632" t="s">
        <v>614</v>
      </c>
      <c r="I32" s="454"/>
      <c r="J32" s="438" t="s">
        <v>310</v>
      </c>
      <c r="K32" s="447">
        <f>'First Draft'!C1129*BM8</f>
        <v>8255.9433109999991</v>
      </c>
      <c r="L32" s="447">
        <f>'First Draft'!D1129*BN8</f>
        <v>4696.4142540000003</v>
      </c>
      <c r="M32" s="447">
        <f>'First Draft'!E1129*BO8</f>
        <v>4629.4427740000001</v>
      </c>
      <c r="N32" s="447">
        <f>'First Draft'!F1129*BP8</f>
        <v>4090.7801330000002</v>
      </c>
      <c r="O32" s="447">
        <f>'First Draft'!G1129*BQ8</f>
        <v>5412.2783680000002</v>
      </c>
      <c r="P32" s="447">
        <f>'First Draft'!C1133*BM8</f>
        <v>18608.533061999999</v>
      </c>
      <c r="Q32" s="447">
        <f>'First Draft'!D1133*BN8</f>
        <v>15144.980063999999</v>
      </c>
      <c r="R32" s="447">
        <f>'First Draft'!E1133*BO8</f>
        <v>15012.305066000001</v>
      </c>
      <c r="S32" s="447">
        <f>'First Draft'!F1133*BP8</f>
        <v>5905.3859590000002</v>
      </c>
      <c r="T32" s="447">
        <f>'First Draft'!G1133*BQ8</f>
        <v>-203.10951</v>
      </c>
      <c r="U32" s="443">
        <f>'First Draft'!C1132*BM8</f>
        <v>162948.88263499999</v>
      </c>
      <c r="V32" s="443">
        <f>'First Draft'!D1132*BN8</f>
        <v>71955.621851999997</v>
      </c>
      <c r="W32" s="443">
        <f>'First Draft'!E1132*BO8</f>
        <v>65500.580112000003</v>
      </c>
      <c r="X32" s="443">
        <f>'First Draft'!F1132*BP8</f>
        <v>58864.446266999999</v>
      </c>
      <c r="Y32" s="443">
        <f>'First Draft'!G1132*BQ8</f>
        <v>61211.988821999999</v>
      </c>
      <c r="Z32" s="443">
        <f>'First Draft'!C1127*BM8</f>
        <v>349944.50346099999</v>
      </c>
      <c r="AA32" s="443">
        <f>'First Draft'!D1127*BN8</f>
        <v>192785.47529999999</v>
      </c>
      <c r="AB32" s="443">
        <f>'First Draft'!E1127*BO8</f>
        <v>171711.53978000002</v>
      </c>
      <c r="AC32" s="443">
        <f>'First Draft'!F1127*BP8</f>
        <v>153253.35531000001</v>
      </c>
      <c r="AD32" s="443">
        <f>'First Draft'!G1127*BQ8</f>
        <v>72442.516126000002</v>
      </c>
      <c r="AE32" s="61">
        <f t="shared" si="11"/>
        <v>-2.8037335098456489E-3</v>
      </c>
      <c r="AF32" s="61">
        <f t="shared" si="0"/>
        <v>3.8533485593542922E-2</v>
      </c>
      <c r="AG32" s="61">
        <f t="shared" si="1"/>
        <v>8.742746751461225E-2</v>
      </c>
      <c r="AH32" s="61">
        <f t="shared" si="2"/>
        <v>-1.8085682997245663E-2</v>
      </c>
      <c r="AI32" s="61">
        <f t="shared" si="3"/>
        <v>6.2564405276786597E-2</v>
      </c>
      <c r="AJ32" s="61">
        <f t="shared" si="4"/>
        <v>0.1413443793834927</v>
      </c>
      <c r="AK32" s="434"/>
      <c r="AL32" s="434"/>
      <c r="AM32" s="443">
        <f>'First Draft'!C1137*BM8</f>
        <v>186995.620826</v>
      </c>
      <c r="AN32" s="443">
        <f>'First Draft'!D1137*BN8</f>
        <v>120829.607556</v>
      </c>
      <c r="AO32" s="443">
        <f>'First Draft'!E1137*BO8</f>
        <v>106210.838602</v>
      </c>
      <c r="AP32" s="443">
        <f>'First Draft'!F1137*BP8</f>
        <v>94388.909043000007</v>
      </c>
      <c r="AQ32" s="443">
        <f>'First Draft'!G1137*BQ8</f>
        <v>11230.403078000001</v>
      </c>
      <c r="AR32" s="443">
        <f>'Long Term Debt'!C14*BM8</f>
        <v>208129.56679899999</v>
      </c>
      <c r="AS32" s="443">
        <f>'Long Term Debt'!D14*BN8</f>
        <v>78412.991664000001</v>
      </c>
      <c r="AT32" s="443">
        <f>'Long Term Debt'!E14*BO8</f>
        <v>71647.827327999999</v>
      </c>
      <c r="AU32" s="443">
        <f>'Long Term Debt'!F14*BP8</f>
        <v>87736.822668000008</v>
      </c>
      <c r="AV32" s="443">
        <f>'Long Term Debt'!G14*BQ8</f>
        <v>50610.541982000002</v>
      </c>
      <c r="AW32" s="553">
        <f t="shared" si="12"/>
        <v>-4.013185831367649E-3</v>
      </c>
      <c r="AX32" s="553">
        <f t="shared" si="13"/>
        <v>6.7307953256368083E-2</v>
      </c>
      <c r="AY32" s="553">
        <f t="shared" si="14"/>
        <v>0.2095291040337407</v>
      </c>
      <c r="AZ32" s="538">
        <f t="shared" si="15"/>
        <v>-6.1947788370897965E-3</v>
      </c>
      <c r="BA32" s="538">
        <f t="shared" si="16"/>
        <v>6.4386396870994705E-2</v>
      </c>
      <c r="BB32" s="455">
        <f t="shared" si="17"/>
        <v>0.16735394271257431</v>
      </c>
    </row>
    <row r="33" spans="1:54" ht="15" customHeight="1">
      <c r="A33" s="449">
        <v>2008</v>
      </c>
      <c r="B33" s="725"/>
      <c r="C33" s="450" t="s">
        <v>487</v>
      </c>
      <c r="D33" s="452"/>
      <c r="E33" s="634" t="s">
        <v>576</v>
      </c>
      <c r="F33" s="639" t="s">
        <v>596</v>
      </c>
      <c r="G33" s="636" t="s">
        <v>604</v>
      </c>
      <c r="H33" s="636" t="s">
        <v>616</v>
      </c>
      <c r="I33" s="452"/>
      <c r="J33" s="438" t="s">
        <v>311</v>
      </c>
      <c r="K33" s="447">
        <f>'First Draft'!C1144*BU8</f>
        <v>292775.99472000002</v>
      </c>
      <c r="L33" s="447">
        <f>'First Draft'!D1144*BV8</f>
        <v>321159.028972</v>
      </c>
      <c r="M33" s="447">
        <f>'First Draft'!E1144*BW8</f>
        <v>240863.02096999998</v>
      </c>
      <c r="N33" s="447">
        <f>'First Draft'!F1144*BX8</f>
        <v>347438.06307400001</v>
      </c>
      <c r="O33" s="447">
        <f>'First Draft'!G1144*BY8</f>
        <v>202967.40770399998</v>
      </c>
      <c r="P33" s="447">
        <f>'First Draft'!C1148*BU8</f>
        <v>95543.144928000009</v>
      </c>
      <c r="Q33" s="447">
        <f>'First Draft'!D1148*BV8</f>
        <v>113412.183244</v>
      </c>
      <c r="R33" s="447">
        <f>'First Draft'!E1148*BW8</f>
        <v>76435.885240000003</v>
      </c>
      <c r="S33" s="447">
        <f>'First Draft'!F1148*BX8</f>
        <v>114435.946432</v>
      </c>
      <c r="T33" s="447">
        <f>'First Draft'!G1148*BY8</f>
        <v>59960.724815999994</v>
      </c>
      <c r="U33" s="443">
        <f>'First Draft'!C1147*BU8</f>
        <v>502591.46850000002</v>
      </c>
      <c r="V33" s="443">
        <f>'First Draft'!D1147*BV8</f>
        <v>619188.96610700001</v>
      </c>
      <c r="W33" s="443">
        <f>'First Draft'!E1147*BW8</f>
        <v>481249.28826</v>
      </c>
      <c r="X33" s="443">
        <f>'First Draft'!F1147*BX8</f>
        <v>577360.62532200001</v>
      </c>
      <c r="Y33" s="443">
        <f>'First Draft'!G1147*BY8</f>
        <v>593905.79631999996</v>
      </c>
      <c r="Z33" s="443">
        <f>'First Draft'!C1142*BU8</f>
        <v>1009534.249944</v>
      </c>
      <c r="AA33" s="443">
        <f>'First Draft'!D1142*BV8</f>
        <v>1049373.972026</v>
      </c>
      <c r="AB33" s="443">
        <f>'First Draft'!E1142*BW8</f>
        <v>896254.89888999995</v>
      </c>
      <c r="AC33" s="443">
        <f>'First Draft'!F1142*BX8</f>
        <v>1019833.028638</v>
      </c>
      <c r="AD33" s="443">
        <f>'First Draft'!G1142*BY8</f>
        <v>940061.60785599996</v>
      </c>
      <c r="AE33" s="61">
        <f t="shared" si="11"/>
        <v>6.3783824714161566E-2</v>
      </c>
      <c r="AF33" s="61">
        <f t="shared" si="0"/>
        <v>0.11221047290930621</v>
      </c>
      <c r="AG33" s="61">
        <f t="shared" si="1"/>
        <v>8.5283645684575735E-2</v>
      </c>
      <c r="AH33" s="61">
        <f t="shared" si="2"/>
        <v>0.17321897381927723</v>
      </c>
      <c r="AI33" s="61">
        <f t="shared" si="3"/>
        <v>0.25862833269744062</v>
      </c>
      <c r="AJ33" s="61">
        <f t="shared" si="4"/>
        <v>0.18418036595689966</v>
      </c>
      <c r="AK33" s="434"/>
      <c r="AL33" s="434"/>
      <c r="AM33" s="443">
        <f>'First Draft'!C1152*BU8</f>
        <v>506942.60284800001</v>
      </c>
      <c r="AN33" s="443">
        <f>'First Draft'!D1152*BV8</f>
        <v>430184.84025800001</v>
      </c>
      <c r="AO33" s="443">
        <f>'First Draft'!E1152*BW8</f>
        <v>415005.61063000001</v>
      </c>
      <c r="AP33" s="443">
        <f>'First Draft'!F1152*BX8</f>
        <v>442472.583102</v>
      </c>
      <c r="AQ33" s="443">
        <f>'First Draft'!G1152*BY8</f>
        <v>346155.64042399998</v>
      </c>
      <c r="AR33" s="443">
        <f>'Long Term Debt'!C15*BU8</f>
        <v>402308.74292400002</v>
      </c>
      <c r="AS33" s="443">
        <f>'Long Term Debt'!D15*BV8</f>
        <v>405075.93381000002</v>
      </c>
      <c r="AT33" s="443">
        <f>'Long Term Debt'!E15*BW8</f>
        <v>391702.67681999999</v>
      </c>
      <c r="AU33" s="443">
        <f>'Long Term Debt'!F15*BX8</f>
        <v>411854.308158</v>
      </c>
      <c r="AV33" s="443">
        <f>'Long Term Debt'!G15*BY8</f>
        <v>394433.69343999994</v>
      </c>
      <c r="AW33" s="553">
        <f t="shared" si="12"/>
        <v>0.15201724855972792</v>
      </c>
      <c r="AX33" s="553">
        <f t="shared" si="13"/>
        <v>0.27785540703412731</v>
      </c>
      <c r="AY33" s="553">
        <f t="shared" si="14"/>
        <v>0.19513751057444204</v>
      </c>
      <c r="AZ33" s="538">
        <f t="shared" si="15"/>
        <v>0.15982428807698831</v>
      </c>
      <c r="BA33" s="538">
        <f t="shared" si="16"/>
        <v>0.26951340250144995</v>
      </c>
      <c r="BB33" s="455">
        <f t="shared" si="17"/>
        <v>0.19006386857996463</v>
      </c>
    </row>
    <row r="34" spans="1:54" ht="15" customHeight="1">
      <c r="A34" s="449">
        <v>2008</v>
      </c>
      <c r="B34" s="725"/>
      <c r="C34" s="450" t="s">
        <v>487</v>
      </c>
      <c r="D34" s="452"/>
      <c r="E34" s="634" t="s">
        <v>630</v>
      </c>
      <c r="F34" s="639" t="s">
        <v>581</v>
      </c>
      <c r="G34" s="636" t="s">
        <v>605</v>
      </c>
      <c r="H34" s="636" t="s">
        <v>617</v>
      </c>
      <c r="I34" s="452"/>
      <c r="J34" s="438" t="s">
        <v>313</v>
      </c>
      <c r="K34" s="447">
        <f>'First Draft'!C1159*BU8</f>
        <v>107871.984</v>
      </c>
      <c r="L34" s="447">
        <f>'First Draft'!D1159*BV8</f>
        <v>119441.58100000001</v>
      </c>
      <c r="M34" s="447">
        <f>'First Draft'!E1159*BW8</f>
        <v>122703.36</v>
      </c>
      <c r="N34" s="447">
        <f>'First Draft'!F1159*BX8</f>
        <v>121391.50720000001</v>
      </c>
      <c r="O34" s="447">
        <f>'First Draft'!G1159*BY8</f>
        <v>113276.14399999999</v>
      </c>
      <c r="P34" s="447">
        <f>'First Draft'!C1163*BU8</f>
        <v>15359.256000000001</v>
      </c>
      <c r="Q34" s="447">
        <f>'First Draft'!D1163*BV8</f>
        <v>-93764.126000000004</v>
      </c>
      <c r="R34" s="447">
        <f>'First Draft'!E1163*BW8</f>
        <v>-54481.57</v>
      </c>
      <c r="S34" s="447">
        <f>'First Draft'!F1163*BX8</f>
        <v>-194402.6018</v>
      </c>
      <c r="T34" s="447">
        <f>'First Draft'!G1163*BY8</f>
        <v>-698308.07199999993</v>
      </c>
      <c r="U34" s="443">
        <f>'First Draft'!C1162*BU8</f>
        <v>77510.664000000004</v>
      </c>
      <c r="V34" s="443">
        <f>'First Draft'!D1162*BV8</f>
        <v>107513.989</v>
      </c>
      <c r="W34" s="443">
        <f>'First Draft'!E1162*BW8</f>
        <v>463972.07999999996</v>
      </c>
      <c r="X34" s="443">
        <f>'First Draft'!F1162*BX8</f>
        <v>878326.52439999999</v>
      </c>
      <c r="Y34" s="443">
        <f>'First Draft'!G1162*BY8</f>
        <v>1264175.456</v>
      </c>
      <c r="Z34" s="443">
        <f>'First Draft'!C1157*BU8</f>
        <v>526143.81599999999</v>
      </c>
      <c r="AA34" s="443">
        <f>'First Draft'!D1157*BV8</f>
        <v>1057911.1459999999</v>
      </c>
      <c r="AB34" s="443">
        <f>'First Draft'!E1157*BW8</f>
        <v>1471002.39</v>
      </c>
      <c r="AC34" s="443">
        <f>'First Draft'!F1157*BX8</f>
        <v>2115362.0759999999</v>
      </c>
      <c r="AD34" s="443">
        <f>'First Draft'!G1157*BY8</f>
        <v>2625029.1919999998</v>
      </c>
      <c r="AE34" s="61">
        <f t="shared" si="11"/>
        <v>-0.26601916433087802</v>
      </c>
      <c r="AF34" s="61">
        <f t="shared" si="0"/>
        <v>-9.1900390956994732E-2</v>
      </c>
      <c r="AG34" s="61">
        <f t="shared" si="1"/>
        <v>-3.7037037037037042E-2</v>
      </c>
      <c r="AH34" s="61">
        <f t="shared" si="2"/>
        <v>-0.51307518229821469</v>
      </c>
      <c r="AI34" s="61">
        <f t="shared" si="3"/>
        <v>-0.15715199255878848</v>
      </c>
      <c r="AJ34" s="61">
        <f t="shared" si="4"/>
        <v>-5.410122164048866E-2</v>
      </c>
      <c r="AK34" s="434"/>
      <c r="AL34" s="434"/>
      <c r="AM34" s="443">
        <f>'First Draft'!C1167*BU8</f>
        <v>448633.152</v>
      </c>
      <c r="AN34" s="443">
        <f>'First Draft'!D1167*BV8</f>
        <v>950397.15700000001</v>
      </c>
      <c r="AO34" s="443">
        <f>'First Draft'!E1167*BW8</f>
        <v>1007030.3099999999</v>
      </c>
      <c r="AP34" s="443">
        <f>'First Draft'!F1167*BX8</f>
        <v>1237035.5516000001</v>
      </c>
      <c r="AQ34" s="443">
        <f>'First Draft'!G1167*BY8</f>
        <v>1361024.848</v>
      </c>
      <c r="AR34" s="443">
        <f>'Long Term Debt'!C16*BU8</f>
        <v>16966.62</v>
      </c>
      <c r="AS34" s="443">
        <f>'Long Term Debt'!D16*BV8</f>
        <v>97408.668000000005</v>
      </c>
      <c r="AT34" s="443">
        <f>'Long Term Debt'!E16*BW8</f>
        <v>447675.54</v>
      </c>
      <c r="AU34" s="443">
        <f>'Long Term Debt'!F16*BX8</f>
        <v>735666.3334</v>
      </c>
      <c r="AV34" s="443">
        <f>'Long Term Debt'!G16*BY8</f>
        <v>1003229.656</v>
      </c>
      <c r="AW34" s="553">
        <f t="shared" si="12"/>
        <v>-0.69606003752345214</v>
      </c>
      <c r="AX34" s="553">
        <f t="shared" si="13"/>
        <v>-0.26425376964246439</v>
      </c>
      <c r="AY34" s="553">
        <f t="shared" si="14"/>
        <v>-0.12169878658101356</v>
      </c>
      <c r="AZ34" s="538">
        <f t="shared" si="15"/>
        <v>-0.60119225376243413</v>
      </c>
      <c r="BA34" s="538">
        <f t="shared" si="16"/>
        <v>-0.20162207769941315</v>
      </c>
      <c r="BB34" s="455">
        <f t="shared" si="17"/>
        <v>-7.5422317392338817E-2</v>
      </c>
    </row>
    <row r="35" spans="1:54" ht="15" customHeight="1">
      <c r="A35" s="680">
        <v>2008</v>
      </c>
      <c r="B35" s="716"/>
      <c r="C35" s="735" t="s">
        <v>487</v>
      </c>
      <c r="D35" s="721"/>
      <c r="E35" s="717" t="s">
        <v>639</v>
      </c>
      <c r="F35" s="755" t="s">
        <v>597</v>
      </c>
      <c r="G35" s="720" t="s">
        <v>604</v>
      </c>
      <c r="H35" s="720" t="s">
        <v>616</v>
      </c>
      <c r="I35" s="721"/>
      <c r="J35" s="708" t="s">
        <v>314</v>
      </c>
      <c r="K35" s="730">
        <f>'First Draft'!C1173*BU8</f>
        <v>26730.999108</v>
      </c>
      <c r="L35" s="730">
        <f>'First Draft'!D1173*BV8</f>
        <v>22478.541089999999</v>
      </c>
      <c r="M35" s="730">
        <f>'First Draft'!E1173*BW8</f>
        <v>18688.137129999999</v>
      </c>
      <c r="N35" s="730">
        <f>'First Draft'!F1173*BX8</f>
        <v>20075.803690000001</v>
      </c>
      <c r="O35" s="730">
        <f>'First Draft'!G1173*BY8</f>
        <v>4083.9301039999996</v>
      </c>
      <c r="P35" s="730">
        <f>'First Draft'!C1177*BU8</f>
        <v>6081.7295880000001</v>
      </c>
      <c r="Q35" s="730">
        <f>'First Draft'!D1177*BV8</f>
        <v>3446.9084269999998</v>
      </c>
      <c r="R35" s="730">
        <f>'First Draft'!E1177*BW8</f>
        <v>2076.6904599999998</v>
      </c>
      <c r="S35" s="730">
        <f>'First Draft'!F1177*BX8</f>
        <v>3858.926704</v>
      </c>
      <c r="T35" s="730">
        <f>'First Draft'!G1177*BY8</f>
        <v>-48.766919999999999</v>
      </c>
      <c r="U35" s="756">
        <f>'First Draft'!C1176*BU8</f>
        <v>10962.043884000001</v>
      </c>
      <c r="V35" s="756">
        <f>'First Draft'!D1176*BV8</f>
        <v>7103.2123579999998</v>
      </c>
      <c r="W35" s="756">
        <f>'First Draft'!E1176*BW8</f>
        <v>4028.2810099999997</v>
      </c>
      <c r="X35" s="756">
        <f>'First Draft'!F1176*BX8</f>
        <v>5061.5152580000004</v>
      </c>
      <c r="Y35" s="756">
        <f>'First Draft'!G1176*BY8</f>
        <v>3270.9769919999999</v>
      </c>
      <c r="Z35" s="756">
        <f>'First Draft'!C1171*BU8</f>
        <v>50171.188320000001</v>
      </c>
      <c r="AA35" s="756">
        <f>'First Draft'!D1171*BV8</f>
        <v>37831.174265000001</v>
      </c>
      <c r="AB35" s="756">
        <f>'First Draft'!E1171*BW8</f>
        <v>31485.234819999998</v>
      </c>
      <c r="AC35" s="756">
        <f>'First Draft'!F1171*BX8</f>
        <v>33702.144202000003</v>
      </c>
      <c r="AD35" s="756">
        <f>'First Draft'!G1171*BY8</f>
        <v>25802.834039999998</v>
      </c>
      <c r="AE35" s="766">
        <f t="shared" si="11"/>
        <v>-1.8899830896249876E-3</v>
      </c>
      <c r="AF35" s="766">
        <f t="shared" si="0"/>
        <v>0.11450092554559178</v>
      </c>
      <c r="AG35" s="766">
        <f t="shared" si="1"/>
        <v>6.595759796210407E-2</v>
      </c>
      <c r="AH35" s="766">
        <f t="shared" si="2"/>
        <v>-2.1643542250472741E-3</v>
      </c>
      <c r="AI35" s="766">
        <f t="shared" si="3"/>
        <v>0.13473610204389092</v>
      </c>
      <c r="AJ35" s="766">
        <f t="shared" si="4"/>
        <v>7.5634848590647757E-2</v>
      </c>
      <c r="AK35" s="751"/>
      <c r="AL35" s="751"/>
      <c r="AM35" s="756">
        <f>'First Draft'!C1181*BU8</f>
        <v>39208.965840000004</v>
      </c>
      <c r="AN35" s="756">
        <f>'First Draft'!D1181*BV8</f>
        <v>30727.796246000002</v>
      </c>
      <c r="AO35" s="756">
        <f>'First Draft'!E1181*BW8</f>
        <v>27456.794040000001</v>
      </c>
      <c r="AP35" s="756">
        <f>'First Draft'!F1181*BX8</f>
        <v>28640.628944</v>
      </c>
      <c r="AQ35" s="756">
        <f>'First Draft'!G1181*BY8</f>
        <v>22531.857047999998</v>
      </c>
      <c r="AR35" s="756">
        <f>'Long Term Debt'!C17*BU8</f>
        <v>0</v>
      </c>
      <c r="AS35" s="756">
        <f>'Long Term Debt'!D17*BV8</f>
        <v>0</v>
      </c>
      <c r="AT35" s="756">
        <f>'Long Term Debt'!E17*BW8</f>
        <v>0</v>
      </c>
      <c r="AU35" s="756">
        <f>'Long Term Debt'!F17*BX8</f>
        <v>0</v>
      </c>
      <c r="AV35" s="756">
        <f>'Long Term Debt'!G17*BY8</f>
        <v>13.175623999999999</v>
      </c>
      <c r="AW35" s="743">
        <f t="shared" si="12"/>
        <v>-3.7012987012987013</v>
      </c>
      <c r="AX35" s="743" t="e">
        <f t="shared" si="13"/>
        <v>#DIV/0!</v>
      </c>
      <c r="AY35" s="743" t="e">
        <f t="shared" si="14"/>
        <v>#DIV/0!</v>
      </c>
      <c r="AZ35" s="766">
        <f t="shared" si="15"/>
        <v>-0.47109669401522586</v>
      </c>
      <c r="BA35" s="766" t="e">
        <f t="shared" si="16"/>
        <v>#DIV/0!</v>
      </c>
      <c r="BB35" s="760" t="e">
        <f t="shared" si="17"/>
        <v>#DIV/0!</v>
      </c>
    </row>
    <row r="36" spans="1:54" ht="15" customHeight="1">
      <c r="A36" s="680">
        <v>2008</v>
      </c>
      <c r="B36" s="732"/>
      <c r="C36" s="735" t="s">
        <v>487</v>
      </c>
      <c r="D36" s="721"/>
      <c r="E36" s="717" t="s">
        <v>631</v>
      </c>
      <c r="F36" s="755" t="s">
        <v>582</v>
      </c>
      <c r="G36" s="720" t="s">
        <v>604</v>
      </c>
      <c r="H36" s="720" t="s">
        <v>616</v>
      </c>
      <c r="I36" s="721"/>
      <c r="J36" s="770" t="s">
        <v>315</v>
      </c>
      <c r="K36" s="756">
        <f>'First Draft'!C1188*BU8</f>
        <v>1588.9686120000001</v>
      </c>
      <c r="L36" s="756">
        <f>'First Draft'!D1188*BV8</f>
        <v>2707.232062</v>
      </c>
      <c r="M36" s="756">
        <f>'First Draft'!E1188*BW8</f>
        <v>1897.4285199999999</v>
      </c>
      <c r="N36" s="756">
        <f>'First Draft'!F1188*BX8</f>
        <v>2209.9295120000002</v>
      </c>
      <c r="O36" s="756">
        <f>'First Draft'!G1188*BY8</f>
        <v>1761.9402639999998</v>
      </c>
      <c r="P36" s="756">
        <f>'First Draft'!C1192*BU8</f>
        <v>6931.489356</v>
      </c>
      <c r="Q36" s="756">
        <f>'First Draft'!D1192*BV8</f>
        <v>5579.6281410000001</v>
      </c>
      <c r="R36" s="756">
        <f>'First Draft'!E1192*BW8</f>
        <v>5433.6179299999994</v>
      </c>
      <c r="S36" s="756">
        <f>'First Draft'!F1192*BX8</f>
        <v>-2769.0639719999999</v>
      </c>
      <c r="T36" s="756">
        <f>'First Draft'!G1192*BY8</f>
        <v>2856.8859519999996</v>
      </c>
      <c r="U36" s="756">
        <f>'First Draft'!C1191*BU8</f>
        <v>27181.954008000001</v>
      </c>
      <c r="V36" s="756">
        <f>'First Draft'!D1191*BV8</f>
        <v>48416.415182000004</v>
      </c>
      <c r="W36" s="756">
        <f>'First Draft'!E1191*BW8</f>
        <v>44979.409019999999</v>
      </c>
      <c r="X36" s="756">
        <f>'First Draft'!F1191*BX8</f>
        <v>32579.919989999999</v>
      </c>
      <c r="Y36" s="756">
        <f>'First Draft'!G1191*BY8</f>
        <v>11144.011224</v>
      </c>
      <c r="Z36" s="756">
        <f>'First Draft'!C1186*BU8</f>
        <v>41282.822592000004</v>
      </c>
      <c r="AA36" s="756">
        <f>'First Draft'!D1186*BV8</f>
        <v>61751.79436</v>
      </c>
      <c r="AB36" s="756">
        <f>'First Draft'!E1186*BW8</f>
        <v>52459.361109999998</v>
      </c>
      <c r="AC36" s="756">
        <f>'First Draft'!F1186*BX8</f>
        <v>46388.923078</v>
      </c>
      <c r="AD36" s="756">
        <f>'First Draft'!G1186*BY8</f>
        <v>21368.124335999997</v>
      </c>
      <c r="AE36" s="766">
        <f t="shared" si="11"/>
        <v>0.13369848972597256</v>
      </c>
      <c r="AF36" s="766">
        <f t="shared" si="0"/>
        <v>-5.9692353007290047E-2</v>
      </c>
      <c r="AG36" s="766">
        <f t="shared" si="1"/>
        <v>0.10357766116530578</v>
      </c>
      <c r="AH36" s="766">
        <f t="shared" si="2"/>
        <v>0.27942628575253969</v>
      </c>
      <c r="AI36" s="766">
        <f t="shared" si="3"/>
        <v>-0.20052598687636705</v>
      </c>
      <c r="AJ36" s="766">
        <f t="shared" si="4"/>
        <v>0.72642416216331673</v>
      </c>
      <c r="AK36" s="751"/>
      <c r="AL36" s="751"/>
      <c r="AM36" s="756">
        <f>'First Draft'!C1196*BU8</f>
        <v>14100.868584</v>
      </c>
      <c r="AN36" s="756">
        <f>'First Draft'!D1196*BV8</f>
        <v>13335.379178000001</v>
      </c>
      <c r="AO36" s="756">
        <f>'First Draft'!E1196*BW8</f>
        <v>7479.9520899999998</v>
      </c>
      <c r="AP36" s="756">
        <f>'First Draft'!F1196*BX8</f>
        <v>13809.003087999999</v>
      </c>
      <c r="AQ36" s="756">
        <f>'First Draft'!G1196*BY8</f>
        <v>10224.113111999999</v>
      </c>
      <c r="AR36" s="756">
        <f>'Long Term Debt'!C18*BU8</f>
        <v>0</v>
      </c>
      <c r="AS36" s="756">
        <f>'Long Term Debt'!D18*BV8</f>
        <v>0</v>
      </c>
      <c r="AT36" s="756">
        <f>'Long Term Debt'!E18*BW8</f>
        <v>0</v>
      </c>
      <c r="AU36" s="756">
        <f>'Long Term Debt'!F18*BX8</f>
        <v>0</v>
      </c>
      <c r="AV36" s="756">
        <f>'Long Term Debt'!G18*BY8</f>
        <v>0</v>
      </c>
      <c r="AW36" s="743" t="e">
        <f t="shared" si="12"/>
        <v>#DIV/0!</v>
      </c>
      <c r="AX36" s="743" t="e">
        <f t="shared" si="13"/>
        <v>#DIV/0!</v>
      </c>
      <c r="AY36" s="743" t="e">
        <f t="shared" si="14"/>
        <v>#DIV/0!</v>
      </c>
      <c r="AZ36" s="766" t="e">
        <f t="shared" si="15"/>
        <v>#DIV/0!</v>
      </c>
      <c r="BA36" s="766" t="e">
        <f t="shared" si="16"/>
        <v>#DIV/0!</v>
      </c>
      <c r="BB36" s="760" t="e">
        <f t="shared" si="17"/>
        <v>#DIV/0!</v>
      </c>
    </row>
    <row r="37" spans="1:54" ht="15" customHeight="1">
      <c r="A37" s="449">
        <v>2006</v>
      </c>
      <c r="B37" s="777"/>
      <c r="C37" s="450" t="s">
        <v>487</v>
      </c>
      <c r="D37" s="452"/>
      <c r="E37" s="634" t="s">
        <v>629</v>
      </c>
      <c r="F37" s="634" t="s">
        <v>580</v>
      </c>
      <c r="G37" s="638" t="s">
        <v>604</v>
      </c>
      <c r="H37" s="638" t="s">
        <v>616</v>
      </c>
      <c r="I37" s="452"/>
      <c r="J37" s="437" t="s">
        <v>316</v>
      </c>
      <c r="K37" s="444">
        <f>'First Draft'!C1203*BW8</f>
        <v>146364.33838</v>
      </c>
      <c r="L37" s="444">
        <f>'First Draft'!D1203*BX8</f>
        <v>140302.83696799999</v>
      </c>
      <c r="M37" s="444">
        <f>'First Draft'!E1203*BY8</f>
        <v>132126.86859199998</v>
      </c>
      <c r="N37" s="444">
        <f>'First Draft'!F1203*BZ8</f>
        <v>113677.221168</v>
      </c>
      <c r="O37" s="444">
        <f>'First Draft'!G1203*CA8</f>
        <v>91141.121261999986</v>
      </c>
      <c r="P37" s="444">
        <f>'First Draft'!C1207*BW8</f>
        <v>1642.59537</v>
      </c>
      <c r="Q37" s="444">
        <f>'First Draft'!D1207*BX8</f>
        <v>626.19463800000005</v>
      </c>
      <c r="R37" s="444">
        <f>'First Draft'!E1207*BY8</f>
        <v>3301.4349279999997</v>
      </c>
      <c r="S37" s="444">
        <f>'First Draft'!F1207*BZ8</f>
        <v>1045.299168</v>
      </c>
      <c r="T37" s="444">
        <f>'First Draft'!G1207*CA8</f>
        <v>2387.6890839999996</v>
      </c>
      <c r="U37" s="444">
        <f>'First Draft'!C1206*BW8</f>
        <v>38682.553780000002</v>
      </c>
      <c r="V37" s="444">
        <f>'First Draft'!D1206*BX8</f>
        <v>34096.774471999997</v>
      </c>
      <c r="W37" s="444">
        <f>'First Draft'!E1206*BY8</f>
        <v>41591.338279999996</v>
      </c>
      <c r="X37" s="444">
        <f>'First Draft'!F1206*BZ8</f>
        <v>84820.657368</v>
      </c>
      <c r="Y37" s="444">
        <f>'First Draft'!G1206*CA8</f>
        <v>64013.888365999992</v>
      </c>
      <c r="Z37" s="443">
        <f>'First Draft'!C1201*BW8</f>
        <v>131324.54920000001</v>
      </c>
      <c r="AA37" s="443">
        <f>'First Draft'!D1201*BX8</f>
        <v>136496.94713399999</v>
      </c>
      <c r="AB37" s="443">
        <f>'First Draft'!E1201*BY8</f>
        <v>138455.103688</v>
      </c>
      <c r="AC37" s="443">
        <f>'First Draft'!F1201*BZ8</f>
        <v>133746.777864</v>
      </c>
      <c r="AD37" s="443">
        <f>'First Draft'!G1201*CA8</f>
        <v>91975.94170299999</v>
      </c>
      <c r="AE37" s="61">
        <f t="shared" si="11"/>
        <v>2.5959930823106974E-2</v>
      </c>
      <c r="AF37" s="61">
        <f t="shared" si="0"/>
        <v>7.8155091636144623E-3</v>
      </c>
      <c r="AG37" s="61">
        <f t="shared" si="1"/>
        <v>2.3844804850528145E-2</v>
      </c>
      <c r="AH37" s="61">
        <f t="shared" si="2"/>
        <v>8.5390334365772688E-2</v>
      </c>
      <c r="AI37" s="61">
        <f t="shared" si="3"/>
        <v>2.1364848825188573E-2</v>
      </c>
      <c r="AJ37" s="61">
        <f t="shared" si="4"/>
        <v>3.4083401344681512E-2</v>
      </c>
      <c r="AK37" s="434"/>
      <c r="AL37" s="434"/>
      <c r="AM37" s="443">
        <f>'First Draft'!C1211*BW8</f>
        <v>92641.835649999994</v>
      </c>
      <c r="AN37" s="443">
        <f>'First Draft'!D1211*BX8</f>
        <v>102399.81309</v>
      </c>
      <c r="AO37" s="443">
        <f>'First Draft'!E1211*BY8</f>
        <v>96863.423183999999</v>
      </c>
      <c r="AP37" s="443">
        <f>'First Draft'!F1211*BZ8</f>
        <v>48926.120495999996</v>
      </c>
      <c r="AQ37" s="443">
        <f>'First Draft'!G1211*CA8</f>
        <v>27962.053336999998</v>
      </c>
      <c r="AR37" s="443">
        <f>'Long Term Debt'!C19*BW8</f>
        <v>199.87226999999999</v>
      </c>
      <c r="AS37" s="443">
        <f>'Long Term Debt'!D19*BX8</f>
        <v>2654.3605040000002</v>
      </c>
      <c r="AT37" s="443">
        <f>'Long Term Debt'!E19*BY8</f>
        <v>3762.2395439999996</v>
      </c>
      <c r="AU37" s="443">
        <f>'Long Term Debt'!F19*BZ8</f>
        <v>5539.8045959999999</v>
      </c>
      <c r="AV37" s="443">
        <f>'Long Term Debt'!G19*CA8</f>
        <v>22871.654455</v>
      </c>
      <c r="AW37" s="553">
        <f t="shared" si="12"/>
        <v>0.104395118800775</v>
      </c>
      <c r="AX37" s="553">
        <f t="shared" si="13"/>
        <v>0.18868881562262238</v>
      </c>
      <c r="AY37" s="553">
        <f t="shared" si="14"/>
        <v>0.87751853367899213</v>
      </c>
      <c r="AZ37" s="538">
        <f t="shared" si="15"/>
        <v>9.8617381860111653E-2</v>
      </c>
      <c r="BA37" s="538">
        <f t="shared" si="16"/>
        <v>0.12747977049912504</v>
      </c>
      <c r="BB37" s="455">
        <f t="shared" si="17"/>
        <v>0.28744843939195747</v>
      </c>
    </row>
    <row r="38" spans="1:54" ht="15" customHeight="1">
      <c r="A38" s="449">
        <v>2005</v>
      </c>
      <c r="B38" s="777"/>
      <c r="C38" s="450" t="s">
        <v>487</v>
      </c>
      <c r="D38" s="452"/>
      <c r="E38" s="634" t="s">
        <v>629</v>
      </c>
      <c r="F38" s="634" t="s">
        <v>580</v>
      </c>
      <c r="G38" s="638" t="s">
        <v>603</v>
      </c>
      <c r="H38" s="638" t="s">
        <v>615</v>
      </c>
      <c r="I38" s="452"/>
      <c r="J38" s="437" t="s">
        <v>305</v>
      </c>
      <c r="K38" s="444">
        <f>'First Draft'!C1233*BX8</f>
        <v>25168.062354000002</v>
      </c>
      <c r="L38" s="444">
        <f>'First Draft'!D1233*BY8</f>
        <v>20810.128103999999</v>
      </c>
      <c r="M38" s="444">
        <f>'First Draft'!E1233*BZ8</f>
        <v>15914.430059999999</v>
      </c>
      <c r="N38" s="444">
        <f>'First Draft'!F1233*CA8</f>
        <v>13734.343369999999</v>
      </c>
      <c r="O38" s="444">
        <f>'First Draft'!G1233*CB8</f>
        <v>11439.838223999999</v>
      </c>
      <c r="P38" s="444">
        <f>'First Draft'!C1237*BX8</f>
        <v>4906.000368</v>
      </c>
      <c r="Q38" s="444">
        <f>'First Draft'!D1237*BY8</f>
        <v>3813.5731439999995</v>
      </c>
      <c r="R38" s="444">
        <f>'First Draft'!E1237*BZ8</f>
        <v>2506.6261559999998</v>
      </c>
      <c r="S38" s="444">
        <f>'First Draft'!F1237*CA8</f>
        <v>2308.5451829999997</v>
      </c>
      <c r="T38" s="444">
        <f>'First Draft'!G1237*CB8</f>
        <v>696.332808</v>
      </c>
      <c r="U38" s="443">
        <f>'First Draft'!C1236*BX8</f>
        <v>15563.894233999999</v>
      </c>
      <c r="V38" s="443">
        <f>'First Draft'!D1236*BY8</f>
        <v>14583.533535999999</v>
      </c>
      <c r="W38" s="443">
        <f>'First Draft'!E1236*BZ8</f>
        <v>10051.950228</v>
      </c>
      <c r="X38" s="443">
        <f>'First Draft'!F1236*CA8</f>
        <v>9536.762326</v>
      </c>
      <c r="Y38" s="443">
        <f>'First Draft'!G1236*CB8</f>
        <v>5553.4176719999996</v>
      </c>
      <c r="Z38" s="443">
        <f>'First Draft'!C1231*BX8</f>
        <v>18275.606471999999</v>
      </c>
      <c r="AA38" s="443">
        <f>'First Draft'!D1231*BY8</f>
        <v>16921.607904</v>
      </c>
      <c r="AB38" s="443">
        <f>'First Draft'!E1231*BZ8</f>
        <v>11909.167104</v>
      </c>
      <c r="AC38" s="443">
        <f>'First Draft'!F1231*CA8</f>
        <v>11666.650647999999</v>
      </c>
      <c r="AD38" s="443">
        <f>'First Draft'!G1231*CB8</f>
        <v>8254.9035359999998</v>
      </c>
      <c r="AE38" s="61">
        <f t="shared" si="11"/>
        <v>8.4353839504394179E-2</v>
      </c>
      <c r="AF38" s="61">
        <f t="shared" si="0"/>
        <v>0.19787557308881543</v>
      </c>
      <c r="AG38" s="61">
        <f t="shared" si="1"/>
        <v>0.21047871224832213</v>
      </c>
      <c r="AH38" s="61">
        <f t="shared" si="2"/>
        <v>0.25775918996257979</v>
      </c>
      <c r="AI38" s="61">
        <f t="shared" si="3"/>
        <v>1.0838808585194919</v>
      </c>
      <c r="AJ38" s="61">
        <f t="shared" si="4"/>
        <v>1.3495545469826862</v>
      </c>
      <c r="AK38" s="434"/>
      <c r="AL38" s="434"/>
      <c r="AM38" s="443">
        <f>'First Draft'!C1241*BX8</f>
        <v>2711.7122380000001</v>
      </c>
      <c r="AN38" s="443">
        <f>'First Draft'!D1241*BY8</f>
        <v>2338.2454799999996</v>
      </c>
      <c r="AO38" s="443">
        <f>'First Draft'!E1241*BZ8</f>
        <v>1857.3729839999999</v>
      </c>
      <c r="AP38" s="443">
        <f>'First Draft'!F1241*CA8</f>
        <v>2129.8883219999998</v>
      </c>
      <c r="AQ38" s="443">
        <f>'First Draft'!G1241*CB8</f>
        <v>2701.4858639999998</v>
      </c>
      <c r="AR38" s="443">
        <f>'Long Term Debt'!C20*BX8</f>
        <v>4841.9965519999996</v>
      </c>
      <c r="AS38" s="443">
        <f>'Long Term Debt'!D20*BY8</f>
        <v>4246.9998399999995</v>
      </c>
      <c r="AT38" s="443">
        <f>'Long Term Debt'!E20*BZ8</f>
        <v>3368.4984239999999</v>
      </c>
      <c r="AU38" s="443">
        <f>'Long Term Debt'!F20*CA8</f>
        <v>2613.3036229999998</v>
      </c>
      <c r="AV38" s="443">
        <f>'Long Term Debt'!G20*CB8</f>
        <v>2826.956592</v>
      </c>
      <c r="AW38" s="553">
        <f t="shared" si="12"/>
        <v>0.24631888935633151</v>
      </c>
      <c r="AX38" s="553">
        <f t="shared" si="13"/>
        <v>0.88338192419825068</v>
      </c>
      <c r="AY38" s="553">
        <f t="shared" si="14"/>
        <v>0.74413754750208538</v>
      </c>
      <c r="AZ38" s="538">
        <f t="shared" si="15"/>
        <v>0.25006282291447773</v>
      </c>
      <c r="BA38" s="538">
        <f t="shared" si="16"/>
        <v>0.91998543206599204</v>
      </c>
      <c r="BB38" s="455">
        <f t="shared" si="17"/>
        <v>0.83855812530255713</v>
      </c>
    </row>
    <row r="39" spans="1:54" ht="15" customHeight="1">
      <c r="A39" s="535">
        <v>2005</v>
      </c>
      <c r="B39" s="413"/>
      <c r="C39" s="590" t="s">
        <v>435</v>
      </c>
      <c r="D39" s="451">
        <v>0.17899999999999999</v>
      </c>
      <c r="E39" s="644" t="s">
        <v>629</v>
      </c>
      <c r="F39" s="644" t="s">
        <v>590</v>
      </c>
      <c r="G39" s="635" t="s">
        <v>607</v>
      </c>
      <c r="H39" s="635" t="s">
        <v>619</v>
      </c>
      <c r="I39" s="451"/>
      <c r="J39" s="437" t="s">
        <v>326</v>
      </c>
      <c r="K39" s="534">
        <f>'First Draft'!C1262</f>
        <v>38867.716023236499</v>
      </c>
      <c r="L39" s="534">
        <f>'First Draft'!D1262</f>
        <v>46526.987310588396</v>
      </c>
      <c r="M39" s="534">
        <f>'First Draft'!E1262</f>
        <v>26727.955733567498</v>
      </c>
      <c r="N39" s="534">
        <f>'First Draft'!F1262</f>
        <v>22691.1373403221</v>
      </c>
      <c r="O39" s="534">
        <f>'First Draft'!G1262</f>
        <v>23975.165405720498</v>
      </c>
      <c r="P39" s="534">
        <f>'First Draft'!C1266</f>
        <v>1011.42861664295</v>
      </c>
      <c r="Q39" s="534">
        <f>'First Draft'!D1266</f>
        <v>11779.112817346999</v>
      </c>
      <c r="R39" s="534">
        <f>'First Draft'!E1266</f>
        <v>3062.4601168334498</v>
      </c>
      <c r="S39" s="534">
        <f>'First Draft'!F1266</f>
        <v>13337.813866898401</v>
      </c>
      <c r="T39" s="534">
        <f>'First Draft'!G1266</f>
        <v>8826.4900083541906</v>
      </c>
      <c r="U39" s="534">
        <f>'First Draft'!C1265</f>
        <v>1393638.9194433701</v>
      </c>
      <c r="V39" s="534">
        <f>'First Draft'!D1265</f>
        <v>2381988.1828334397</v>
      </c>
      <c r="W39" s="534">
        <f>'First Draft'!E1265</f>
        <v>1738757.37829783</v>
      </c>
      <c r="X39" s="534">
        <f>'First Draft'!F1265</f>
        <v>1140443.57306434</v>
      </c>
      <c r="Y39" s="534">
        <f>'First Draft'!G1265</f>
        <v>1148789.5620043799</v>
      </c>
      <c r="Z39" s="534">
        <f>'First Draft'!C1260</f>
        <v>1504897.2101312899</v>
      </c>
      <c r="AA39" s="534">
        <f>'First Draft'!D1260</f>
        <v>2525945.11521381</v>
      </c>
      <c r="AB39" s="534">
        <f>'First Draft'!E1260</f>
        <v>1861330.38361144</v>
      </c>
      <c r="AC39" s="534">
        <f>'First Draft'!F1260</f>
        <v>1250951.1061510001</v>
      </c>
      <c r="AD39" s="534">
        <f>'First Draft'!G1260</f>
        <v>1231802.8064932101</v>
      </c>
      <c r="AE39" s="538">
        <f t="shared" si="11"/>
        <v>7.1655056814508428E-3</v>
      </c>
      <c r="AF39" s="538">
        <f t="shared" si="0"/>
        <v>1.0662138433161446E-2</v>
      </c>
      <c r="AG39" s="538">
        <f t="shared" si="1"/>
        <v>1.6453071114068004E-3</v>
      </c>
      <c r="AH39" s="538">
        <f t="shared" si="2"/>
        <v>0.10632607433970015</v>
      </c>
      <c r="AI39" s="538">
        <f t="shared" si="3"/>
        <v>0.12069613104586754</v>
      </c>
      <c r="AJ39" s="538">
        <f t="shared" si="4"/>
        <v>2.4984817009120305E-2</v>
      </c>
      <c r="AK39" s="434"/>
      <c r="AL39" s="434"/>
      <c r="AM39" s="534">
        <f>'First Draft'!C1270</f>
        <v>111258.147830769</v>
      </c>
      <c r="AN39" s="534">
        <f>'First Draft'!D1270</f>
        <v>143957.11722326299</v>
      </c>
      <c r="AO39" s="534">
        <f>'First Draft'!E1270</f>
        <v>122572.845569193</v>
      </c>
      <c r="AP39" s="534">
        <f>'First Draft'!F1270</f>
        <v>110507.38537617</v>
      </c>
      <c r="AQ39" s="534">
        <f>'First Draft'!G1270</f>
        <v>83013.4100517482</v>
      </c>
      <c r="AR39" s="534">
        <f>'First Draft'!C1263</f>
        <v>29653.715611338601</v>
      </c>
      <c r="AS39" s="534">
        <f>'First Draft'!D1263</f>
        <v>37723.475248575203</v>
      </c>
      <c r="AT39" s="534">
        <f>'First Draft'!E1263</f>
        <v>30617.093180984299</v>
      </c>
      <c r="AU39" s="534">
        <f>'First Draft'!F1263</f>
        <v>2845.19940534234</v>
      </c>
      <c r="AV39" s="534">
        <f>'First Draft'!G1263</f>
        <v>42798.0129644275</v>
      </c>
      <c r="AW39" s="553">
        <f t="shared" si="12"/>
        <v>0.20623597678916822</v>
      </c>
      <c r="AX39" s="553">
        <f t="shared" si="13"/>
        <v>4.6878309625168679</v>
      </c>
      <c r="AY39" s="553">
        <f t="shared" si="14"/>
        <v>0.10002452220825085</v>
      </c>
      <c r="AZ39" s="538">
        <f t="shared" si="15"/>
        <v>0.19950286939422202</v>
      </c>
      <c r="BA39" s="538">
        <f t="shared" si="16"/>
        <v>4.2843761943815295</v>
      </c>
      <c r="BB39" s="455">
        <f t="shared" si="17"/>
        <v>9.5082986268528263E-2</v>
      </c>
    </row>
    <row r="40" spans="1:54" ht="15" customHeight="1">
      <c r="A40" s="535">
        <v>2007</v>
      </c>
      <c r="B40" s="413"/>
      <c r="C40" s="535"/>
      <c r="D40" s="452"/>
      <c r="E40" s="634" t="s">
        <v>636</v>
      </c>
      <c r="F40" s="634" t="s">
        <v>593</v>
      </c>
      <c r="G40" s="638" t="s">
        <v>607</v>
      </c>
      <c r="H40" s="638" t="s">
        <v>619</v>
      </c>
      <c r="I40" s="452"/>
      <c r="J40" s="437" t="s">
        <v>327</v>
      </c>
      <c r="K40" s="534">
        <f>'First Draft'!C1277</f>
        <v>977.81573608517601</v>
      </c>
      <c r="L40" s="534">
        <f>'First Draft'!D1277</f>
        <v>1376.4705759286899</v>
      </c>
      <c r="M40" s="534">
        <f>'First Draft'!E1277</f>
        <v>1727.2857915014001</v>
      </c>
      <c r="N40" s="534">
        <f>'First Draft'!F1277</f>
        <v>849.16821157932304</v>
      </c>
      <c r="O40" s="534">
        <f>'First Draft'!G1277</f>
        <v>1</v>
      </c>
      <c r="P40" s="534">
        <f>'First Draft'!C1281</f>
        <v>-97.781573608517604</v>
      </c>
      <c r="Q40" s="534">
        <f>'First Draft'!D1281</f>
        <v>5336.8511633574999</v>
      </c>
      <c r="R40" s="534">
        <f>'First Draft'!E1281</f>
        <v>-4025.2858942300099</v>
      </c>
      <c r="S40" s="534">
        <f>'First Draft'!F1281</f>
        <v>1734.93531429768</v>
      </c>
      <c r="T40" s="534">
        <f>'First Draft'!G1281</f>
        <v>504.63259658217402</v>
      </c>
      <c r="U40" s="534">
        <f>'First Draft'!C1280</f>
        <v>33687.714565545401</v>
      </c>
      <c r="V40" s="534">
        <f>'First Draft'!D1280</f>
        <v>46142.906161844796</v>
      </c>
      <c r="W40" s="534">
        <f>'First Draft'!E1280</f>
        <v>55361.288189128099</v>
      </c>
      <c r="X40" s="534">
        <f>'First Draft'!F1280</f>
        <v>4925.8780301213301</v>
      </c>
      <c r="Y40" s="534">
        <f>'First Draft'!G1280</f>
        <v>3709.5847286581998</v>
      </c>
      <c r="Z40" s="534">
        <f>'First Draft'!C1275</f>
        <v>211629.359419644</v>
      </c>
      <c r="AA40" s="534">
        <f>'First Draft'!D1275</f>
        <v>226684.94607016401</v>
      </c>
      <c r="AB40" s="534">
        <f>'First Draft'!E1275</f>
        <v>200072.866086811</v>
      </c>
      <c r="AC40" s="534">
        <f>'First Draft'!F1275</f>
        <v>107651.57174199801</v>
      </c>
      <c r="AD40" s="534">
        <f>'First Draft'!G1275</f>
        <v>77442.653095811605</v>
      </c>
      <c r="AE40" s="538">
        <f t="shared" si="11"/>
        <v>6.5162100781573883E-3</v>
      </c>
      <c r="AF40" s="538">
        <f t="shared" si="0"/>
        <v>1.6116209788889047E-2</v>
      </c>
      <c r="AG40" s="538">
        <f t="shared" si="1"/>
        <v>-2.011909947090702E-2</v>
      </c>
      <c r="AH40" s="538">
        <f t="shared" si="2"/>
        <v>6.8440471522134248E-3</v>
      </c>
      <c r="AI40" s="538">
        <f t="shared" si="3"/>
        <v>1.6888980057472299E-2</v>
      </c>
      <c r="AJ40" s="538">
        <f t="shared" si="4"/>
        <v>-2.781594898221083E-2</v>
      </c>
      <c r="AK40" s="434"/>
      <c r="AL40" s="434"/>
      <c r="AM40" s="534">
        <f>'First Draft'!C1285</f>
        <v>177941.64485409899</v>
      </c>
      <c r="AN40" s="534">
        <f>'First Draft'!D1285</f>
        <v>180542.03990832</v>
      </c>
      <c r="AO40" s="534">
        <f>'First Draft'!E1285</f>
        <v>144711.43504053398</v>
      </c>
      <c r="AP40" s="534">
        <f>'First Draft'!F1285</f>
        <v>102725.878554761</v>
      </c>
      <c r="AQ40" s="534">
        <f>'First Draft'!G1285</f>
        <v>73733.068367153406</v>
      </c>
      <c r="AR40" s="534">
        <f>'First Draft'!C1278</f>
        <v>32346.246938779997</v>
      </c>
      <c r="AS40" s="534">
        <f>'First Draft'!D1278</f>
        <v>41187.888905107997</v>
      </c>
      <c r="AT40" s="534">
        <f>'First Draft'!E1278</f>
        <v>40318.430373802803</v>
      </c>
      <c r="AU40" s="534">
        <f>'First Draft'!F1278</f>
        <v>2977.4491841793101</v>
      </c>
      <c r="AV40" s="534">
        <f>'First Draft'!G1278</f>
        <v>3264.377053231</v>
      </c>
      <c r="AW40" s="553">
        <f t="shared" si="12"/>
        <v>0.15458771715194514</v>
      </c>
      <c r="AX40" s="553">
        <f t="shared" si="13"/>
        <v>0.5826918301465116</v>
      </c>
      <c r="AY40" s="553">
        <f t="shared" si="14"/>
        <v>-9.9837366110498912E-2</v>
      </c>
      <c r="AZ40" s="538">
        <f t="shared" si="15"/>
        <v>1.3921124706734385E-2</v>
      </c>
      <c r="BA40" s="538">
        <f t="shared" si="16"/>
        <v>4.2778718572199184E-2</v>
      </c>
      <c r="BB40" s="455">
        <f t="shared" si="17"/>
        <v>-4.7744694715589411E-2</v>
      </c>
    </row>
    <row r="41" spans="1:54" ht="15" customHeight="1">
      <c r="A41" s="535">
        <v>2007</v>
      </c>
      <c r="B41" s="413"/>
      <c r="C41" s="535"/>
      <c r="D41" s="451">
        <v>0.17899999999999999</v>
      </c>
      <c r="E41" s="644" t="s">
        <v>625</v>
      </c>
      <c r="F41" s="644" t="s">
        <v>598</v>
      </c>
      <c r="G41" s="635" t="s">
        <v>610</v>
      </c>
      <c r="H41" s="635" t="s">
        <v>622</v>
      </c>
      <c r="I41" s="451"/>
      <c r="J41" s="437" t="s">
        <v>328</v>
      </c>
      <c r="K41" s="534">
        <f>'First Draft'!C1292</f>
        <v>340.1024017483</v>
      </c>
      <c r="L41" s="534">
        <f>'First Draft'!D1292</f>
        <v>431.833906173706</v>
      </c>
      <c r="M41" s="534">
        <f>'First Draft'!E1292</f>
        <v>318.85715711116802</v>
      </c>
      <c r="N41" s="534">
        <f>'First Draft'!F1292</f>
        <v>720.517563939095</v>
      </c>
      <c r="O41" s="534">
        <f>'First Draft'!G1292</f>
        <v>621.40576153993595</v>
      </c>
      <c r="P41" s="534">
        <f>'First Draft'!C1296</f>
        <v>-22215.8711347729</v>
      </c>
      <c r="Q41" s="534">
        <f>'First Draft'!D1296</f>
        <v>-2803.4601825475702</v>
      </c>
      <c r="R41" s="534">
        <f>'First Draft'!E1296</f>
        <v>905.71432620286896</v>
      </c>
      <c r="S41" s="534">
        <f>'First Draft'!F1296</f>
        <v>-6473.9371881485004</v>
      </c>
      <c r="T41" s="534">
        <f>'First Draft'!G1296</f>
        <v>-238.81789550185201</v>
      </c>
      <c r="U41" s="534">
        <f>'First Draft'!C1295</f>
        <v>10381.3997041434</v>
      </c>
      <c r="V41" s="534">
        <f>'First Draft'!D1295</f>
        <v>15984.0829020739</v>
      </c>
      <c r="W41" s="534">
        <f>'First Draft'!E1295</f>
        <v>8313.7146573662812</v>
      </c>
      <c r="X41" s="534">
        <f>'First Draft'!F1295</f>
        <v>9136.7837828397805</v>
      </c>
      <c r="Y41" s="534">
        <f>'First Draft'!G1295</f>
        <v>1715.49523732066</v>
      </c>
      <c r="Z41" s="534">
        <f>'First Draft'!C1290</f>
        <v>22702.048627287102</v>
      </c>
      <c r="AA41" s="534">
        <f>'First Draft'!D1290</f>
        <v>50906.400928944298</v>
      </c>
      <c r="AB41" s="534">
        <f>'First Draft'!E1290</f>
        <v>39464.573192775199</v>
      </c>
      <c r="AC41" s="534">
        <f>'First Draft'!F1290</f>
        <v>48270.795083343997</v>
      </c>
      <c r="AD41" s="534">
        <f>'First Draft'!G1290</f>
        <v>31920.288091689301</v>
      </c>
      <c r="AE41" s="538">
        <f t="shared" si="11"/>
        <v>-7.4816961180256434E-3</v>
      </c>
      <c r="AF41" s="538">
        <f t="shared" si="0"/>
        <v>-0.13411706140266902</v>
      </c>
      <c r="AG41" s="538">
        <f t="shared" si="1"/>
        <v>2.2950060090062716E-2</v>
      </c>
      <c r="AH41" s="538">
        <f t="shared" si="2"/>
        <v>-7.9066225235612016E-3</v>
      </c>
      <c r="AI41" s="538">
        <f t="shared" si="3"/>
        <v>-0.16542994119453047</v>
      </c>
      <c r="AJ41" s="538">
        <f t="shared" si="4"/>
        <v>2.907523331269635E-2</v>
      </c>
      <c r="AK41" s="434"/>
      <c r="AL41" s="434"/>
      <c r="AM41" s="534">
        <f>'First Draft'!C1300</f>
        <v>12320.4782746732</v>
      </c>
      <c r="AN41" s="534">
        <f>'First Draft'!D1300</f>
        <v>34922.318026870496</v>
      </c>
      <c r="AO41" s="534">
        <f>'First Draft'!E1300</f>
        <v>31150.715678259701</v>
      </c>
      <c r="AP41" s="534">
        <f>'First Draft'!F1300</f>
        <v>39134.0113005042</v>
      </c>
      <c r="AQ41" s="534">
        <f>'First Draft'!G1300</f>
        <v>30204.792854368701</v>
      </c>
      <c r="AR41" s="534">
        <f>'First Draft'!C1293</f>
        <v>77.645054087042794</v>
      </c>
      <c r="AS41" s="534">
        <f>'First Draft'!D1293</f>
        <v>180.96885651350001</v>
      </c>
      <c r="AT41" s="534">
        <f>'First Draft'!E1293</f>
        <v>240.000010728836</v>
      </c>
      <c r="AU41" s="534">
        <f>'First Draft'!F1293</f>
        <v>177.26432627439499</v>
      </c>
      <c r="AV41" s="534">
        <f>'First Draft'!G1293</f>
        <v>327.316299587488</v>
      </c>
      <c r="AW41" s="553">
        <f t="shared" si="12"/>
        <v>-0.72962420693021013</v>
      </c>
      <c r="AX41" s="553">
        <f t="shared" si="13"/>
        <v>-36.5213764337852</v>
      </c>
      <c r="AY41" s="553">
        <f t="shared" si="14"/>
        <v>3.7738095238095228</v>
      </c>
      <c r="AZ41" s="538">
        <f t="shared" si="15"/>
        <v>-4.6693962887902243E-2</v>
      </c>
      <c r="BA41" s="538">
        <f t="shared" si="16"/>
        <v>-7.0469495380803906</v>
      </c>
      <c r="BB41" s="455">
        <f t="shared" si="17"/>
        <v>0.81795403110801146</v>
      </c>
    </row>
    <row r="42" spans="1:54" ht="15" customHeight="1">
      <c r="A42" s="535">
        <v>2005</v>
      </c>
      <c r="B42" s="777"/>
      <c r="C42" s="590" t="s">
        <v>487</v>
      </c>
      <c r="D42" s="454">
        <v>0.49</v>
      </c>
      <c r="E42" s="633" t="s">
        <v>628</v>
      </c>
      <c r="F42" s="633" t="s">
        <v>579</v>
      </c>
      <c r="G42" s="635" t="s">
        <v>610</v>
      </c>
      <c r="H42" s="635" t="s">
        <v>622</v>
      </c>
      <c r="I42" s="454"/>
      <c r="J42" s="437" t="s">
        <v>343</v>
      </c>
      <c r="K42" s="534">
        <f>'First Draft'!C1308*BX8</f>
        <v>2424773.7820000001</v>
      </c>
      <c r="L42" s="534">
        <f>'First Draft'!D1308*BY8</f>
        <v>2400530.2479999997</v>
      </c>
      <c r="M42" s="534">
        <f>'First Draft'!E1308*BZ8</f>
        <v>882853.18319999997</v>
      </c>
      <c r="N42" s="534">
        <f>'First Draft'!F1308*CA8</f>
        <v>288969.30949499999</v>
      </c>
      <c r="O42" s="534">
        <f>'First Draft'!G1308*CB8</f>
        <v>347327.35567199998</v>
      </c>
      <c r="P42" s="534">
        <f>'First Draft'!C1312*BX8</f>
        <v>-512569.886</v>
      </c>
      <c r="Q42" s="534">
        <f>'First Draft'!D1312*BY8</f>
        <v>855.56</v>
      </c>
      <c r="R42" s="534">
        <f>'First Draft'!E1312*BZ8</f>
        <v>288877.85399999999</v>
      </c>
      <c r="S42" s="534">
        <f>'First Draft'!F1312*CA8</f>
        <v>58301.688972999997</v>
      </c>
      <c r="T42" s="534">
        <f>'First Draft'!G1312*CB8</f>
        <v>-32591.764907999997</v>
      </c>
      <c r="U42" s="534">
        <f>'First Draft'!C1311*BX8</f>
        <v>2357354.0320000001</v>
      </c>
      <c r="V42" s="534">
        <f>'First Draft'!D1311*BY8</f>
        <v>1830727.2879999999</v>
      </c>
      <c r="W42" s="534">
        <f>'First Draft'!E1311*BZ8</f>
        <v>2148779.7875999999</v>
      </c>
      <c r="X42" s="534">
        <f>'First Draft'!F1311*CA8</f>
        <v>358323.31207699998</v>
      </c>
      <c r="Y42" s="534">
        <f>'First Draft'!G1311*CB8</f>
        <v>396704.24967599998</v>
      </c>
      <c r="Z42" s="534">
        <f>'First Draft'!C1306*BX8</f>
        <v>4087614.4959999998</v>
      </c>
      <c r="AA42" s="534">
        <f>'First Draft'!D1306*BY8</f>
        <v>3966889.4959999998</v>
      </c>
      <c r="AB42" s="534">
        <f>'First Draft'!E1306*BZ8</f>
        <v>4270147.0104</v>
      </c>
      <c r="AC42" s="534">
        <f>'First Draft'!F1306*CA8</f>
        <v>625504.1034909999</v>
      </c>
      <c r="AD42" s="534">
        <f>'First Draft'!G1306*CB8</f>
        <v>447157.90254599997</v>
      </c>
      <c r="AE42" s="538">
        <f t="shared" si="11"/>
        <v>-7.2886478629654139E-2</v>
      </c>
      <c r="AF42" s="538">
        <f t="shared" si="0"/>
        <v>9.32075243753199E-2</v>
      </c>
      <c r="AG42" s="538">
        <f t="shared" si="1"/>
        <v>6.7650564089815679E-2</v>
      </c>
      <c r="AH42" s="538">
        <f t="shared" si="2"/>
        <v>-0.64598385290824445</v>
      </c>
      <c r="AI42" s="538">
        <f t="shared" si="3"/>
        <v>0.21821063057883081</v>
      </c>
      <c r="AJ42" s="538">
        <f t="shared" si="4"/>
        <v>0.13617531698199292</v>
      </c>
      <c r="AK42" s="434"/>
      <c r="AL42" s="434"/>
      <c r="AM42" s="534">
        <f>'First Draft'!C1316*BX8</f>
        <v>1730440.25</v>
      </c>
      <c r="AN42" s="534">
        <f>'First Draft'!D1316*BY8</f>
        <v>2136162.2079999996</v>
      </c>
      <c r="AO42" s="534">
        <f>'First Draft'!E1316*BZ8</f>
        <v>2121367.2228000001</v>
      </c>
      <c r="AP42" s="534">
        <f>'First Draft'!F1316*CA8</f>
        <v>267180.79141399998</v>
      </c>
      <c r="AQ42" s="534">
        <f>'First Draft'!G1316*CB8</f>
        <v>50452.909559999993</v>
      </c>
      <c r="AR42" s="534">
        <f>'Long Term Debt'!C21*BX8</f>
        <v>1366014.0279999999</v>
      </c>
      <c r="AS42" s="534">
        <f>'Long Term Debt'!D21*BY8</f>
        <v>1230808.6159999999</v>
      </c>
      <c r="AT42" s="534">
        <f>'Long Term Debt'!E21*BZ8</f>
        <v>1480746.8232</v>
      </c>
      <c r="AU42" s="534">
        <f>'Long Term Debt'!F21*CA8</f>
        <v>253583.74483099999</v>
      </c>
      <c r="AV42" s="534">
        <f>'Long Term Debt'!G21*CB8</f>
        <v>328572.15775199997</v>
      </c>
      <c r="AW42" s="553">
        <f t="shared" si="12"/>
        <v>-9.9192107849258623E-2</v>
      </c>
      <c r="AX42" s="553">
        <f t="shared" si="13"/>
        <v>0.22991098665198337</v>
      </c>
      <c r="AY42" s="553">
        <f t="shared" si="14"/>
        <v>0.19508929512724818</v>
      </c>
      <c r="AZ42" s="538">
        <f t="shared" si="15"/>
        <v>-0.16088682500138998</v>
      </c>
      <c r="BA42" s="538">
        <f t="shared" si="16"/>
        <v>0.22491324102888777</v>
      </c>
      <c r="BB42" s="455">
        <f t="shared" si="17"/>
        <v>0.16582140765224695</v>
      </c>
    </row>
    <row r="43" spans="1:54" ht="15" customHeight="1">
      <c r="A43" s="535">
        <v>2007</v>
      </c>
      <c r="B43" s="777"/>
      <c r="C43" s="590" t="s">
        <v>487</v>
      </c>
      <c r="D43" s="452"/>
      <c r="E43" s="634" t="s">
        <v>629</v>
      </c>
      <c r="F43" s="634" t="s">
        <v>580</v>
      </c>
      <c r="G43" s="638" t="s">
        <v>603</v>
      </c>
      <c r="H43" s="638" t="s">
        <v>615</v>
      </c>
      <c r="I43" s="452"/>
      <c r="J43" s="437" t="s">
        <v>335</v>
      </c>
      <c r="K43" s="534">
        <f>'First Draft'!C1325*BV8</f>
        <v>120203.6216</v>
      </c>
      <c r="L43" s="534">
        <f>'First Draft'!D1325*BW8</f>
        <v>115641.526</v>
      </c>
      <c r="M43" s="534">
        <f>'First Draft'!E1325*BX8</f>
        <v>145932.29620000001</v>
      </c>
      <c r="N43" s="534">
        <f>'First Draft'!F1325*BY8</f>
        <v>108450.78559999999</v>
      </c>
      <c r="O43" s="534">
        <f>'First Draft'!G1325*BZ8</f>
        <v>99924.730800000005</v>
      </c>
      <c r="P43" s="534">
        <f>'First Draft'!C1329*BV8</f>
        <v>15124.8493</v>
      </c>
      <c r="Q43" s="534">
        <f>'First Draft'!D1329*BW8</f>
        <v>-91340.508999999991</v>
      </c>
      <c r="R43" s="534">
        <f>'First Draft'!E1329*BX8</f>
        <v>-183421.812278</v>
      </c>
      <c r="S43" s="534">
        <f>'First Draft'!F1329*BY8</f>
        <v>189182.79609599998</v>
      </c>
      <c r="T43" s="534">
        <f>'First Draft'!G1329*BZ8</f>
        <v>110821.0692</v>
      </c>
      <c r="U43" s="534">
        <f>'First Draft'!C1328*BV8</f>
        <v>1093362.6000000001</v>
      </c>
      <c r="V43" s="534">
        <f>'First Draft'!D1328*BW8</f>
        <v>1172360.3059999999</v>
      </c>
      <c r="W43" s="534">
        <f>'First Draft'!E1328*BX8</f>
        <v>1486704.3698</v>
      </c>
      <c r="X43" s="534">
        <f>'First Draft'!F1328*BY8</f>
        <v>1211284.7367999998</v>
      </c>
      <c r="Y43" s="534">
        <f>'First Draft'!G1328*BZ8</f>
        <v>1167391.2348</v>
      </c>
      <c r="Z43" s="534">
        <f>'First Draft'!C1323*BV8</f>
        <v>1409758.5438999999</v>
      </c>
      <c r="AA43" s="534">
        <f>'First Draft'!D1323*BW8</f>
        <v>1529206.601</v>
      </c>
      <c r="AB43" s="534">
        <f>'First Draft'!E1323*BX8</f>
        <v>2053839.3067999999</v>
      </c>
      <c r="AC43" s="534">
        <f>'First Draft'!F1323*BY8</f>
        <v>1863375.4575999998</v>
      </c>
      <c r="AD43" s="534">
        <f>'First Draft'!G1323*BZ8</f>
        <v>1638275.406</v>
      </c>
      <c r="AE43" s="538">
        <f t="shared" si="11"/>
        <v>6.764495688217638E-2</v>
      </c>
      <c r="AF43" s="538">
        <f t="shared" si="0"/>
        <v>0.10152693346066961</v>
      </c>
      <c r="AG43" s="538">
        <f t="shared" si="1"/>
        <v>-8.9306798088201828E-2</v>
      </c>
      <c r="AH43" s="538">
        <f t="shared" si="2"/>
        <v>0.23533896900381235</v>
      </c>
      <c r="AI43" s="538">
        <f t="shared" si="3"/>
        <v>0.29011729512713536</v>
      </c>
      <c r="AJ43" s="538">
        <f t="shared" si="4"/>
        <v>-0.32340803905407978</v>
      </c>
      <c r="AK43" s="434"/>
      <c r="AL43" s="434"/>
      <c r="AM43" s="534">
        <f>'First Draft'!C1333*BV8</f>
        <v>316395.94390000001</v>
      </c>
      <c r="AN43" s="534">
        <f>'First Draft'!D1333*BW8</f>
        <v>356846.29499999998</v>
      </c>
      <c r="AO43" s="534">
        <f>'First Draft'!E1333*BX8</f>
        <v>567152.91559999995</v>
      </c>
      <c r="AP43" s="534">
        <f>'First Draft'!F1333*BY8</f>
        <v>652090.72079999989</v>
      </c>
      <c r="AQ43" s="534">
        <f>'First Draft'!G1333*BZ8</f>
        <v>470899.78200000001</v>
      </c>
      <c r="AR43" s="534">
        <f>'Long Term Debt'!C22*BV8</f>
        <v>1057115.9732000001</v>
      </c>
      <c r="AS43" s="534">
        <f>'Long Term Debt'!D22*BW8</f>
        <v>1140406.3059999999</v>
      </c>
      <c r="AT43" s="534">
        <f>'Long Term Debt'!E22*BX8</f>
        <v>1398393.4865999999</v>
      </c>
      <c r="AU43" s="534">
        <f>'Long Term Debt'!F22*BY8</f>
        <v>1188886.176</v>
      </c>
      <c r="AV43" s="534">
        <f>'Long Term Debt'!G22*BZ8</f>
        <v>1128848.1695999999</v>
      </c>
      <c r="AW43" s="553">
        <f t="shared" si="12"/>
        <v>9.8171811041044374E-2</v>
      </c>
      <c r="AX43" s="553">
        <f t="shared" si="13"/>
        <v>0.15912607944732296</v>
      </c>
      <c r="AY43" s="553">
        <f t="shared" si="14"/>
        <v>-0.1311660945475116</v>
      </c>
      <c r="AZ43" s="538">
        <f t="shared" si="15"/>
        <v>0.13759825244850055</v>
      </c>
      <c r="BA43" s="538">
        <f t="shared" si="16"/>
        <v>0.20496662967177126</v>
      </c>
      <c r="BB43" s="455">
        <f t="shared" si="17"/>
        <v>-0.1842518566900741</v>
      </c>
    </row>
    <row r="44" spans="1:54" ht="15" customHeight="1">
      <c r="A44" s="535">
        <v>2003</v>
      </c>
      <c r="B44" s="777"/>
      <c r="C44" s="590" t="s">
        <v>487</v>
      </c>
      <c r="D44" s="454">
        <v>0.32</v>
      </c>
      <c r="E44" s="633" t="s">
        <v>636</v>
      </c>
      <c r="F44" s="62" t="s">
        <v>593</v>
      </c>
      <c r="G44" s="637" t="s">
        <v>604</v>
      </c>
      <c r="H44" s="637" t="s">
        <v>616</v>
      </c>
      <c r="I44" s="454"/>
      <c r="J44" s="437" t="s">
        <v>344</v>
      </c>
      <c r="K44" s="534">
        <f>'First Draft'!C1340*BZ8</f>
        <v>34576.985351999996</v>
      </c>
      <c r="L44" s="534">
        <f>'First Draft'!D1340*CA8</f>
        <v>30789.776290999998</v>
      </c>
      <c r="M44" s="534">
        <f>'First Draft'!E1340*CB8</f>
        <v>31168.028933999998</v>
      </c>
      <c r="N44" s="534">
        <f>'First Draft'!F1340*CC8</f>
        <v>28488.389184</v>
      </c>
      <c r="O44" s="534">
        <f>'First Draft'!G1340*CD8</f>
        <v>39129.549549999996</v>
      </c>
      <c r="P44" s="534">
        <f>'First Draft'!C1344*BZ8</f>
        <v>-210.58969199999999</v>
      </c>
      <c r="Q44" s="534">
        <f>'First Draft'!D1344*CA8</f>
        <v>-2973.7271249999999</v>
      </c>
      <c r="R44" s="534">
        <f>'First Draft'!E1344*CB8</f>
        <v>714.76689599999997</v>
      </c>
      <c r="S44" s="534">
        <f>'First Draft'!F1344*CC8</f>
        <v>-5055.8307239999995</v>
      </c>
      <c r="T44" s="534">
        <f>'First Draft'!G1344*CD8</f>
        <v>-6829.4513079999997</v>
      </c>
      <c r="U44" s="534">
        <f>'First Draft'!C1343*BZ8</f>
        <v>17345.940419999999</v>
      </c>
      <c r="V44" s="534">
        <f>'First Draft'!D1343*CA8</f>
        <v>15483.283641999999</v>
      </c>
      <c r="W44" s="534">
        <f>'First Draft'!E1343*CB8</f>
        <v>11294.149463999998</v>
      </c>
      <c r="X44" s="534">
        <f>'First Draft'!F1343*CC8</f>
        <v>13457.697525</v>
      </c>
      <c r="Y44" s="534">
        <f>'First Draft'!G1343*CD8</f>
        <v>11276.918357999999</v>
      </c>
      <c r="Z44" s="534">
        <f>'First Draft'!C1338*BZ8</f>
        <v>24488.818068</v>
      </c>
      <c r="AA44" s="534">
        <f>'First Draft'!D1338*CA8</f>
        <v>22807.592987</v>
      </c>
      <c r="AB44" s="534">
        <f>'First Draft'!E1338*CB8</f>
        <v>21139.885061999998</v>
      </c>
      <c r="AC44" s="534">
        <f>'First Draft'!F1338*CC8</f>
        <v>22129.071219000001</v>
      </c>
      <c r="AD44" s="534">
        <f>'First Draft'!G1338*CD8</f>
        <v>23484.132576</v>
      </c>
      <c r="AE44" s="538">
        <f t="shared" si="11"/>
        <v>-0.2908113078436404</v>
      </c>
      <c r="AF44" s="538">
        <f t="shared" si="0"/>
        <v>-0.22847008236202285</v>
      </c>
      <c r="AG44" s="538">
        <f t="shared" si="1"/>
        <v>3.3811295279217446E-2</v>
      </c>
      <c r="AH44" s="538">
        <f t="shared" si="2"/>
        <v>-0.559460265547705</v>
      </c>
      <c r="AI44" s="538">
        <f t="shared" si="3"/>
        <v>-0.58304841913320959</v>
      </c>
      <c r="AJ44" s="538">
        <f t="shared" si="4"/>
        <v>7.2595500528461435E-2</v>
      </c>
      <c r="AK44" s="434"/>
      <c r="AL44" s="434"/>
      <c r="AM44" s="534">
        <f>'First Draft'!C1348*BZ8</f>
        <v>7142.8776479999997</v>
      </c>
      <c r="AN44" s="534">
        <f>'First Draft'!D1348*CA8</f>
        <v>7324.3093449999997</v>
      </c>
      <c r="AO44" s="534">
        <f>'First Draft'!E1348*CB8</f>
        <v>9845.8842599999989</v>
      </c>
      <c r="AP44" s="534">
        <f>'First Draft'!F1348*CC8</f>
        <v>8671.3736939999999</v>
      </c>
      <c r="AQ44" s="534">
        <f>'First Draft'!G1348*CD8</f>
        <v>12207.214217999999</v>
      </c>
      <c r="AR44" s="534">
        <f>'Long Term Debt'!C23*BZ8</f>
        <v>1742.3213880000001</v>
      </c>
      <c r="AS44" s="534">
        <f>'Long Term Debt'!D23*CA8</f>
        <v>6342.0853319999997</v>
      </c>
      <c r="AT44" s="534">
        <f>'Long Term Debt'!E23*CB8</f>
        <v>4285.033488</v>
      </c>
      <c r="AU44" s="534">
        <f>'Long Term Debt'!F23*CC8</f>
        <v>4860.5829329999997</v>
      </c>
      <c r="AV44" s="534">
        <f>'Long Term Debt'!G23*CD8</f>
        <v>642.54442799999993</v>
      </c>
      <c r="AW44" s="553">
        <f t="shared" si="12"/>
        <v>-10.628761234857366</v>
      </c>
      <c r="AX44" s="553">
        <f t="shared" si="13"/>
        <v>-1.0401696244445089</v>
      </c>
      <c r="AY44" s="553">
        <f t="shared" si="14"/>
        <v>0.16680543991118513</v>
      </c>
      <c r="AZ44" s="538">
        <f t="shared" si="15"/>
        <v>-5.3946690851862185</v>
      </c>
      <c r="BA44" s="538">
        <f t="shared" si="16"/>
        <v>-0.86104467358337211</v>
      </c>
      <c r="BB44" s="455">
        <f t="shared" si="17"/>
        <v>0.12292754589198857</v>
      </c>
    </row>
    <row r="45" spans="1:54" ht="15" customHeight="1">
      <c r="A45" s="535">
        <v>2018</v>
      </c>
      <c r="B45" s="535"/>
      <c r="C45" s="590" t="s">
        <v>435</v>
      </c>
      <c r="D45" s="454">
        <v>0.31</v>
      </c>
      <c r="E45" s="633" t="s">
        <v>636</v>
      </c>
      <c r="F45" s="62" t="s">
        <v>593</v>
      </c>
      <c r="G45" s="637" t="s">
        <v>608</v>
      </c>
      <c r="H45" s="637" t="s">
        <v>620</v>
      </c>
      <c r="I45" s="454"/>
      <c r="J45" s="436" t="s">
        <v>341</v>
      </c>
      <c r="K45" s="591">
        <f>'First Draft'!C1374</f>
        <v>2997543.1030318099</v>
      </c>
      <c r="L45" s="591">
        <f>'First Draft'!D1374</f>
        <v>2299724.5603925399</v>
      </c>
      <c r="M45" s="591">
        <f>'First Draft'!E1374</f>
        <v>1551027.31705561</v>
      </c>
      <c r="N45" s="591">
        <f>'First Draft'!F1374</f>
        <v>1041142.23105481</v>
      </c>
      <c r="O45" s="591">
        <f>'First Draft'!G1374</f>
        <v>889368.09160745097</v>
      </c>
      <c r="P45" s="591">
        <f>'First Draft'!C1378</f>
        <v>25728.570619627801</v>
      </c>
      <c r="Q45" s="591">
        <f>'First Draft'!D1378</f>
        <v>14126.0254313797</v>
      </c>
      <c r="R45" s="591">
        <f>'First Draft'!E1378</f>
        <v>-1393.5079566761899</v>
      </c>
      <c r="S45" s="591">
        <f>'First Draft'!F1378</f>
        <v>1768.0092036128001</v>
      </c>
      <c r="T45" s="591">
        <f>'First Draft'!G1378</f>
        <v>-5435.9318143948904</v>
      </c>
      <c r="U45" s="534">
        <f>'First Draft'!C1377</f>
        <v>1035563.3461251929</v>
      </c>
      <c r="V45" s="534">
        <f>'First Draft'!D1377</f>
        <v>610955.6702470181</v>
      </c>
      <c r="W45" s="534">
        <f>'First Draft'!E1377</f>
        <v>409250.90646602935</v>
      </c>
      <c r="X45" s="534">
        <f>'First Draft'!F1377</f>
        <v>327839.81544065522</v>
      </c>
      <c r="Y45" s="534">
        <f>'First Draft'!G1377</f>
        <v>307051.03667252458</v>
      </c>
      <c r="Z45" s="534">
        <f>'First Draft'!C1372</f>
        <v>1280228.5311763301</v>
      </c>
      <c r="AA45" s="534">
        <f>'First Draft'!D1372</f>
        <v>740284.38910868799</v>
      </c>
      <c r="AB45" s="534">
        <f>'First Draft'!E1372</f>
        <v>475926.64601990598</v>
      </c>
      <c r="AC45" s="534">
        <f>'First Draft'!F1372</f>
        <v>395309.20545373898</v>
      </c>
      <c r="AD45" s="534">
        <f>'First Draft'!G1372</f>
        <v>375991.11005718302</v>
      </c>
      <c r="AE45" s="538">
        <f t="shared" si="11"/>
        <v>-1.4457607291747299E-2</v>
      </c>
      <c r="AF45" s="538">
        <f t="shared" si="0"/>
        <v>4.4724716227730272E-3</v>
      </c>
      <c r="AG45" s="538">
        <f t="shared" si="1"/>
        <v>-2.927988941846104E-3</v>
      </c>
      <c r="AH45" s="538">
        <f t="shared" si="2"/>
        <v>-7.8850101943823109E-2</v>
      </c>
      <c r="AI45" s="538">
        <f t="shared" si="3"/>
        <v>2.6204612243714433E-2</v>
      </c>
      <c r="AJ45" s="538">
        <f t="shared" si="4"/>
        <v>-2.0899775030619485E-2</v>
      </c>
      <c r="AK45" s="434"/>
      <c r="AL45" s="434"/>
      <c r="AM45" s="534">
        <f>'First Draft'!C1382</f>
        <v>244665.18505113601</v>
      </c>
      <c r="AN45" s="534">
        <f>'First Draft'!D1382</f>
        <v>129328.718861669</v>
      </c>
      <c r="AO45" s="534">
        <f>'First Draft'!E1382</f>
        <v>66675.739553876207</v>
      </c>
      <c r="AP45" s="534">
        <f>'First Draft'!F1382</f>
        <v>67469.390013083801</v>
      </c>
      <c r="AQ45" s="534">
        <f>'First Draft'!G1382</f>
        <v>68940.073384657502</v>
      </c>
      <c r="AR45" s="534">
        <f>'First Draft'!C1375</f>
        <v>232588.881575957</v>
      </c>
      <c r="AS45" s="534">
        <f>'First Draft'!D1375</f>
        <v>53876.083035156102</v>
      </c>
      <c r="AT45" s="534">
        <f>'First Draft'!E1375</f>
        <v>52446.582541741402</v>
      </c>
      <c r="AU45" s="534">
        <f>'First Draft'!F1375</f>
        <v>58128.308322504199</v>
      </c>
      <c r="AV45" s="534">
        <f>'First Draft'!G1375</f>
        <v>59933.008789643602</v>
      </c>
      <c r="AW45" s="553">
        <f t="shared" si="12"/>
        <v>-9.0700132100396347E-2</v>
      </c>
      <c r="AX45" s="553">
        <f t="shared" si="13"/>
        <v>3.0415631464855836E-2</v>
      </c>
      <c r="AY45" s="553">
        <f t="shared" si="14"/>
        <v>-2.6570043063666143E-2</v>
      </c>
      <c r="AZ45" s="538">
        <f t="shared" si="15"/>
        <v>-8.8527362780184707E-2</v>
      </c>
      <c r="BA45" s="538">
        <f t="shared" si="16"/>
        <v>2.9696915851194189E-2</v>
      </c>
      <c r="BB45" s="455">
        <f t="shared" si="17"/>
        <v>-2.5775657378952294E-2</v>
      </c>
    </row>
    <row r="46" spans="1:54" ht="15" customHeight="1">
      <c r="A46" s="753">
        <v>2006</v>
      </c>
      <c r="B46" s="763"/>
      <c r="C46" s="763" t="s">
        <v>435</v>
      </c>
      <c r="D46" s="707"/>
      <c r="E46" s="715" t="s">
        <v>576</v>
      </c>
      <c r="F46" s="714" t="s">
        <v>576</v>
      </c>
      <c r="G46" s="713" t="s">
        <v>604</v>
      </c>
      <c r="H46" s="713" t="s">
        <v>616</v>
      </c>
      <c r="I46" s="707"/>
      <c r="J46" s="712" t="s">
        <v>349</v>
      </c>
      <c r="K46" s="769">
        <f>'First Draft'!C1389</f>
        <v>540239.40789000003</v>
      </c>
      <c r="L46" s="769">
        <f>'First Draft'!D1389</f>
        <v>547558.57881800004</v>
      </c>
      <c r="M46" s="769">
        <f>'First Draft'!E1389</f>
        <v>465974.42285599996</v>
      </c>
      <c r="N46" s="769">
        <f>'First Draft'!F1389</f>
        <v>359925.10252800002</v>
      </c>
      <c r="O46" s="769">
        <f>'First Draft'!G1389</f>
        <v>296457.50424599997</v>
      </c>
      <c r="P46" s="769">
        <f>'First Draft'!C1393</f>
        <v>43996.024669999999</v>
      </c>
      <c r="Q46" s="769">
        <f>'First Draft'!D1393</f>
        <v>53401.116436000004</v>
      </c>
      <c r="R46" s="769">
        <f>'First Draft'!E1393</f>
        <v>26522.188887999997</v>
      </c>
      <c r="S46" s="769">
        <f>'First Draft'!F1393</f>
        <v>19226.105172</v>
      </c>
      <c r="T46" s="769">
        <f>'First Draft'!G1393</f>
        <v>19381.859338999999</v>
      </c>
      <c r="U46" s="769">
        <f>'First Draft'!C1392</f>
        <v>495477.92514999997</v>
      </c>
      <c r="V46" s="769">
        <f>'First Draft'!D1392</f>
        <v>619536.08370399999</v>
      </c>
      <c r="W46" s="769">
        <f>'First Draft'!E1392</f>
        <v>471676.21691999998</v>
      </c>
      <c r="X46" s="769">
        <f>'First Draft'!F1392</f>
        <v>373487.45335199998</v>
      </c>
      <c r="Y46" s="769">
        <f>'First Draft'!G1392</f>
        <v>136986.275467</v>
      </c>
      <c r="Z46" s="769">
        <f>'First Draft'!C1387</f>
        <v>650489.17570000002</v>
      </c>
      <c r="AA46" s="769">
        <f>'First Draft'!D1387</f>
        <v>718574.79752400005</v>
      </c>
      <c r="AB46" s="769">
        <f>'First Draft'!E1387</f>
        <v>603225.9247359999</v>
      </c>
      <c r="AC46" s="769">
        <f>'First Draft'!F1387</f>
        <v>465819.87157199997</v>
      </c>
      <c r="AD46" s="769">
        <f>'First Draft'!G1387</f>
        <v>351254.782137</v>
      </c>
      <c r="AE46" s="746">
        <f t="shared" si="11"/>
        <v>5.5178919475722572E-2</v>
      </c>
      <c r="AF46" s="746">
        <f t="shared" si="0"/>
        <v>4.1273690422690128E-2</v>
      </c>
      <c r="AG46" s="746">
        <f t="shared" si="1"/>
        <v>4.3967256380115553E-2</v>
      </c>
      <c r="AH46" s="746">
        <f t="shared" si="2"/>
        <v>9.0456006368516195E-2</v>
      </c>
      <c r="AI46" s="746">
        <f t="shared" si="3"/>
        <v>0.20822702949456012</v>
      </c>
      <c r="AJ46" s="746">
        <f t="shared" si="4"/>
        <v>0.20161343820768399</v>
      </c>
      <c r="AK46" s="734"/>
      <c r="AL46" s="734"/>
      <c r="AM46" s="769">
        <f>'First Draft'!C1397</f>
        <v>155011.09078</v>
      </c>
      <c r="AN46" s="769">
        <f>'First Draft'!D1397</f>
        <v>99038.534033999997</v>
      </c>
      <c r="AO46" s="769">
        <f>'First Draft'!E1397</f>
        <v>131549.70781599998</v>
      </c>
      <c r="AP46" s="769">
        <f>'First Draft'!F1397</f>
        <v>92332.418219999992</v>
      </c>
      <c r="AQ46" s="769">
        <f>'First Draft'!G1397</f>
        <v>214268.35118099998</v>
      </c>
      <c r="AR46" s="769">
        <f>'First Draft'!C1390</f>
        <v>2029640</v>
      </c>
      <c r="AS46" s="769">
        <f>'First Draft'!D1390</f>
        <v>2061191</v>
      </c>
      <c r="AT46" s="769">
        <f>'First Draft'!E1390</f>
        <v>1741283</v>
      </c>
      <c r="AU46" s="769">
        <f>'First Draft'!F1390</f>
        <v>1600934</v>
      </c>
      <c r="AV46" s="769">
        <f>'First Draft'!G1390</f>
        <v>308857</v>
      </c>
      <c r="AW46" s="711">
        <f t="shared" si="12"/>
        <v>6.2753505146394606E-2</v>
      </c>
      <c r="AX46" s="711">
        <f t="shared" si="13"/>
        <v>1.2009305300530815E-2</v>
      </c>
      <c r="AY46" s="711">
        <f t="shared" si="14"/>
        <v>1.5231406318214786E-2</v>
      </c>
      <c r="AZ46" s="746">
        <f t="shared" si="15"/>
        <v>7.9652269775058127E-2</v>
      </c>
      <c r="BA46" s="746">
        <f t="shared" si="16"/>
        <v>5.0902573016481857E-2</v>
      </c>
      <c r="BB46" s="707">
        <f t="shared" si="17"/>
        <v>5.5877043105033122E-2</v>
      </c>
    </row>
    <row r="47" spans="1:54" ht="15" customHeight="1">
      <c r="A47" s="758"/>
      <c r="B47" s="768"/>
      <c r="C47" s="768"/>
      <c r="D47" s="745"/>
      <c r="E47" s="745"/>
      <c r="F47" s="745"/>
      <c r="G47" s="745"/>
      <c r="H47" s="745"/>
      <c r="I47" s="745"/>
      <c r="J47" s="733"/>
      <c r="K47" s="757"/>
      <c r="L47" s="757"/>
      <c r="M47" s="757"/>
      <c r="N47" s="757"/>
      <c r="O47" s="757"/>
      <c r="P47" s="757"/>
      <c r="Q47" s="757"/>
      <c r="R47" s="757"/>
      <c r="S47" s="757"/>
      <c r="T47" s="757"/>
      <c r="U47" s="767"/>
      <c r="V47" s="767"/>
      <c r="W47" s="767"/>
      <c r="X47" s="767"/>
      <c r="Y47" s="767"/>
      <c r="Z47" s="767"/>
      <c r="AA47" s="767"/>
      <c r="AB47" s="767"/>
      <c r="AC47" s="767"/>
      <c r="AD47" s="767"/>
      <c r="AE47" s="744"/>
      <c r="AF47" s="744"/>
      <c r="AG47" s="744"/>
      <c r="AH47" s="744"/>
      <c r="AI47" s="744"/>
      <c r="AJ47" s="744"/>
      <c r="AK47" s="762"/>
      <c r="AL47" s="762"/>
      <c r="AM47" s="767"/>
      <c r="AN47" s="767"/>
      <c r="AO47" s="767"/>
      <c r="AP47" s="767"/>
      <c r="AQ47" s="767"/>
      <c r="AR47" s="767"/>
      <c r="AS47" s="767"/>
      <c r="AT47" s="767"/>
      <c r="AU47" s="767"/>
      <c r="AV47" s="767"/>
      <c r="AW47" s="774"/>
      <c r="AX47" s="774"/>
      <c r="AY47" s="774"/>
      <c r="AZ47" s="744"/>
      <c r="BA47" s="744"/>
      <c r="BB47" s="745"/>
    </row>
    <row r="48" spans="1:54" s="200" customFormat="1" ht="15" customHeight="1">
      <c r="A48" s="726" t="s">
        <v>491</v>
      </c>
      <c r="B48" s="726"/>
      <c r="C48" s="726" t="s">
        <v>491</v>
      </c>
      <c r="D48" s="726" t="s">
        <v>491</v>
      </c>
      <c r="E48" s="726"/>
      <c r="F48" s="726"/>
      <c r="G48" s="726"/>
      <c r="H48" s="726"/>
      <c r="I48" s="726" t="s">
        <v>491</v>
      </c>
      <c r="J48" s="726" t="s">
        <v>491</v>
      </c>
      <c r="K48" s="726" t="s">
        <v>491</v>
      </c>
      <c r="L48" s="726" t="s">
        <v>491</v>
      </c>
      <c r="M48" s="726" t="s">
        <v>491</v>
      </c>
      <c r="N48" s="726" t="s">
        <v>491</v>
      </c>
      <c r="O48" s="726" t="s">
        <v>491</v>
      </c>
      <c r="P48" s="726" t="s">
        <v>491</v>
      </c>
      <c r="Q48" s="726" t="s">
        <v>491</v>
      </c>
      <c r="R48" s="726" t="s">
        <v>491</v>
      </c>
      <c r="S48" s="726" t="s">
        <v>491</v>
      </c>
      <c r="T48" s="726" t="s">
        <v>491</v>
      </c>
      <c r="U48" s="726" t="s">
        <v>491</v>
      </c>
      <c r="V48" s="726" t="s">
        <v>491</v>
      </c>
      <c r="W48" s="726" t="s">
        <v>491</v>
      </c>
      <c r="X48" s="726" t="s">
        <v>491</v>
      </c>
      <c r="Y48" s="726" t="s">
        <v>491</v>
      </c>
      <c r="Z48" s="726" t="s">
        <v>491</v>
      </c>
      <c r="AA48" s="726" t="s">
        <v>491</v>
      </c>
      <c r="AB48" s="726" t="s">
        <v>491</v>
      </c>
      <c r="AC48" s="726" t="s">
        <v>491</v>
      </c>
      <c r="AD48" s="726" t="s">
        <v>491</v>
      </c>
      <c r="AE48" s="726" t="s">
        <v>491</v>
      </c>
      <c r="AF48" s="726" t="s">
        <v>491</v>
      </c>
      <c r="AG48" s="726" t="s">
        <v>491</v>
      </c>
      <c r="AH48" s="726" t="s">
        <v>491</v>
      </c>
      <c r="AI48" s="726" t="s">
        <v>491</v>
      </c>
      <c r="AJ48" s="726" t="s">
        <v>491</v>
      </c>
      <c r="AK48" s="726" t="s">
        <v>491</v>
      </c>
      <c r="AL48" s="726" t="s">
        <v>491</v>
      </c>
      <c r="AM48" s="726" t="s">
        <v>491</v>
      </c>
      <c r="AN48" s="726" t="s">
        <v>491</v>
      </c>
      <c r="AO48" s="726" t="s">
        <v>491</v>
      </c>
      <c r="AP48" s="726" t="s">
        <v>491</v>
      </c>
      <c r="AQ48" s="726" t="s">
        <v>491</v>
      </c>
      <c r="AR48" s="726" t="s">
        <v>491</v>
      </c>
      <c r="AS48" s="726" t="s">
        <v>491</v>
      </c>
      <c r="AT48" s="726" t="s">
        <v>491</v>
      </c>
      <c r="AU48" s="726" t="s">
        <v>491</v>
      </c>
      <c r="AV48" s="726" t="s">
        <v>491</v>
      </c>
      <c r="AW48" s="726" t="s">
        <v>491</v>
      </c>
      <c r="AX48" s="726" t="s">
        <v>491</v>
      </c>
      <c r="AY48" s="726" t="s">
        <v>491</v>
      </c>
      <c r="AZ48" s="726" t="s">
        <v>491</v>
      </c>
      <c r="BA48" s="726" t="s">
        <v>491</v>
      </c>
      <c r="BB48" s="726" t="s">
        <v>491</v>
      </c>
    </row>
    <row r="49" spans="1:54" ht="15" customHeight="1">
      <c r="A49" s="561" t="s">
        <v>491</v>
      </c>
      <c r="B49" s="561"/>
      <c r="C49" s="561"/>
      <c r="D49" s="561"/>
      <c r="E49" s="561"/>
      <c r="F49" s="561"/>
      <c r="G49" s="561"/>
      <c r="H49" s="561"/>
      <c r="I49" s="561"/>
      <c r="J49" s="561"/>
      <c r="K49" s="914" t="s">
        <v>5</v>
      </c>
      <c r="L49" s="914"/>
      <c r="M49" s="914"/>
      <c r="N49" s="914"/>
      <c r="O49" s="914"/>
      <c r="P49" s="934" t="s">
        <v>6</v>
      </c>
      <c r="Q49" s="934"/>
      <c r="R49" s="934"/>
      <c r="S49" s="934"/>
      <c r="T49" s="934"/>
      <c r="U49" s="935" t="s">
        <v>84</v>
      </c>
      <c r="V49" s="935"/>
      <c r="W49" s="935"/>
      <c r="X49" s="935"/>
      <c r="Y49" s="935"/>
      <c r="Z49" s="936" t="s">
        <v>90</v>
      </c>
      <c r="AA49" s="936"/>
      <c r="AB49" s="936"/>
      <c r="AC49" s="936"/>
      <c r="AD49" s="936"/>
      <c r="AE49" s="942" t="s">
        <v>9</v>
      </c>
      <c r="AF49" s="942"/>
      <c r="AG49" s="942"/>
      <c r="AH49" s="919" t="s">
        <v>10</v>
      </c>
      <c r="AI49" s="919"/>
      <c r="AJ49" s="919"/>
      <c r="AK49" s="464" t="s">
        <v>491</v>
      </c>
      <c r="AL49" s="464" t="s">
        <v>491</v>
      </c>
      <c r="AM49" s="943" t="s">
        <v>105</v>
      </c>
      <c r="AN49" s="944"/>
      <c r="AO49" s="944"/>
      <c r="AP49" s="944"/>
      <c r="AQ49" s="945"/>
      <c r="AR49" s="926" t="s">
        <v>563</v>
      </c>
      <c r="AS49" s="927"/>
      <c r="AT49" s="927"/>
      <c r="AU49" s="927"/>
      <c r="AV49" s="928"/>
      <c r="AW49" s="917" t="s">
        <v>565</v>
      </c>
      <c r="AX49" s="918"/>
      <c r="AY49" s="918"/>
      <c r="AZ49" s="919" t="s">
        <v>564</v>
      </c>
      <c r="BA49" s="919"/>
      <c r="BB49" s="919"/>
    </row>
    <row r="50" spans="1:54" s="465" customFormat="1" ht="15" customHeight="1">
      <c r="A50" s="726"/>
      <c r="B50" s="726"/>
      <c r="C50" s="726"/>
      <c r="D50" s="726"/>
      <c r="E50" s="726"/>
      <c r="F50" s="726"/>
      <c r="G50" s="726"/>
      <c r="H50" s="726"/>
      <c r="I50" s="726"/>
      <c r="J50" s="726"/>
      <c r="K50" s="804" t="s">
        <v>78</v>
      </c>
      <c r="L50" s="805" t="s">
        <v>77</v>
      </c>
      <c r="M50" s="805" t="s">
        <v>76</v>
      </c>
      <c r="N50" s="805" t="s">
        <v>74</v>
      </c>
      <c r="O50" s="805" t="s">
        <v>75</v>
      </c>
      <c r="P50" s="806" t="s">
        <v>83</v>
      </c>
      <c r="Q50" s="806" t="s">
        <v>82</v>
      </c>
      <c r="R50" s="806" t="s">
        <v>81</v>
      </c>
      <c r="S50" s="806" t="s">
        <v>80</v>
      </c>
      <c r="T50" s="806" t="s">
        <v>79</v>
      </c>
      <c r="U50" s="807" t="s">
        <v>89</v>
      </c>
      <c r="V50" s="807" t="s">
        <v>88</v>
      </c>
      <c r="W50" s="807" t="s">
        <v>87</v>
      </c>
      <c r="X50" s="807" t="s">
        <v>86</v>
      </c>
      <c r="Y50" s="807" t="s">
        <v>85</v>
      </c>
      <c r="Z50" s="808" t="s">
        <v>95</v>
      </c>
      <c r="AA50" s="808" t="s">
        <v>94</v>
      </c>
      <c r="AB50" s="808" t="s">
        <v>93</v>
      </c>
      <c r="AC50" s="808" t="s">
        <v>92</v>
      </c>
      <c r="AD50" s="808" t="s">
        <v>91</v>
      </c>
      <c r="AE50" s="809" t="s">
        <v>96</v>
      </c>
      <c r="AF50" s="809" t="s">
        <v>97</v>
      </c>
      <c r="AG50" s="809" t="s">
        <v>98</v>
      </c>
      <c r="AH50" s="810" t="s">
        <v>99</v>
      </c>
      <c r="AI50" s="810" t="s">
        <v>100</v>
      </c>
      <c r="AJ50" s="810" t="s">
        <v>101</v>
      </c>
      <c r="AK50" s="811"/>
      <c r="AL50" s="812"/>
      <c r="AM50" s="813" t="s">
        <v>107</v>
      </c>
      <c r="AN50" s="813" t="s">
        <v>106</v>
      </c>
      <c r="AO50" s="813" t="s">
        <v>104</v>
      </c>
      <c r="AP50" s="813" t="s">
        <v>103</v>
      </c>
      <c r="AQ50" s="813" t="s">
        <v>102</v>
      </c>
      <c r="AR50" s="807" t="s">
        <v>89</v>
      </c>
      <c r="AS50" s="807" t="s">
        <v>88</v>
      </c>
      <c r="AT50" s="807" t="s">
        <v>87</v>
      </c>
      <c r="AU50" s="807" t="s">
        <v>86</v>
      </c>
      <c r="AV50" s="807" t="s">
        <v>85</v>
      </c>
      <c r="AW50" s="814" t="s">
        <v>566</v>
      </c>
      <c r="AX50" s="814" t="s">
        <v>567</v>
      </c>
      <c r="AY50" s="814" t="s">
        <v>568</v>
      </c>
      <c r="AZ50" s="810" t="s">
        <v>99</v>
      </c>
      <c r="BA50" s="810" t="s">
        <v>100</v>
      </c>
      <c r="BB50" s="810" t="s">
        <v>101</v>
      </c>
    </row>
    <row r="51" spans="1:54" s="221" customFormat="1" ht="15" customHeight="1">
      <c r="A51" s="815">
        <v>2012</v>
      </c>
      <c r="B51" s="826"/>
      <c r="C51" s="78" t="s">
        <v>487</v>
      </c>
      <c r="D51" s="826"/>
      <c r="E51" s="826"/>
      <c r="F51" s="826"/>
      <c r="G51" s="826"/>
      <c r="H51" s="826"/>
      <c r="I51" s="817" t="s">
        <v>206</v>
      </c>
      <c r="J51" s="818" t="s">
        <v>1080</v>
      </c>
      <c r="K51" s="827">
        <f>'More Comp Group'!D1012*BQ8</f>
        <v>10834.122138000001</v>
      </c>
      <c r="L51" s="827">
        <f>'More Comp Group'!E1012*BR8</f>
        <v>13900.429815</v>
      </c>
      <c r="M51" s="827">
        <f>'More Comp Group'!F1012*BS8</f>
        <v>8629.9828949999992</v>
      </c>
      <c r="N51" s="827">
        <f>'More Comp Group'!G1012*BT8</f>
        <v>4410.8821440000002</v>
      </c>
      <c r="O51" s="827">
        <f>'More Comp Group'!H1012*BU8</f>
        <v>4513.6567080000004</v>
      </c>
      <c r="P51" s="827">
        <f>'More Comp Group'!D1016*BQ8</f>
        <v>90486.963755999997</v>
      </c>
      <c r="Q51" s="827">
        <f>'More Comp Group'!E1016*BR8</f>
        <v>117180.89238</v>
      </c>
      <c r="R51" s="827">
        <f>'More Comp Group'!F1016*BS8</f>
        <v>147889.48925800002</v>
      </c>
      <c r="S51" s="827">
        <f>'More Comp Group'!G1016*BT8</f>
        <v>83539.418915999995</v>
      </c>
      <c r="T51" s="827">
        <f>'More Comp Group'!H1016*BU8</f>
        <v>99495.831600000005</v>
      </c>
      <c r="U51" s="827">
        <f>'More Comp Group'!D1015*BQ8</f>
        <v>47977.199234</v>
      </c>
      <c r="V51" s="827">
        <f>'More Comp Group'!E1015*BR8</f>
        <v>63686.914920000003</v>
      </c>
      <c r="W51" s="827">
        <f>'More Comp Group'!F1015*BS8</f>
        <v>67496.392804999996</v>
      </c>
      <c r="X51" s="827">
        <f>'More Comp Group'!G1015*BT8</f>
        <v>141367.77555600001</v>
      </c>
      <c r="Y51" s="827">
        <f>'More Comp Group'!H1015*BU8</f>
        <v>145346.42548800001</v>
      </c>
      <c r="Z51" s="828">
        <f>'More Comp Group'!D1010*BQ8</f>
        <v>723596.07693600003</v>
      </c>
      <c r="AA51" s="828">
        <f>'More Comp Group'!E1010*BR8</f>
        <v>848605.34458500007</v>
      </c>
      <c r="AB51" s="828">
        <f>'More Comp Group'!F1010*BS8</f>
        <v>828435.28036900004</v>
      </c>
      <c r="AC51" s="828">
        <f>'More Comp Group'!G1010*BT8</f>
        <v>798740.16428399994</v>
      </c>
      <c r="AD51" s="828">
        <f>'More Comp Group'!H1010*BU8</f>
        <v>807423.58620000002</v>
      </c>
      <c r="AE51" s="821">
        <f>T51/AD51</f>
        <v>0.12322631305367235</v>
      </c>
      <c r="AF51" s="821">
        <f t="shared" ref="AF51:AF54" si="18">S51/AC51</f>
        <v>0.10458897981033133</v>
      </c>
      <c r="AG51" s="821">
        <f t="shared" ref="AG51:AG54" si="19">R51/AB51</f>
        <v>0.17851664790534677</v>
      </c>
      <c r="AH51" s="821">
        <f>T51/AQ51</f>
        <v>0.15027826160610264</v>
      </c>
      <c r="AI51" s="821">
        <f>S51/AP51</f>
        <v>0.12708084823260465</v>
      </c>
      <c r="AJ51" s="821">
        <f t="shared" ref="AJ51:AJ54" si="20">R51/AO51</f>
        <v>0.19435124882134949</v>
      </c>
      <c r="AK51" s="811"/>
      <c r="AL51" s="811"/>
      <c r="AM51" s="827">
        <f>'More Comp Group'!D1020*BQ8</f>
        <v>675618.87770199997</v>
      </c>
      <c r="AN51" s="827">
        <f>'More Comp Group'!E1020*BR8</f>
        <v>784918.42966500006</v>
      </c>
      <c r="AO51" s="827">
        <f>'More Comp Group'!F1020*BS8</f>
        <v>760939.22809800005</v>
      </c>
      <c r="AP51" s="827">
        <f>'More Comp Group'!G1020*BT8</f>
        <v>657372.21680399997</v>
      </c>
      <c r="AQ51" s="827">
        <f>'More Comp Group'!H1020*BU8</f>
        <v>662077.33930800005</v>
      </c>
      <c r="AR51" s="827">
        <f>'More Comp Group'!D1018*BQ8</f>
        <v>11423.20183</v>
      </c>
      <c r="AS51" s="827">
        <f>'More Comp Group'!E1018*BR8</f>
        <v>17049.466110000001</v>
      </c>
      <c r="AT51" s="827">
        <f>'More Comp Group'!F1018*BS8</f>
        <v>19360.890303</v>
      </c>
      <c r="AU51" s="827">
        <f>'More Comp Group'!G1018*BT8</f>
        <v>90651.227100000004</v>
      </c>
      <c r="AV51" s="827">
        <f>'More Comp Group'!H1018*BU8</f>
        <v>22033.38852</v>
      </c>
      <c r="AW51" s="823">
        <f t="shared" ref="AW51:AW90" si="21">T51/AV51</f>
        <v>4.5156845262219338</v>
      </c>
      <c r="AX51" s="823">
        <f t="shared" si="13"/>
        <v>0.92154757953629496</v>
      </c>
      <c r="AY51" s="823">
        <f t="shared" si="14"/>
        <v>7.6385686269336643</v>
      </c>
      <c r="AZ51" s="824">
        <f t="shared" si="15"/>
        <v>0.93610625432705286</v>
      </c>
      <c r="BA51" s="824">
        <f t="shared" si="16"/>
        <v>0.26769230581820269</v>
      </c>
      <c r="BB51" s="825">
        <f t="shared" si="17"/>
        <v>0.80086527067279256</v>
      </c>
    </row>
    <row r="52" spans="1:54" s="221" customFormat="1" ht="15" customHeight="1">
      <c r="A52" s="815">
        <v>2012</v>
      </c>
      <c r="B52" s="826"/>
      <c r="C52" s="78" t="s">
        <v>487</v>
      </c>
      <c r="D52" s="826"/>
      <c r="E52" s="826"/>
      <c r="F52" s="826"/>
      <c r="G52" s="826"/>
      <c r="H52" s="826"/>
      <c r="I52" s="817" t="s">
        <v>206</v>
      </c>
      <c r="J52" s="818" t="s">
        <v>1081</v>
      </c>
      <c r="K52" s="827">
        <f>'More Comp Group'!D1027*BQ8</f>
        <v>180559.38535</v>
      </c>
      <c r="L52" s="827">
        <f>'More Comp Group'!E1027*BR8</f>
        <v>287769.16013999999</v>
      </c>
      <c r="M52" s="827">
        <f>'More Comp Group'!F1027*BS8</f>
        <v>291244.08723800001</v>
      </c>
      <c r="N52" s="827">
        <f>'More Comp Group'!G1027*BT8</f>
        <v>308637.10518000001</v>
      </c>
      <c r="O52" s="827">
        <f>'More Comp Group'!H1027*BU8</f>
        <v>330133.63442399999</v>
      </c>
      <c r="P52" s="827">
        <f>'More Comp Group'!D1031*BQ8</f>
        <v>5645.3263440000001</v>
      </c>
      <c r="Q52" s="827">
        <f>'More Comp Group'!E1031*BR8</f>
        <v>7238.27826</v>
      </c>
      <c r="R52" s="827">
        <f>'More Comp Group'!F1031*BS8</f>
        <v>5017.7684900000004</v>
      </c>
      <c r="S52" s="827">
        <f>'More Comp Group'!G1031*BT8</f>
        <v>6068.7452759999996</v>
      </c>
      <c r="T52" s="827">
        <f>'More Comp Group'!H1031*BU8</f>
        <v>1773.994068</v>
      </c>
      <c r="U52" s="827">
        <f>'More Comp Group'!D1030*BQ8</f>
        <v>92862.164875999995</v>
      </c>
      <c r="V52" s="827">
        <f>'More Comp Group'!E1030*BR8</f>
        <v>145861.622775</v>
      </c>
      <c r="W52" s="827">
        <f>'More Comp Group'!F1030*BS8</f>
        <v>153549.675139</v>
      </c>
      <c r="X52" s="827">
        <f>'More Comp Group'!G1030*BT8</f>
        <v>166549.99960799998</v>
      </c>
      <c r="Y52" s="827">
        <f>'More Comp Group'!H1030*BU8</f>
        <v>176747.35280399999</v>
      </c>
      <c r="Z52" s="828">
        <f>'More Comp Group'!D1025*BQ8</f>
        <v>191089.52646600001</v>
      </c>
      <c r="AA52" s="828">
        <f>'More Comp Group'!E1025*BR8</f>
        <v>200048.735265</v>
      </c>
      <c r="AB52" s="828">
        <f>'More Comp Group'!F1025*BS8</f>
        <v>211577.520074</v>
      </c>
      <c r="AC52" s="828">
        <f>'More Comp Group'!G1025*BT8</f>
        <v>222664.44589199999</v>
      </c>
      <c r="AD52" s="828">
        <f>'More Comp Group'!H1025*BU8</f>
        <v>237335.51001600001</v>
      </c>
      <c r="AE52" s="821">
        <f>T52/AD52</f>
        <v>7.4746255538431896E-3</v>
      </c>
      <c r="AF52" s="821">
        <f t="shared" si="18"/>
        <v>2.7255115883851311E-2</v>
      </c>
      <c r="AG52" s="821">
        <f t="shared" si="19"/>
        <v>2.3715981207479028E-2</v>
      </c>
      <c r="AH52" s="821">
        <f>T52/AQ52</f>
        <v>2.9279465170023108E-2</v>
      </c>
      <c r="AI52" s="821">
        <f>S52/AP52</f>
        <v>0.10814942813986905</v>
      </c>
      <c r="AJ52" s="821">
        <f t="shared" si="20"/>
        <v>8.647148230958375E-2</v>
      </c>
      <c r="AK52" s="811"/>
      <c r="AL52" s="811"/>
      <c r="AM52" s="827">
        <f>'More Comp Group'!D1035*BQ8</f>
        <v>98227.485816</v>
      </c>
      <c r="AN52" s="827">
        <f>'More Comp Group'!E1035*BR8</f>
        <v>54186.794099999999</v>
      </c>
      <c r="AO52" s="827">
        <f>'More Comp Group'!F1035*BS8</f>
        <v>58028.015202000002</v>
      </c>
      <c r="AP52" s="827">
        <f>'More Comp Group'!G1035*BT8</f>
        <v>56114.446283999998</v>
      </c>
      <c r="AQ52" s="827">
        <f>'More Comp Group'!H1035*BU8</f>
        <v>60588.335808000003</v>
      </c>
      <c r="AR52" s="827">
        <f>'More Comp Group'!D1033*BQ8</f>
        <v>42186.776922000005</v>
      </c>
      <c r="AS52" s="827">
        <f>'More Comp Group'!E1033*BR8</f>
        <v>77154.493530000007</v>
      </c>
      <c r="AT52" s="827">
        <f>'More Comp Group'!F1033*BS8</f>
        <v>86120.197264999995</v>
      </c>
      <c r="AU52" s="827">
        <f>'More Comp Group'!G1033*BT8</f>
        <v>94225.355135999998</v>
      </c>
      <c r="AV52" s="827">
        <f>'More Comp Group'!H1033*BU8</f>
        <v>99872.669160000005</v>
      </c>
      <c r="AW52" s="823">
        <f t="shared" si="21"/>
        <v>1.7762557894172134E-2</v>
      </c>
      <c r="AX52" s="823">
        <f t="shared" si="13"/>
        <v>6.4406711624919719E-2</v>
      </c>
      <c r="AY52" s="823">
        <f t="shared" si="14"/>
        <v>5.826471198805841E-2</v>
      </c>
      <c r="AZ52" s="824">
        <f t="shared" si="15"/>
        <v>2.0702656155751391E-2</v>
      </c>
      <c r="BA52" s="824">
        <f t="shared" si="16"/>
        <v>7.5430466703379481E-2</v>
      </c>
      <c r="BB52" s="825">
        <f t="shared" si="17"/>
        <v>6.6000796517475424E-2</v>
      </c>
    </row>
    <row r="53" spans="1:54" s="221" customFormat="1" ht="15" customHeight="1">
      <c r="A53" s="815">
        <v>2012</v>
      </c>
      <c r="B53" s="826"/>
      <c r="C53" s="78" t="s">
        <v>487</v>
      </c>
      <c r="D53" s="826"/>
      <c r="E53" s="826"/>
      <c r="F53" s="826"/>
      <c r="G53" s="826"/>
      <c r="H53" s="826"/>
      <c r="I53" s="817" t="s">
        <v>206</v>
      </c>
      <c r="J53" s="818" t="s">
        <v>657</v>
      </c>
      <c r="K53" s="827">
        <f>'More Comp Group'!D1042*BQ8</f>
        <v>379043.712918</v>
      </c>
      <c r="L53" s="827">
        <f>'More Comp Group'!E1042*BR8</f>
        <v>390610.08530999999</v>
      </c>
      <c r="M53" s="827">
        <f>'More Comp Group'!F1042*BS8</f>
        <v>458557.46558900003</v>
      </c>
      <c r="N53" s="827">
        <f>'More Comp Group'!G1042*BT8</f>
        <v>407443.71914399997</v>
      </c>
      <c r="O53" s="827">
        <f>'More Comp Group'!H1042*BU8</f>
        <v>633294.09356399998</v>
      </c>
      <c r="P53" s="827">
        <f>'More Comp Group'!D1046*BQ8</f>
        <v>-4989.2888380000004</v>
      </c>
      <c r="Q53" s="827">
        <f>'More Comp Group'!E1046*BR8</f>
        <v>-3473.4757050000003</v>
      </c>
      <c r="R53" s="827">
        <f>'More Comp Group'!F1046*BS8</f>
        <v>-38712.415921</v>
      </c>
      <c r="S53" s="827">
        <f>'More Comp Group'!G1046*BT8</f>
        <v>77438.180003999994</v>
      </c>
      <c r="T53" s="827">
        <f>'More Comp Group'!H1046*BU8</f>
        <v>4089.134016</v>
      </c>
      <c r="U53" s="827">
        <f>'More Comp Group'!D1045*BQ8</f>
        <v>269686.819762</v>
      </c>
      <c r="V53" s="827">
        <f>'More Comp Group'!E1045*BR8</f>
        <v>286728.34323</v>
      </c>
      <c r="W53" s="827">
        <f>'More Comp Group'!F1045*BS8</f>
        <v>282295.19425200002</v>
      </c>
      <c r="X53" s="827">
        <f>'More Comp Group'!G1045*BT8</f>
        <v>256880.24459999998</v>
      </c>
      <c r="Y53" s="827">
        <f>'More Comp Group'!H1045*BU8</f>
        <v>480146.41620000004</v>
      </c>
      <c r="Z53" s="828">
        <f>'More Comp Group'!D1040*BQ8</f>
        <v>375846.13567799999</v>
      </c>
      <c r="AA53" s="828">
        <f>'More Comp Group'!E1040*BR8</f>
        <v>383895.081015</v>
      </c>
      <c r="AB53" s="828">
        <f>'More Comp Group'!F1040*BS8</f>
        <v>378780.39514199999</v>
      </c>
      <c r="AC53" s="828">
        <f>'More Comp Group'!G1040*BT8</f>
        <v>404080.71377999999</v>
      </c>
      <c r="AD53" s="828">
        <f>'More Comp Group'!H1040*BU8</f>
        <v>630235.45846800006</v>
      </c>
      <c r="AE53" s="821">
        <f>T53/AD53</f>
        <v>6.4882639671528797E-3</v>
      </c>
      <c r="AF53" s="821">
        <f t="shared" si="18"/>
        <v>0.19164037620008975</v>
      </c>
      <c r="AG53" s="821">
        <f t="shared" si="19"/>
        <v>-0.10220279723423173</v>
      </c>
      <c r="AH53" s="821">
        <f>T53/AQ53</f>
        <v>2.7244720561934263E-2</v>
      </c>
      <c r="AI53" s="821">
        <f>S53/AP53</f>
        <v>0.526072915632537</v>
      </c>
      <c r="AJ53" s="821">
        <f t="shared" si="20"/>
        <v>-0.40122646337374485</v>
      </c>
      <c r="AK53" s="811"/>
      <c r="AL53" s="811"/>
      <c r="AM53" s="827">
        <f>'More Comp Group'!D1050*BQ8</f>
        <v>106159.31591600001</v>
      </c>
      <c r="AN53" s="827">
        <f>'More Comp Group'!E1050*BR8</f>
        <v>97166.737785000005</v>
      </c>
      <c r="AO53" s="827">
        <f>'More Comp Group'!F1050*BS8</f>
        <v>96485.200890000007</v>
      </c>
      <c r="AP53" s="827">
        <f>'More Comp Group'!G1050*BT8</f>
        <v>147200.46917999999</v>
      </c>
      <c r="AQ53" s="827">
        <f>'More Comp Group'!H1050*BU8</f>
        <v>150089.04226799999</v>
      </c>
      <c r="AR53" s="827">
        <f>'More Comp Group'!D1048*BQ8</f>
        <v>6407.7013059999999</v>
      </c>
      <c r="AS53" s="827">
        <f>'More Comp Group'!E1048*BR8</f>
        <v>19020.459405000001</v>
      </c>
      <c r="AT53" s="827">
        <f>'More Comp Group'!F1048*BS8</f>
        <v>49342.354998000003</v>
      </c>
      <c r="AU53" s="827">
        <f>'More Comp Group'!G1048*BT8</f>
        <v>19605.869112</v>
      </c>
      <c r="AV53" s="827">
        <f>'More Comp Group'!H1048*BU8</f>
        <v>109737.955008</v>
      </c>
      <c r="AW53" s="823">
        <f t="shared" si="21"/>
        <v>3.7262713850480432E-2</v>
      </c>
      <c r="AX53" s="823">
        <f t="shared" si="13"/>
        <v>3.9497448219014712</v>
      </c>
      <c r="AY53" s="823">
        <f t="shared" si="14"/>
        <v>-0.78456765840562603</v>
      </c>
      <c r="AZ53" s="824">
        <f t="shared" si="15"/>
        <v>3.4876953103568267E-2</v>
      </c>
      <c r="BA53" s="824">
        <f t="shared" si="16"/>
        <v>2.7025531254535324</v>
      </c>
      <c r="BB53" s="825">
        <f t="shared" si="17"/>
        <v>-0.68692070337196365</v>
      </c>
    </row>
    <row r="54" spans="1:54" ht="15" customHeight="1">
      <c r="A54" s="815">
        <v>2012</v>
      </c>
      <c r="B54" s="816"/>
      <c r="C54" s="78" t="s">
        <v>487</v>
      </c>
      <c r="D54" s="817"/>
      <c r="E54" s="817"/>
      <c r="F54" s="817"/>
      <c r="G54" s="817"/>
      <c r="H54" s="817"/>
      <c r="I54" s="817" t="s">
        <v>206</v>
      </c>
      <c r="J54" s="818" t="s">
        <v>352</v>
      </c>
      <c r="K54" s="819">
        <f>'Comp Group'!C3*BQ8</f>
        <v>1540153.9480000001</v>
      </c>
      <c r="L54" s="819">
        <f>'Comp Group'!D3*BR8</f>
        <v>1581602.325</v>
      </c>
      <c r="M54" s="819">
        <f>'Comp Group'!E3*BS8</f>
        <v>1724464.176</v>
      </c>
      <c r="N54" s="819">
        <f>'Comp Group'!F3*BT8</f>
        <v>1690012.92</v>
      </c>
      <c r="O54" s="819">
        <f>'Comp Group'!G3*BU8</f>
        <v>1313752.176</v>
      </c>
      <c r="P54" s="819">
        <f>'Comp Group'!C7*BQ8</f>
        <v>96772.054000000004</v>
      </c>
      <c r="Q54" s="819">
        <f>'Comp Group'!D7*BR8</f>
        <v>76891.184999999998</v>
      </c>
      <c r="R54" s="819">
        <f>'Comp Group'!E7*BS8</f>
        <v>77301.218000000008</v>
      </c>
      <c r="S54" s="819">
        <f>'Comp Group'!F7*BT8</f>
        <v>38510.975999999995</v>
      </c>
      <c r="T54" s="819">
        <f>'Comp Group'!G7*BU8</f>
        <v>54471.78</v>
      </c>
      <c r="U54" s="820">
        <f>'Comp Group'!C6*BQ8</f>
        <v>549451.598</v>
      </c>
      <c r="V54" s="820">
        <f>'Comp Group'!D6*BR8</f>
        <v>625477.15500000003</v>
      </c>
      <c r="W54" s="820">
        <f>'Comp Group'!E6*BS8</f>
        <v>664381.83400000003</v>
      </c>
      <c r="X54" s="820">
        <f>'Comp Group'!F6*BT8</f>
        <v>640073.05200000003</v>
      </c>
      <c r="Y54" s="820">
        <f>'Comp Group'!G6*BU8</f>
        <v>582222.96</v>
      </c>
      <c r="Z54" s="820">
        <f>'Comp Group'!C8*BQ8</f>
        <v>775542.91800000006</v>
      </c>
      <c r="AA54" s="820">
        <f>'Comp Group'!D8*BR8</f>
        <v>864110.46</v>
      </c>
      <c r="AB54" s="820">
        <f>'Comp Group'!E8*BS8</f>
        <v>891688.27899999998</v>
      </c>
      <c r="AC54" s="820">
        <f>'Comp Group'!F8*BT8</f>
        <v>849476.48399999994</v>
      </c>
      <c r="AD54" s="820">
        <f>'Comp Group'!G8*BU8</f>
        <v>820112.83200000005</v>
      </c>
      <c r="AE54" s="821">
        <f>T54/AD54</f>
        <v>6.6419860627177696E-2</v>
      </c>
      <c r="AF54" s="821">
        <f t="shared" si="18"/>
        <v>4.5334952438777575E-2</v>
      </c>
      <c r="AG54" s="821">
        <f t="shared" si="19"/>
        <v>8.6690853542104263E-2</v>
      </c>
      <c r="AH54" s="821">
        <f>T54/AQ54</f>
        <v>0.22915101427498119</v>
      </c>
      <c r="AI54" s="821">
        <f>S54/AP54</f>
        <v>0.18390804597701146</v>
      </c>
      <c r="AJ54" s="821">
        <f t="shared" si="20"/>
        <v>0.34032983508245879</v>
      </c>
      <c r="AK54" s="822"/>
      <c r="AL54" s="822"/>
      <c r="AM54" s="820">
        <f>'Comp Group'!C11*BQ8</f>
        <v>226091.32</v>
      </c>
      <c r="AN54" s="820">
        <f>'Comp Group'!D11*BR8</f>
        <v>238633.30499999999</v>
      </c>
      <c r="AO54" s="820">
        <f>'Comp Group'!E11*BS8</f>
        <v>227136.17800000001</v>
      </c>
      <c r="AP54" s="820">
        <f>'Comp Group'!F11*BT8</f>
        <v>209403.432</v>
      </c>
      <c r="AQ54" s="820">
        <f>'Comp Group'!G11*BU8</f>
        <v>237711.27600000001</v>
      </c>
      <c r="AR54" s="820">
        <f>'Long Term Debt'!C25*BQ8</f>
        <v>88697.364000000001</v>
      </c>
      <c r="AS54" s="820">
        <f>'Long Term Debt'!D25*BR8</f>
        <v>64314.78</v>
      </c>
      <c r="AT54" s="820">
        <f>'Long Term Debt'!E25*BS8</f>
        <v>82068.694000000003</v>
      </c>
      <c r="AU54" s="820">
        <f>'Long Term Debt'!F25*BT8</f>
        <v>102122.856</v>
      </c>
      <c r="AV54" s="820">
        <f>'Long Term Debt'!G25*BU8</f>
        <v>100549.54800000001</v>
      </c>
      <c r="AW54" s="823">
        <f t="shared" si="21"/>
        <v>0.54174067495559497</v>
      </c>
      <c r="AX54" s="823">
        <f t="shared" si="13"/>
        <v>0.37710437710437705</v>
      </c>
      <c r="AY54" s="823">
        <f t="shared" si="14"/>
        <v>0.94190871369294615</v>
      </c>
      <c r="AZ54" s="824">
        <f t="shared" si="15"/>
        <v>0.45111622747881497</v>
      </c>
      <c r="BA54" s="824">
        <f t="shared" si="16"/>
        <v>0.32947978060303496</v>
      </c>
      <c r="BB54" s="825">
        <f t="shared" si="17"/>
        <v>0.78864167319134382</v>
      </c>
    </row>
    <row r="55" spans="1:54" ht="15" customHeight="1">
      <c r="A55" s="449">
        <v>2012</v>
      </c>
      <c r="B55" s="777"/>
      <c r="C55" s="50" t="s">
        <v>487</v>
      </c>
      <c r="D55" s="51"/>
      <c r="E55" s="51"/>
      <c r="F55" s="51"/>
      <c r="G55" s="51"/>
      <c r="H55" s="51"/>
      <c r="I55" s="51" t="s">
        <v>206</v>
      </c>
      <c r="J55" s="437" t="s">
        <v>353</v>
      </c>
      <c r="K55" s="446">
        <f>'Comp Group'!C16*BQ8</f>
        <v>3009374.85</v>
      </c>
      <c r="L55" s="446">
        <f>'Comp Group'!D16*BR8</f>
        <v>3859523.58</v>
      </c>
      <c r="M55" s="446">
        <f>'Comp Group'!E16*BS8</f>
        <v>3719669.9087</v>
      </c>
      <c r="N55" s="446">
        <f>'Comp Group'!F16*BT8</f>
        <v>3410800.236</v>
      </c>
      <c r="O55" s="446">
        <f>'Comp Group'!G16*BU8</f>
        <v>3166024.8708000001</v>
      </c>
      <c r="P55" s="446">
        <f>'Comp Group'!C20*BQ8</f>
        <v>97144.732000000004</v>
      </c>
      <c r="Q55" s="446">
        <f>'Comp Group'!D20*BR8</f>
        <v>136748.505</v>
      </c>
      <c r="R55" s="446">
        <f>'Comp Group'!E20*BS8</f>
        <v>94617.371899999998</v>
      </c>
      <c r="S55" s="446">
        <f>'Comp Group'!F20*BT8</f>
        <v>78689.614799999996</v>
      </c>
      <c r="T55" s="446">
        <f>'Comp Group'!G20*BU8</f>
        <v>113890.6692</v>
      </c>
      <c r="U55" s="443">
        <f>'Comp Group'!C19*BQ8</f>
        <v>1437294.82</v>
      </c>
      <c r="V55" s="443">
        <f>'Comp Group'!D19*BR8</f>
        <v>1534321.41</v>
      </c>
      <c r="W55" s="443">
        <f>'Comp Group'!E19*BS8</f>
        <v>1566456.4</v>
      </c>
      <c r="X55" s="443">
        <f>'Comp Group'!F19*BT8</f>
        <v>1521699.324</v>
      </c>
      <c r="Y55" s="443">
        <f>'Comp Group'!G19*BU8</f>
        <v>1362830.3568</v>
      </c>
      <c r="Z55" s="443">
        <f>'Comp Group'!C21*BQ8</f>
        <v>1837054.088</v>
      </c>
      <c r="AA55" s="443">
        <f>'Comp Group'!D21*BR8</f>
        <v>1971152.49</v>
      </c>
      <c r="AB55" s="443">
        <f>'Comp Group'!E21*BS8</f>
        <v>1986402.9288000001</v>
      </c>
      <c r="AC55" s="443">
        <f>'Comp Group'!F21*BT8</f>
        <v>1922918.3628</v>
      </c>
      <c r="AD55" s="443">
        <f>'Comp Group'!G21*BU8</f>
        <v>1772601.0192</v>
      </c>
      <c r="AE55" s="61">
        <f t="shared" ref="AE55:AE75" si="22">T55/AD55</f>
        <v>6.4250594446459516E-2</v>
      </c>
      <c r="AF55" s="61">
        <f t="shared" ref="AF55:AF75" si="23">S55/AC55</f>
        <v>4.0921973767736278E-2</v>
      </c>
      <c r="AG55" s="61">
        <f t="shared" ref="AG55:AG75" si="24">R55/AB55</f>
        <v>4.7632517314681475E-2</v>
      </c>
      <c r="AH55" s="61">
        <f t="shared" ref="AH55:AH75" si="25">T55/AQ55</f>
        <v>0.27793758716875872</v>
      </c>
      <c r="AI55" s="61">
        <f t="shared" ref="AI55:AI75" si="26">S55/AP55</f>
        <v>0.19610111396743787</v>
      </c>
      <c r="AJ55" s="61">
        <f t="shared" ref="AJ55:AJ75" si="27">R55/AO55</f>
        <v>0.22530814142069411</v>
      </c>
      <c r="AK55" s="434"/>
      <c r="AL55" s="434"/>
      <c r="AM55" s="443">
        <f>'Comp Group'!C24*BQ8</f>
        <v>399759.26799999998</v>
      </c>
      <c r="AN55" s="443">
        <f>'Comp Group'!D24*BR8</f>
        <v>436831.08</v>
      </c>
      <c r="AO55" s="443">
        <f>'Comp Group'!E24*BS8</f>
        <v>419946.52880000003</v>
      </c>
      <c r="AP55" s="443">
        <f>'Comp Group'!F24*BT8</f>
        <v>401270.61599999998</v>
      </c>
      <c r="AQ55" s="443">
        <f>'Comp Group'!G24*BU8</f>
        <v>409770.66240000003</v>
      </c>
      <c r="AR55" s="443">
        <f>'Long Term Debt'!C26*BQ8</f>
        <v>286837.83400000003</v>
      </c>
      <c r="AS55" s="443">
        <f>'Long Term Debt'!D26*BR8</f>
        <v>266174.03999999998</v>
      </c>
      <c r="AT55" s="443">
        <f>'Long Term Debt'!E26*BS8</f>
        <v>237965.15919999999</v>
      </c>
      <c r="AU55" s="443">
        <f>'Long Term Debt'!F26*BT8</f>
        <v>381017.96879999997</v>
      </c>
      <c r="AV55" s="443">
        <f>'Long Term Debt'!G26*BU8</f>
        <v>280377.86040000001</v>
      </c>
      <c r="AW55" s="553">
        <f t="shared" si="21"/>
        <v>0.40620421682909741</v>
      </c>
      <c r="AX55" s="553">
        <f t="shared" si="13"/>
        <v>0.20652468188791626</v>
      </c>
      <c r="AY55" s="553">
        <f t="shared" si="14"/>
        <v>0.39761018889524902</v>
      </c>
      <c r="AZ55" s="538">
        <f t="shared" si="15"/>
        <v>0.37655292969204412</v>
      </c>
      <c r="BA55" s="538">
        <f t="shared" si="16"/>
        <v>0.20434957169333456</v>
      </c>
      <c r="BB55" s="455">
        <f t="shared" si="17"/>
        <v>0.36118371887097062</v>
      </c>
    </row>
    <row r="56" spans="1:54" ht="15" customHeight="1">
      <c r="A56" s="449">
        <v>2016</v>
      </c>
      <c r="B56" s="777"/>
      <c r="C56" s="50" t="s">
        <v>487</v>
      </c>
      <c r="D56" s="51"/>
      <c r="E56" s="51"/>
      <c r="F56" s="51"/>
      <c r="G56" s="51"/>
      <c r="H56" s="51"/>
      <c r="I56" s="50" t="s">
        <v>207</v>
      </c>
      <c r="J56" s="437" t="s">
        <v>526</v>
      </c>
      <c r="K56" s="446">
        <f>'Comp Group'!C30*BM8</f>
        <v>25938.495428999999</v>
      </c>
      <c r="L56" s="446">
        <f>'Comp Group'!D30*BN8</f>
        <v>24652.271298</v>
      </c>
      <c r="M56" s="446">
        <f>'Comp Group'!E30*BO8</f>
        <v>22501.205694</v>
      </c>
      <c r="N56" s="446">
        <f>'Comp Group'!F30*BP8</f>
        <v>46998.909969</v>
      </c>
      <c r="O56" s="446">
        <f>'Comp Group'!G30*BQ8</f>
        <v>28310.111592000001</v>
      </c>
      <c r="P56" s="446">
        <f>'Comp Group'!C34*BM8</f>
        <v>7512.6798739999995</v>
      </c>
      <c r="Q56" s="446">
        <f>'Comp Group'!D34*BN8</f>
        <v>-8322.7065239999993</v>
      </c>
      <c r="R56" s="446">
        <f>'Comp Group'!E34*BO8</f>
        <v>660.05183199999999</v>
      </c>
      <c r="S56" s="446">
        <f>'Comp Group'!F34*BP8</f>
        <v>1537.9266540000001</v>
      </c>
      <c r="T56" s="446">
        <f>'Comp Group'!G34*BQ8</f>
        <v>2375.449572</v>
      </c>
      <c r="U56" s="443">
        <f>'Comp Group'!C33*BM8</f>
        <v>10320.526069</v>
      </c>
      <c r="V56" s="443">
        <f>'Comp Group'!D33*BN8</f>
        <v>18590.664659999999</v>
      </c>
      <c r="W56" s="443">
        <f>'Comp Group'!E33*BO8</f>
        <v>13509.997072</v>
      </c>
      <c r="X56" s="443">
        <f>'Comp Group'!F33*BP8</f>
        <v>11060.857071</v>
      </c>
      <c r="Y56" s="443">
        <f>'Comp Group'!G33*BQ8</f>
        <v>9327.3849840000003</v>
      </c>
      <c r="Z56" s="443">
        <f>'Comp Group'!C35*BM8</f>
        <v>57323.723561999999</v>
      </c>
      <c r="AA56" s="443">
        <f>'Comp Group'!D35*BN8</f>
        <v>61480.622651999998</v>
      </c>
      <c r="AB56" s="443">
        <f>'Comp Group'!E35*BO8</f>
        <v>28056.924434</v>
      </c>
      <c r="AC56" s="443">
        <f>'Comp Group'!F35*BP8</f>
        <v>33277.337401000004</v>
      </c>
      <c r="AD56" s="443">
        <f>'Comp Group'!G35*BQ8</f>
        <v>32175.527808000003</v>
      </c>
      <c r="AE56" s="61">
        <f t="shared" si="22"/>
        <v>7.3827835433654551E-2</v>
      </c>
      <c r="AF56" s="61">
        <f t="shared" si="23"/>
        <v>4.6215435912663624E-2</v>
      </c>
      <c r="AG56" s="61">
        <f t="shared" si="24"/>
        <v>2.3525452105510703E-2</v>
      </c>
      <c r="AH56" s="61">
        <f t="shared" si="25"/>
        <v>0.10396685587525281</v>
      </c>
      <c r="AI56" s="61">
        <f t="shared" si="26"/>
        <v>6.9224215078425175E-2</v>
      </c>
      <c r="AJ56" s="61">
        <f t="shared" si="27"/>
        <v>4.5373969057150229E-2</v>
      </c>
      <c r="AK56" s="434"/>
      <c r="AL56" s="434"/>
      <c r="AM56" s="443">
        <f>'Comp Group'!C38*BM8</f>
        <v>47003.424894999996</v>
      </c>
      <c r="AN56" s="443">
        <f>'Comp Group'!D38*BN8</f>
        <v>42889.957992000003</v>
      </c>
      <c r="AO56" s="443">
        <f>'Comp Group'!E38*BO8</f>
        <v>14546.927362</v>
      </c>
      <c r="AP56" s="443">
        <f>'Comp Group'!F38*BP8</f>
        <v>22216.599383000001</v>
      </c>
      <c r="AQ56" s="443">
        <f>'Comp Group'!G38*BQ8</f>
        <v>22848.142824000002</v>
      </c>
      <c r="AR56" s="443">
        <f>'Long Term Debt'!C27*BM8</f>
        <v>1993.2922309999999</v>
      </c>
      <c r="AS56" s="443">
        <f>'Long Term Debt'!D27*BN8</f>
        <v>2074.9596419999998</v>
      </c>
      <c r="AT56" s="443">
        <f>'Long Term Debt'!E27*BO8</f>
        <v>1784.0285760000002</v>
      </c>
      <c r="AU56" s="443">
        <f>'Long Term Debt'!F27*BP8</f>
        <v>1463.16137</v>
      </c>
      <c r="AV56" s="443">
        <f>'Long Term Debt'!G27*BQ8</f>
        <v>1289.9627840000001</v>
      </c>
      <c r="AW56" s="553">
        <f t="shared" si="21"/>
        <v>1.8414869029275809</v>
      </c>
      <c r="AX56" s="553">
        <f t="shared" si="13"/>
        <v>1.0510984540276649</v>
      </c>
      <c r="AY56" s="553">
        <f t="shared" si="14"/>
        <v>0.36997828447339842</v>
      </c>
      <c r="AZ56" s="538">
        <f t="shared" si="15"/>
        <v>0.60765768864056124</v>
      </c>
      <c r="BA56" s="538">
        <f t="shared" si="16"/>
        <v>0.39558240996411059</v>
      </c>
      <c r="BB56" s="455">
        <f t="shared" si="17"/>
        <v>0.20167774929322446</v>
      </c>
    </row>
    <row r="57" spans="1:54" ht="15" customHeight="1">
      <c r="A57" s="449">
        <v>2016</v>
      </c>
      <c r="B57" s="777"/>
      <c r="C57" s="50" t="s">
        <v>487</v>
      </c>
      <c r="D57" s="51"/>
      <c r="E57" s="51"/>
      <c r="F57" s="51"/>
      <c r="G57" s="51"/>
      <c r="H57" s="51"/>
      <c r="I57" s="50" t="s">
        <v>207</v>
      </c>
      <c r="J57" s="437" t="s">
        <v>527</v>
      </c>
      <c r="K57" s="446">
        <f>'Comp Group'!C42*BM8</f>
        <v>32013.198755999998</v>
      </c>
      <c r="L57" s="446">
        <f>'Comp Group'!D42*BN8</f>
        <v>22315.928459999999</v>
      </c>
      <c r="M57" s="446">
        <f>'Comp Group'!E42*BO8</f>
        <v>18270.191126000002</v>
      </c>
      <c r="N57" s="446">
        <f>'Comp Group'!F42*BP8</f>
        <v>17099.225231</v>
      </c>
      <c r="O57" s="446">
        <f>'Comp Group'!G42*BQ8</f>
        <v>16735.354041999999</v>
      </c>
      <c r="P57" s="446">
        <f>'Comp Group'!C46*BM8</f>
        <v>3619.3302319999998</v>
      </c>
      <c r="Q57" s="446">
        <f>'Comp Group'!D46*BN8</f>
        <v>-4513.1017679999995</v>
      </c>
      <c r="R57" s="446">
        <f>'Comp Group'!E46*BO8</f>
        <v>-4200.6270020000002</v>
      </c>
      <c r="S57" s="446">
        <f>'Comp Group'!F46*BP8</f>
        <v>4203.6423770000001</v>
      </c>
      <c r="T57" s="446">
        <f>'Comp Group'!G46*BQ8</f>
        <v>-4494.2482280000004</v>
      </c>
      <c r="U57" s="443">
        <f>'Comp Group'!C45*BM8</f>
        <v>5544.2881619999998</v>
      </c>
      <c r="V57" s="443">
        <f>'Comp Group'!D45*BN8</f>
        <v>6744.0798839999998</v>
      </c>
      <c r="W57" s="443">
        <f>'Comp Group'!E45*BO8</f>
        <v>5450.270254</v>
      </c>
      <c r="X57" s="443">
        <f>'Comp Group'!F45*BP8</f>
        <v>4036.7300710000004</v>
      </c>
      <c r="Y57" s="443">
        <f>'Comp Group'!G45*BQ8</f>
        <v>4720.3395479999999</v>
      </c>
      <c r="Z57" s="443">
        <f>'Comp Group'!C47*BM8</f>
        <v>29261.179752</v>
      </c>
      <c r="AA57" s="443">
        <f>'Comp Group'!D47*BN8</f>
        <v>28424.623415999999</v>
      </c>
      <c r="AB57" s="443">
        <f>'Comp Group'!E47*BO8</f>
        <v>31852.343534000003</v>
      </c>
      <c r="AC57" s="443">
        <f>'Comp Group'!F47*BP8</f>
        <v>34031.419103</v>
      </c>
      <c r="AD57" s="443">
        <f>'Comp Group'!G47*BQ8</f>
        <v>30815.253108000001</v>
      </c>
      <c r="AE57" s="61">
        <f t="shared" si="22"/>
        <v>-0.14584492336469698</v>
      </c>
      <c r="AF57" s="61">
        <f t="shared" si="23"/>
        <v>0.12352239453421539</v>
      </c>
      <c r="AG57" s="61">
        <f t="shared" si="24"/>
        <v>-0.13187811432198526</v>
      </c>
      <c r="AH57" s="61">
        <f t="shared" si="25"/>
        <v>-0.17222698276682855</v>
      </c>
      <c r="AI57" s="61">
        <f t="shared" si="26"/>
        <v>0.14014677923181038</v>
      </c>
      <c r="AJ57" s="61">
        <f t="shared" si="27"/>
        <v>-0.15910216434336025</v>
      </c>
      <c r="AK57" s="434"/>
      <c r="AL57" s="434"/>
      <c r="AM57" s="443">
        <f>'Comp Group'!C50*BM8</f>
        <v>23716.891589999999</v>
      </c>
      <c r="AN57" s="443">
        <f>'Comp Group'!D50*BN8</f>
        <v>21680.543532</v>
      </c>
      <c r="AO57" s="443">
        <f>'Comp Group'!E50*BO8</f>
        <v>26402.073280000001</v>
      </c>
      <c r="AP57" s="443">
        <f>'Comp Group'!F50*BP8</f>
        <v>29994.569979</v>
      </c>
      <c r="AQ57" s="443">
        <f>'Comp Group'!G50*BQ8</f>
        <v>26094.913560000001</v>
      </c>
      <c r="AR57" s="443">
        <f>'Long Term Debt'!C28*BM8</f>
        <v>1141.1032359999999</v>
      </c>
      <c r="AS57" s="443">
        <f>'Long Term Debt'!D28*BN8</f>
        <v>295.19334600000002</v>
      </c>
      <c r="AT57" s="443">
        <f>'Long Term Debt'!E28*BO8</f>
        <v>575.30563200000006</v>
      </c>
      <c r="AU57" s="443">
        <f>'Long Term Debt'!F28*BP8</f>
        <v>447.40117400000003</v>
      </c>
      <c r="AV57" s="443">
        <f>'Long Term Debt'!G28*BQ8</f>
        <v>491.93495999999999</v>
      </c>
      <c r="AW57" s="553">
        <f t="shared" si="21"/>
        <v>-9.1358585858585872</v>
      </c>
      <c r="AX57" s="553">
        <f t="shared" si="13"/>
        <v>9.3956891963810527</v>
      </c>
      <c r="AY57" s="553">
        <f t="shared" si="14"/>
        <v>-7.3015572390572387</v>
      </c>
      <c r="AZ57" s="538">
        <f t="shared" si="15"/>
        <v>-1.5452932561959485</v>
      </c>
      <c r="BA57" s="538">
        <f t="shared" si="16"/>
        <v>1.2380221570113432</v>
      </c>
      <c r="BB57" s="455">
        <f t="shared" si="17"/>
        <v>-1.3812511843265001</v>
      </c>
    </row>
    <row r="58" spans="1:54" ht="15" customHeight="1">
      <c r="A58" s="449">
        <v>2012</v>
      </c>
      <c r="B58" s="777"/>
      <c r="C58" s="50" t="s">
        <v>487</v>
      </c>
      <c r="D58" s="51"/>
      <c r="E58" s="51"/>
      <c r="F58" s="51"/>
      <c r="G58" s="51"/>
      <c r="H58" s="51"/>
      <c r="I58" s="411" t="s">
        <v>210</v>
      </c>
      <c r="J58" s="437" t="s">
        <v>359</v>
      </c>
      <c r="K58" s="447">
        <f>'Comp Group'!C57*BQ8</f>
        <v>30851.278648</v>
      </c>
      <c r="L58" s="447">
        <f>'Comp Group'!D57*BR8</f>
        <v>35511.310259999998</v>
      </c>
      <c r="M58" s="447">
        <f>'Comp Group'!E57*BS8</f>
        <v>26290.086125129204</v>
      </c>
      <c r="N58" s="447">
        <f>'Comp Group'!F57*BT8</f>
        <v>15246.908015999999</v>
      </c>
      <c r="O58" s="447">
        <f>'Comp Group'!G57*BU8</f>
        <v>12733.716204</v>
      </c>
      <c r="P58" s="447">
        <f>'Comp Group'!C61*BQ8</f>
        <v>-1358.038632</v>
      </c>
      <c r="Q58" s="447">
        <f>'Comp Group'!D61*BR8</f>
        <v>207.90867</v>
      </c>
      <c r="R58" s="447">
        <f>'Comp Group'!E61*BS8</f>
        <v>-284.69280111874508</v>
      </c>
      <c r="S58" s="447">
        <f>'Comp Group'!F61*BT8</f>
        <v>-559.61261999999999</v>
      </c>
      <c r="T58" s="447">
        <f>'Comp Group'!G61*BU8</f>
        <v>-1278.5687640000001</v>
      </c>
      <c r="U58" s="443">
        <f>'Comp Group'!C60*BQ8</f>
        <v>19537.395698</v>
      </c>
      <c r="V58" s="443">
        <f>'Comp Group'!D60*BR8</f>
        <v>16233.114149999999</v>
      </c>
      <c r="W58" s="443">
        <f>'Comp Group'!E60*BS8</f>
        <v>12296.65851523074</v>
      </c>
      <c r="X58" s="443">
        <f>'Comp Group'!F60*BT8</f>
        <v>6298.2638159999997</v>
      </c>
      <c r="Y58" s="443">
        <f>'Comp Group'!G60*BU8</f>
        <v>8185.9476599999998</v>
      </c>
      <c r="Z58" s="443">
        <f>'Comp Group'!C62*BQ8</f>
        <v>34230.722752000001</v>
      </c>
      <c r="AA58" s="443">
        <f>'Comp Group'!D62*BR8</f>
        <v>33940.692390000004</v>
      </c>
      <c r="AB58" s="443">
        <f>'Comp Group'!E62*BS8</f>
        <v>30559.442895360917</v>
      </c>
      <c r="AC58" s="443">
        <f>'Comp Group'!F62*BT8</f>
        <v>22995.006923999998</v>
      </c>
      <c r="AD58" s="443">
        <f>'Comp Group'!G62*BU8</f>
        <v>24837.702912000001</v>
      </c>
      <c r="AE58" s="61">
        <f t="shared" si="22"/>
        <v>-5.1476932811780951E-2</v>
      </c>
      <c r="AF58" s="61">
        <f t="shared" si="23"/>
        <v>-2.4336266644735368E-2</v>
      </c>
      <c r="AG58" s="61">
        <f t="shared" si="24"/>
        <v>-9.3160337409803669E-3</v>
      </c>
      <c r="AH58" s="61">
        <f t="shared" si="25"/>
        <v>-7.6782822270128823E-2</v>
      </c>
      <c r="AI58" s="61">
        <f t="shared" si="26"/>
        <v>-3.3516619300630171E-2</v>
      </c>
      <c r="AJ58" s="61">
        <f t="shared" si="27"/>
        <v>-1.5588685448670713E-2</v>
      </c>
      <c r="AK58" s="434"/>
      <c r="AL58" s="434"/>
      <c r="AM58" s="443">
        <f>'Comp Group'!C65*BQ8</f>
        <v>14693.451280000001</v>
      </c>
      <c r="AN58" s="443">
        <f>'Comp Group'!D65*BR8</f>
        <v>17707.578239999999</v>
      </c>
      <c r="AO58" s="443">
        <f>'Comp Group'!E65*BS8</f>
        <v>18262.784380130113</v>
      </c>
      <c r="AP58" s="443">
        <f>'Comp Group'!F65*BT8</f>
        <v>16696.571184</v>
      </c>
      <c r="AQ58" s="443">
        <f>'Comp Group'!G65*BU8</f>
        <v>16651.755251999999</v>
      </c>
      <c r="AR58" s="443">
        <f>'Long Term Debt'!C29*BQ8</f>
        <v>7535.4249340000006</v>
      </c>
      <c r="AS58" s="443">
        <f>'Long Term Debt'!D29*BR8</f>
        <v>997.03828499999997</v>
      </c>
      <c r="AT58" s="443">
        <f>'Long Term Debt'!E29*BS8</f>
        <v>1366.562942</v>
      </c>
      <c r="AU58" s="443">
        <f>'Long Term Debt'!F29*BT8</f>
        <v>1464.6205559999999</v>
      </c>
      <c r="AV58" s="443">
        <f>'Long Term Debt'!G29*BU8</f>
        <v>1917.4066560000001</v>
      </c>
      <c r="AW58" s="553">
        <f t="shared" si="21"/>
        <v>-0.66682190760059612</v>
      </c>
      <c r="AX58" s="553">
        <f t="shared" si="13"/>
        <v>-0.38208709942481517</v>
      </c>
      <c r="AY58" s="553">
        <f t="shared" si="14"/>
        <v>-0.20832761694978341</v>
      </c>
      <c r="AZ58" s="538">
        <f t="shared" si="15"/>
        <v>-0.27124642009084016</v>
      </c>
      <c r="BA58" s="538">
        <f t="shared" si="16"/>
        <v>-0.12898974803984059</v>
      </c>
      <c r="BB58" s="455">
        <f t="shared" si="17"/>
        <v>-9.3143922020716405E-2</v>
      </c>
    </row>
    <row r="59" spans="1:54" ht="15" customHeight="1">
      <c r="A59" s="449">
        <v>2012</v>
      </c>
      <c r="B59" s="777"/>
      <c r="C59" s="50" t="s">
        <v>487</v>
      </c>
      <c r="D59" s="51"/>
      <c r="E59" s="51"/>
      <c r="F59" s="51"/>
      <c r="G59" s="51"/>
      <c r="H59" s="51"/>
      <c r="I59" s="411" t="s">
        <v>210</v>
      </c>
      <c r="J59" s="437" t="s">
        <v>527</v>
      </c>
      <c r="K59" s="447">
        <f>'Comp Group'!C69*BQ8</f>
        <v>16735.354041999999</v>
      </c>
      <c r="L59" s="447">
        <f>'Comp Group'!D69*BR8</f>
        <v>20528.513640000001</v>
      </c>
      <c r="M59" s="447">
        <f>'Comp Group'!E69*BS8</f>
        <v>14507.940269000001</v>
      </c>
      <c r="N59" s="447">
        <f>'Comp Group'!F69*BT8</f>
        <v>23392.839059999998</v>
      </c>
      <c r="O59" s="447">
        <f>'Comp Group'!G69*BU8</f>
        <v>21100.581612000002</v>
      </c>
      <c r="P59" s="447">
        <f>'Comp Group'!C73*BQ8</f>
        <v>-4494.2482280000004</v>
      </c>
      <c r="Q59" s="447">
        <f>'Comp Group'!D73*BR8</f>
        <v>-3932.1165000000001</v>
      </c>
      <c r="R59" s="447">
        <f>'Comp Group'!E73*BS8</f>
        <v>-12423.701922</v>
      </c>
      <c r="S59" s="447">
        <f>'Comp Group'!F73*BT8</f>
        <v>-10187.528543999999</v>
      </c>
      <c r="T59" s="447">
        <f>'Comp Group'!G73*BU8</f>
        <v>-3528.5211720000002</v>
      </c>
      <c r="U59" s="443">
        <f>'Comp Group'!C72*BQ8</f>
        <v>4720.3395479999999</v>
      </c>
      <c r="V59" s="443">
        <f>'Comp Group'!D72*BR8</f>
        <v>4858.7905950000004</v>
      </c>
      <c r="W59" s="443">
        <f>'Comp Group'!E72*BS8</f>
        <v>5551.2150010000005</v>
      </c>
      <c r="X59" s="443">
        <f>'Comp Group'!F72*BT8</f>
        <v>9062.2859639999988</v>
      </c>
      <c r="Y59" s="443">
        <f>'Comp Group'!G72*BU8</f>
        <v>12474.037620000001</v>
      </c>
      <c r="Z59" s="443">
        <f>'Comp Group'!C74*BQ8</f>
        <v>30815.253108000001</v>
      </c>
      <c r="AA59" s="443">
        <f>'Comp Group'!D74*BR8</f>
        <v>43074.823904999997</v>
      </c>
      <c r="AB59" s="443">
        <f>'Comp Group'!E74*BS8</f>
        <v>51373.980841999997</v>
      </c>
      <c r="AC59" s="443">
        <f>'Comp Group'!F74*BT8</f>
        <v>74439.309672000003</v>
      </c>
      <c r="AD59" s="443">
        <f>'Comp Group'!G74*BU8</f>
        <v>90938.047068</v>
      </c>
      <c r="AE59" s="61">
        <f t="shared" si="22"/>
        <v>-3.880137396574513E-2</v>
      </c>
      <c r="AF59" s="61">
        <f t="shared" si="23"/>
        <v>-0.13685683799176862</v>
      </c>
      <c r="AG59" s="61">
        <f t="shared" si="24"/>
        <v>-0.24182867900015248</v>
      </c>
      <c r="AH59" s="61">
        <f t="shared" si="25"/>
        <v>-4.4970034392732686E-2</v>
      </c>
      <c r="AI59" s="61">
        <f t="shared" si="26"/>
        <v>-0.15582694310328504</v>
      </c>
      <c r="AJ59" s="61">
        <f t="shared" si="27"/>
        <v>-0.2711250989324584</v>
      </c>
      <c r="AK59" s="434"/>
      <c r="AL59" s="434"/>
      <c r="AM59" s="443">
        <f>'Comp Group'!C77*BQ8</f>
        <v>26094.913560000001</v>
      </c>
      <c r="AN59" s="443">
        <f>'Comp Group'!D77*BR8</f>
        <v>38216.033309999999</v>
      </c>
      <c r="AO59" s="443">
        <f>'Comp Group'!E77*BS8</f>
        <v>45822.765841</v>
      </c>
      <c r="AP59" s="443">
        <f>'Comp Group'!F77*BT8</f>
        <v>65377.195631999995</v>
      </c>
      <c r="AQ59" s="443">
        <f>'Comp Group'!G77*BU8</f>
        <v>78463.830851999999</v>
      </c>
      <c r="AR59" s="443">
        <f>'Long Term Debt'!C30*BQ8</f>
        <v>491.93495999999999</v>
      </c>
      <c r="AS59" s="443">
        <f>'Long Term Debt'!D30*BR8</f>
        <v>486.34072500000002</v>
      </c>
      <c r="AT59" s="443">
        <f>'Long Term Debt'!E30*BS8</f>
        <v>390.93303200000003</v>
      </c>
      <c r="AU59" s="443">
        <f>'Long Term Debt'!F30*BT8</f>
        <v>278.688804</v>
      </c>
      <c r="AV59" s="443">
        <f>'Long Term Debt'!G30*BU8</f>
        <v>213.60081600000001</v>
      </c>
      <c r="AW59" s="553">
        <f t="shared" si="21"/>
        <v>-16.51923076923077</v>
      </c>
      <c r="AX59" s="553">
        <f t="shared" si="13"/>
        <v>-36.555212831585436</v>
      </c>
      <c r="AY59" s="553">
        <f t="shared" si="14"/>
        <v>-31.779616724738673</v>
      </c>
      <c r="AZ59" s="538">
        <f t="shared" si="15"/>
        <v>-2.304760720286505</v>
      </c>
      <c r="BA59" s="538">
        <f t="shared" si="16"/>
        <v>-4.5870996597195246</v>
      </c>
      <c r="BB59" s="455">
        <f t="shared" si="17"/>
        <v>-3.6757748555863765</v>
      </c>
    </row>
    <row r="60" spans="1:54" ht="15" customHeight="1">
      <c r="A60" s="449">
        <v>2007</v>
      </c>
      <c r="B60" s="777"/>
      <c r="C60" s="50" t="s">
        <v>487</v>
      </c>
      <c r="D60" s="51"/>
      <c r="E60" s="51"/>
      <c r="F60" s="51"/>
      <c r="G60" s="51"/>
      <c r="H60" s="51"/>
      <c r="I60" s="50" t="s">
        <v>211</v>
      </c>
      <c r="J60" s="437" t="s">
        <v>528</v>
      </c>
      <c r="K60" s="447">
        <f>'Comp Group'!C84*BV8</f>
        <v>904847.83674499998</v>
      </c>
      <c r="L60" s="447">
        <f>'Comp Group'!D84*BW8</f>
        <v>691368.88651999994</v>
      </c>
      <c r="M60" s="447">
        <f>'Comp Group'!E84*BX8</f>
        <v>780221.25949199998</v>
      </c>
      <c r="N60" s="447">
        <f>'Comp Group'!F84*BY8</f>
        <v>591086.04167199996</v>
      </c>
      <c r="O60" s="447">
        <f>'Comp Group'!G84*BZ8</f>
        <v>470022.14282399998</v>
      </c>
      <c r="P60" s="447">
        <f>'Comp Group'!C88*BV8</f>
        <v>-23134.227328000001</v>
      </c>
      <c r="Q60" s="447">
        <f>'Comp Group'!D88*BW8</f>
        <v>115286.8366</v>
      </c>
      <c r="R60" s="447">
        <f>'Comp Group'!E88*BX8</f>
        <v>11713.237686</v>
      </c>
      <c r="S60" s="447">
        <f>'Comp Group'!F88*BY8</f>
        <v>29763.392391999998</v>
      </c>
      <c r="T60" s="447">
        <f>'Comp Group'!G88*BZ8</f>
        <v>70165.862760000004</v>
      </c>
      <c r="U60" s="443">
        <f>'Comp Group'!C87*BV8</f>
        <v>3366982.6269740001</v>
      </c>
      <c r="V60" s="443">
        <f>'Comp Group'!D87*BW8</f>
        <v>2392653.2097</v>
      </c>
      <c r="W60" s="443">
        <f>'Comp Group'!E87*BX8</f>
        <v>2576683.2435559998</v>
      </c>
      <c r="X60" s="443">
        <f>'Comp Group'!F87*BY8</f>
        <v>2085332.5328399998</v>
      </c>
      <c r="Y60" s="443">
        <f>'Comp Group'!G87*BZ8</f>
        <v>1147378.5014160001</v>
      </c>
      <c r="Z60" s="443">
        <f>'Comp Group'!C89*BV8</f>
        <v>4481544.6994829997</v>
      </c>
      <c r="AA60" s="443">
        <f>'Comp Group'!D89*BW8</f>
        <v>3480539.1224499997</v>
      </c>
      <c r="AB60" s="443">
        <f>'Comp Group'!E89*BX8</f>
        <v>3565294.275862</v>
      </c>
      <c r="AC60" s="443">
        <f>'Comp Group'!F89*BY8</f>
        <v>2864711.0748719997</v>
      </c>
      <c r="AD60" s="443">
        <f>'Comp Group'!G89*BZ8</f>
        <v>1661108.230404</v>
      </c>
      <c r="AE60" s="61">
        <f t="shared" si="22"/>
        <v>4.2240391971891493E-2</v>
      </c>
      <c r="AF60" s="61">
        <f t="shared" si="23"/>
        <v>1.0389666397100754E-2</v>
      </c>
      <c r="AG60" s="61">
        <f t="shared" si="24"/>
        <v>3.2853494774054883E-3</v>
      </c>
      <c r="AH60" s="61">
        <f t="shared" si="25"/>
        <v>0.13658127766563219</v>
      </c>
      <c r="AI60" s="61">
        <f t="shared" si="26"/>
        <v>3.8188630198790943E-2</v>
      </c>
      <c r="AJ60" s="61">
        <f t="shared" si="27"/>
        <v>1.1848180491120002E-2</v>
      </c>
      <c r="AK60" s="434"/>
      <c r="AL60" s="434"/>
      <c r="AM60" s="443">
        <f>'Comp Group'!C92*BV8</f>
        <v>1114562.0725090001</v>
      </c>
      <c r="AN60" s="443">
        <f>'Comp Group'!D92*BW8</f>
        <v>1087886.0725199999</v>
      </c>
      <c r="AO60" s="443">
        <f>'Comp Group'!E92*BX8</f>
        <v>988610.67273400002</v>
      </c>
      <c r="AP60" s="443">
        <f>'Comp Group'!F92*BY8</f>
        <v>779378.3709199999</v>
      </c>
      <c r="AQ60" s="443">
        <f>'Comp Group'!G92*BZ8</f>
        <v>513729.72898800002</v>
      </c>
      <c r="AR60" s="443">
        <f>'Long Term Debt'!C31*BV8</f>
        <v>2804854.267029</v>
      </c>
      <c r="AS60" s="443">
        <f>'Long Term Debt'!D31*BW8</f>
        <v>1912990.5973099999</v>
      </c>
      <c r="AT60" s="443">
        <f>'Long Term Debt'!E31*BX8</f>
        <v>2036992.8192420001</v>
      </c>
      <c r="AU60" s="443">
        <f>'Long Term Debt'!F31*BY8</f>
        <v>1807506.5340399998</v>
      </c>
      <c r="AV60" s="443">
        <f>'Long Term Debt'!G31*BZ8</f>
        <v>917533.04372399999</v>
      </c>
      <c r="AW60" s="553">
        <f t="shared" si="21"/>
        <v>7.6472300632593193E-2</v>
      </c>
      <c r="AX60" s="553">
        <f t="shared" si="13"/>
        <v>1.6466547606594346E-2</v>
      </c>
      <c r="AY60" s="553">
        <f t="shared" si="14"/>
        <v>5.7502596844493034E-3</v>
      </c>
      <c r="AZ60" s="538">
        <f t="shared" si="15"/>
        <v>9.5062160050374017E-2</v>
      </c>
      <c r="BA60" s="538">
        <f t="shared" si="16"/>
        <v>2.2376296238288809E-2</v>
      </c>
      <c r="BB60" s="455">
        <f t="shared" si="17"/>
        <v>7.4411355932816736E-3</v>
      </c>
    </row>
    <row r="61" spans="1:54" ht="15" customHeight="1">
      <c r="A61" s="449">
        <v>2007</v>
      </c>
      <c r="B61" s="413"/>
      <c r="C61" s="411" t="s">
        <v>435</v>
      </c>
      <c r="D61" s="536"/>
      <c r="E61" s="536"/>
      <c r="F61" s="536"/>
      <c r="G61" s="536"/>
      <c r="H61" s="536"/>
      <c r="I61" s="411" t="s">
        <v>211</v>
      </c>
      <c r="J61" s="437" t="s">
        <v>356</v>
      </c>
      <c r="K61" s="537">
        <f>'Comp Group'!C96</f>
        <v>1135100</v>
      </c>
      <c r="L61" s="537">
        <f>'Comp Group'!D96</f>
        <v>1350202</v>
      </c>
      <c r="M61" s="537">
        <f>'Comp Group'!E96</f>
        <v>1917502</v>
      </c>
      <c r="N61" s="537">
        <f>'Comp Group'!F96</f>
        <v>1519867</v>
      </c>
      <c r="O61" s="537">
        <f>'Comp Group'!G96</f>
        <v>1308419</v>
      </c>
      <c r="P61" s="537">
        <f>'Comp Group'!C100</f>
        <v>-7600</v>
      </c>
      <c r="Q61" s="537">
        <f>'Comp Group'!D100</f>
        <v>165825</v>
      </c>
      <c r="R61" s="537">
        <f>'Comp Group'!E100</f>
        <v>417384</v>
      </c>
      <c r="S61" s="537">
        <f>'Comp Group'!F100</f>
        <v>470009</v>
      </c>
      <c r="T61" s="537">
        <f>'Comp Group'!G100</f>
        <v>372386</v>
      </c>
      <c r="U61" s="534">
        <f>'Comp Group'!C99</f>
        <v>1279699</v>
      </c>
      <c r="V61" s="534">
        <f>'Comp Group'!D99</f>
        <v>1480371</v>
      </c>
      <c r="W61" s="534">
        <f>'Comp Group'!E99</f>
        <v>1925125</v>
      </c>
      <c r="X61" s="534">
        <f>'Comp Group'!F99</f>
        <v>2134234</v>
      </c>
      <c r="Y61" s="534">
        <f>'Comp Group'!G99</f>
        <v>754191</v>
      </c>
      <c r="Z61" s="534">
        <f>'Comp Group'!C101</f>
        <v>3001507</v>
      </c>
      <c r="AA61" s="534">
        <f>'Comp Group'!D101</f>
        <v>2929408</v>
      </c>
      <c r="AB61" s="534">
        <f>'Comp Group'!E101</f>
        <v>3064805</v>
      </c>
      <c r="AC61" s="534">
        <f>'Comp Group'!F101</f>
        <v>2874968</v>
      </c>
      <c r="AD61" s="534">
        <f>'Comp Group'!G101</f>
        <v>1369336</v>
      </c>
      <c r="AE61" s="538">
        <f t="shared" si="22"/>
        <v>0.27194640322024688</v>
      </c>
      <c r="AF61" s="538">
        <f t="shared" si="23"/>
        <v>0.16348321094356527</v>
      </c>
      <c r="AG61" s="538">
        <f t="shared" si="24"/>
        <v>0.13618615213692226</v>
      </c>
      <c r="AH61" s="538">
        <f t="shared" si="25"/>
        <v>0.60536296320379746</v>
      </c>
      <c r="AI61" s="538">
        <f t="shared" si="26"/>
        <v>0.63451792411310948</v>
      </c>
      <c r="AJ61" s="538">
        <f t="shared" si="27"/>
        <v>0.3662291169451074</v>
      </c>
      <c r="AK61" s="434"/>
      <c r="AL61" s="434"/>
      <c r="AM61" s="534">
        <f>'Comp Group'!C104</f>
        <v>1721800</v>
      </c>
      <c r="AN61" s="534">
        <f>'Comp Group'!D104</f>
        <v>1449037</v>
      </c>
      <c r="AO61" s="534">
        <f>'Comp Group'!E104</f>
        <v>1139680</v>
      </c>
      <c r="AP61" s="534">
        <f>'Comp Group'!F104</f>
        <v>740734</v>
      </c>
      <c r="AQ61" s="534">
        <f>'Comp Group'!G104</f>
        <v>615145</v>
      </c>
      <c r="AR61" s="534">
        <f>'Comp Group'!C97</f>
        <v>895281</v>
      </c>
      <c r="AS61" s="534">
        <f>'Comp Group'!D97</f>
        <v>999760</v>
      </c>
      <c r="AT61" s="534">
        <f>'Comp Group'!E97</f>
        <v>1389459</v>
      </c>
      <c r="AU61" s="534">
        <f>'Comp Group'!F97</f>
        <v>1268593</v>
      </c>
      <c r="AV61" s="534">
        <f>'Comp Group'!G97</f>
        <v>374187</v>
      </c>
      <c r="AW61" s="553">
        <f t="shared" si="21"/>
        <v>0.99518689852934494</v>
      </c>
      <c r="AX61" s="553">
        <f t="shared" si="13"/>
        <v>0.37049628998425815</v>
      </c>
      <c r="AY61" s="553">
        <f t="shared" si="14"/>
        <v>0.30039317460968623</v>
      </c>
      <c r="AZ61" s="538">
        <f t="shared" si="15"/>
        <v>0.82006680770004237</v>
      </c>
      <c r="BA61" s="538">
        <f t="shared" si="16"/>
        <v>0.43852132578806557</v>
      </c>
      <c r="BB61" s="455">
        <f t="shared" si="17"/>
        <v>0.32487496276940042</v>
      </c>
    </row>
    <row r="62" spans="1:54" ht="15" customHeight="1">
      <c r="A62" s="449">
        <v>2007</v>
      </c>
      <c r="B62" s="777"/>
      <c r="C62" s="50" t="s">
        <v>487</v>
      </c>
      <c r="D62" s="51"/>
      <c r="E62" s="51"/>
      <c r="F62" s="51"/>
      <c r="G62" s="51"/>
      <c r="H62" s="51"/>
      <c r="I62" s="50" t="s">
        <v>211</v>
      </c>
      <c r="J62" s="437" t="s">
        <v>529</v>
      </c>
      <c r="K62" s="447">
        <f>'Comp Group'!C108*BV8</f>
        <v>433512.63842600002</v>
      </c>
      <c r="L62" s="447">
        <f>'Comp Group'!D108*BW8</f>
        <v>404119.52191000001</v>
      </c>
      <c r="M62" s="447">
        <f>'Comp Group'!E108*BX8</f>
        <v>404460.78869399999</v>
      </c>
      <c r="N62" s="447">
        <f>'Comp Group'!F108*BY8</f>
        <v>381635.88473599998</v>
      </c>
      <c r="O62" s="447">
        <f>'Comp Group'!G108*BZ8</f>
        <v>293957.29610400001</v>
      </c>
      <c r="P62" s="447">
        <f>'Comp Group'!C112*BV8</f>
        <v>8021.1399590000001</v>
      </c>
      <c r="Q62" s="447">
        <f>'Comp Group'!D112*BW8</f>
        <v>164156.96466</v>
      </c>
      <c r="R62" s="447">
        <f>'Comp Group'!E112*BX8</f>
        <v>8191.2299460000004</v>
      </c>
      <c r="S62" s="447">
        <f>'Comp Group'!F112*BY8</f>
        <v>116412.455848</v>
      </c>
      <c r="T62" s="447">
        <f>'Comp Group'!G112*BZ8</f>
        <v>135182.971464</v>
      </c>
      <c r="U62" s="443">
        <f>'Comp Group'!C111*BV8</f>
        <v>1752189.7705600001</v>
      </c>
      <c r="V62" s="443">
        <f>'Comp Group'!D111*BW8</f>
        <v>1220039.6682499999</v>
      </c>
      <c r="W62" s="443">
        <f>'Comp Group'!E111*BX8</f>
        <v>1171437.7529239999</v>
      </c>
      <c r="X62" s="443">
        <f>'Comp Group'!F111*BY8</f>
        <v>1128861.79752</v>
      </c>
      <c r="Y62" s="443">
        <f>'Comp Group'!G111*BZ8</f>
        <v>799262.18854799995</v>
      </c>
      <c r="Z62" s="443">
        <f>'Comp Group'!C113*BV8</f>
        <v>2578746.0530440002</v>
      </c>
      <c r="AA62" s="443">
        <f>'Comp Group'!D113*BW8</f>
        <v>1959826.0544199999</v>
      </c>
      <c r="AB62" s="443">
        <f>'Comp Group'!E113*BX8</f>
        <v>1836218.601602</v>
      </c>
      <c r="AC62" s="443">
        <f>'Comp Group'!F113*BY8</f>
        <v>1764963.9841519999</v>
      </c>
      <c r="AD62" s="443">
        <f>'Comp Group'!G113*BZ8</f>
        <v>1294716.0417599999</v>
      </c>
      <c r="AE62" s="61">
        <f t="shared" si="22"/>
        <v>0.10441128950579476</v>
      </c>
      <c r="AF62" s="61">
        <f t="shared" si="23"/>
        <v>6.5957411535472146E-2</v>
      </c>
      <c r="AG62" s="61">
        <f t="shared" si="24"/>
        <v>4.4609230833701401E-3</v>
      </c>
      <c r="AH62" s="61">
        <f t="shared" si="25"/>
        <v>0.27284674564062072</v>
      </c>
      <c r="AI62" s="61">
        <f t="shared" si="26"/>
        <v>0.18300919606892666</v>
      </c>
      <c r="AJ62" s="61">
        <f t="shared" si="27"/>
        <v>1.2321696310928316E-2</v>
      </c>
      <c r="AK62" s="434"/>
      <c r="AL62" s="434"/>
      <c r="AM62" s="443">
        <f>'Comp Group'!C116*BV8</f>
        <v>826556.11682300002</v>
      </c>
      <c r="AN62" s="443">
        <f>'Comp Group'!D116*BW8</f>
        <v>739786.22639999993</v>
      </c>
      <c r="AO62" s="443">
        <f>'Comp Group'!E116*BX8</f>
        <v>664781.02846399997</v>
      </c>
      <c r="AP62" s="443">
        <f>'Comp Group'!F116*BY8</f>
        <v>636101.67329599999</v>
      </c>
      <c r="AQ62" s="443">
        <f>'Comp Group'!G116*BZ8</f>
        <v>495453.85321199999</v>
      </c>
      <c r="AR62" s="443">
        <f>'Long Term Debt'!C32*BV8</f>
        <v>1440132.4882499999</v>
      </c>
      <c r="AS62" s="443">
        <f>'Long Term Debt'!D32*BW8</f>
        <v>1032088.6368</v>
      </c>
      <c r="AT62" s="443">
        <f>'Long Term Debt'!E32*BX8</f>
        <v>919388.38829799998</v>
      </c>
      <c r="AU62" s="443">
        <f>'Long Term Debt'!F32*BY8</f>
        <v>766511.09074399993</v>
      </c>
      <c r="AV62" s="443">
        <f>'Long Term Debt'!G32*BZ8</f>
        <v>658578.439488</v>
      </c>
      <c r="AW62" s="553">
        <f t="shared" si="21"/>
        <v>0.20526479969355751</v>
      </c>
      <c r="AX62" s="553">
        <f t="shared" si="13"/>
        <v>0.15187315259196887</v>
      </c>
      <c r="AY62" s="553">
        <f t="shared" si="14"/>
        <v>8.9094337608112036E-3</v>
      </c>
      <c r="AZ62" s="538">
        <f t="shared" si="15"/>
        <v>0.23112663692044533</v>
      </c>
      <c r="BA62" s="538">
        <f t="shared" si="16"/>
        <v>0.16309473858114126</v>
      </c>
      <c r="BB62" s="455">
        <f t="shared" si="17"/>
        <v>1.0144802568955814E-2</v>
      </c>
    </row>
    <row r="63" spans="1:54" ht="15" customHeight="1">
      <c r="A63" s="449">
        <v>2007</v>
      </c>
      <c r="B63" s="413"/>
      <c r="C63" s="411" t="s">
        <v>435</v>
      </c>
      <c r="D63" s="536"/>
      <c r="E63" s="536"/>
      <c r="F63" s="536"/>
      <c r="G63" s="536"/>
      <c r="H63" s="536"/>
      <c r="I63" s="411" t="s">
        <v>211</v>
      </c>
      <c r="J63" s="437" t="s">
        <v>530</v>
      </c>
      <c r="K63" s="537">
        <f>'Comp Group'!C120</f>
        <v>568263</v>
      </c>
      <c r="L63" s="537">
        <f>'Comp Group'!D120</f>
        <v>477695</v>
      </c>
      <c r="M63" s="537">
        <f>'Comp Group'!E120</f>
        <v>582431</v>
      </c>
      <c r="N63" s="537">
        <f>'Comp Group'!F120</f>
        <v>452754</v>
      </c>
      <c r="O63" s="537">
        <f>'Comp Group'!G120</f>
        <v>395852</v>
      </c>
      <c r="P63" s="537">
        <f>'Comp Group'!C124</f>
        <v>155783</v>
      </c>
      <c r="Q63" s="537">
        <f>'Comp Group'!D124</f>
        <v>162470</v>
      </c>
      <c r="R63" s="537">
        <f>'Comp Group'!E124</f>
        <v>113791</v>
      </c>
      <c r="S63" s="537">
        <f>'Comp Group'!F124</f>
        <v>135014</v>
      </c>
      <c r="T63" s="537">
        <f>'Comp Group'!G124</f>
        <v>150890</v>
      </c>
      <c r="U63" s="534">
        <f>'Comp Group'!C123</f>
        <v>308145</v>
      </c>
      <c r="V63" s="534">
        <f>'Comp Group'!D123</f>
        <v>304423</v>
      </c>
      <c r="W63" s="534">
        <f>'Comp Group'!E123</f>
        <v>293254</v>
      </c>
      <c r="X63" s="534">
        <f>'Comp Group'!F123</f>
        <v>284808</v>
      </c>
      <c r="Y63" s="534">
        <f>'Comp Group'!G123</f>
        <v>199193</v>
      </c>
      <c r="Z63" s="534">
        <f>'Comp Group'!C125</f>
        <v>1216917</v>
      </c>
      <c r="AA63" s="534">
        <f>'Comp Group'!D125</f>
        <v>1144278</v>
      </c>
      <c r="AB63" s="534">
        <f>'Comp Group'!E125</f>
        <v>954317</v>
      </c>
      <c r="AC63" s="534">
        <f>'Comp Group'!F125</f>
        <v>852640</v>
      </c>
      <c r="AD63" s="534">
        <f>'Comp Group'!G125</f>
        <v>676234</v>
      </c>
      <c r="AE63" s="538">
        <f t="shared" si="22"/>
        <v>0.22313282088744429</v>
      </c>
      <c r="AF63" s="538">
        <f t="shared" si="23"/>
        <v>0.15834818915368737</v>
      </c>
      <c r="AG63" s="538">
        <f t="shared" si="24"/>
        <v>0.11923815671312572</v>
      </c>
      <c r="AH63" s="538">
        <f t="shared" si="25"/>
        <v>0.31630603851265515</v>
      </c>
      <c r="AI63" s="538">
        <f t="shared" si="26"/>
        <v>0.23777019340159272</v>
      </c>
      <c r="AJ63" s="538">
        <f t="shared" si="27"/>
        <v>0.17213336701645682</v>
      </c>
      <c r="AK63" s="434"/>
      <c r="AL63" s="434"/>
      <c r="AM63" s="534">
        <f>'Comp Group'!C128</f>
        <v>908771</v>
      </c>
      <c r="AN63" s="534">
        <f>'Comp Group'!D128</f>
        <v>839856</v>
      </c>
      <c r="AO63" s="534">
        <f>'Comp Group'!E128</f>
        <v>661063</v>
      </c>
      <c r="AP63" s="534">
        <f>'Comp Group'!F128</f>
        <v>567834</v>
      </c>
      <c r="AQ63" s="534">
        <f>'Comp Group'!G128</f>
        <v>477038</v>
      </c>
      <c r="AR63" s="534">
        <f>'Comp Group'!C121</f>
        <v>100402</v>
      </c>
      <c r="AS63" s="534">
        <f>'Comp Group'!D121</f>
        <v>72790</v>
      </c>
      <c r="AT63" s="534">
        <f>'Comp Group'!E121</f>
        <v>55735</v>
      </c>
      <c r="AU63" s="534">
        <f>'Comp Group'!F121</f>
        <v>93672</v>
      </c>
      <c r="AV63" s="534">
        <f>'Comp Group'!G121</f>
        <v>85221</v>
      </c>
      <c r="AW63" s="553">
        <f t="shared" si="21"/>
        <v>1.7705729808380564</v>
      </c>
      <c r="AX63" s="553">
        <f t="shared" si="13"/>
        <v>1.4413485353147151</v>
      </c>
      <c r="AY63" s="553">
        <f t="shared" si="14"/>
        <v>2.0416434915223829</v>
      </c>
      <c r="AZ63" s="538">
        <f t="shared" si="15"/>
        <v>0.74468006313238377</v>
      </c>
      <c r="BA63" s="538">
        <f t="shared" si="16"/>
        <v>0.6398014567027116</v>
      </c>
      <c r="BB63" s="455">
        <f t="shared" si="17"/>
        <v>0.74661891223032262</v>
      </c>
    </row>
    <row r="64" spans="1:54" ht="15" customHeight="1">
      <c r="A64" s="449">
        <v>2004</v>
      </c>
      <c r="B64" s="777"/>
      <c r="C64" s="50" t="s">
        <v>487</v>
      </c>
      <c r="D64" s="51"/>
      <c r="E64" s="51"/>
      <c r="F64" s="51"/>
      <c r="G64" s="51"/>
      <c r="H64" s="51"/>
      <c r="I64" s="50" t="s">
        <v>212</v>
      </c>
      <c r="J64" s="437" t="s">
        <v>531</v>
      </c>
      <c r="K64" s="447">
        <f>'Comp Group'!C135*BY8</f>
        <v>19537.739271999999</v>
      </c>
      <c r="L64" s="447">
        <f>'Comp Group'!D135*BZ8</f>
        <v>17148.619908000001</v>
      </c>
      <c r="M64" s="447">
        <f>'Comp Group'!E135*CA8</f>
        <v>15678.577825999999</v>
      </c>
      <c r="N64" s="447">
        <f>'Comp Group'!F135*CB8</f>
        <v>13610.749409999999</v>
      </c>
      <c r="O64" s="447">
        <f>'Comp Group'!G135*CC8</f>
        <v>27137.042939999999</v>
      </c>
      <c r="P64" s="447">
        <f>'Comp Group'!C139*BY8</f>
        <v>5970.6110159999998</v>
      </c>
      <c r="Q64" s="447">
        <f>'Comp Group'!D139*BZ8</f>
        <v>5940.8460479999994</v>
      </c>
      <c r="R64" s="447">
        <f>'Comp Group'!E139*CA8</f>
        <v>5365.4589229999992</v>
      </c>
      <c r="S64" s="447">
        <f>'Comp Group'!F139*CB8</f>
        <v>4717.9372319999993</v>
      </c>
      <c r="T64" s="447">
        <f>'Comp Group'!G139*CC8</f>
        <v>3408.8598419999998</v>
      </c>
      <c r="U64" s="443">
        <f>'Comp Group'!C138*BY8</f>
        <v>857272.14667199994</v>
      </c>
      <c r="V64" s="443">
        <f>'Comp Group'!D138*BZ8</f>
        <v>685770.89200799994</v>
      </c>
      <c r="W64" s="443">
        <f>'Comp Group'!E138*CA8</f>
        <v>565713.45185399998</v>
      </c>
      <c r="X64" s="443">
        <f>'Comp Group'!F138*CB8</f>
        <v>467649.76994999999</v>
      </c>
      <c r="Y64" s="443">
        <f>'Comp Group'!G138*CC8</f>
        <v>361017.400869</v>
      </c>
      <c r="Z64" s="443">
        <f>'Comp Group'!C140*BY8</f>
        <v>913806.35368799989</v>
      </c>
      <c r="AA64" s="443">
        <f>'Comp Group'!D140*BZ8</f>
        <v>733213.36207199993</v>
      </c>
      <c r="AB64" s="443">
        <f>'Comp Group'!E140*CA8</f>
        <v>609187.39880899992</v>
      </c>
      <c r="AC64" s="443">
        <f>'Comp Group'!F140*CB8</f>
        <v>505666.80588599999</v>
      </c>
      <c r="AD64" s="443">
        <f>'Comp Group'!G140*CC8</f>
        <v>394033.195266</v>
      </c>
      <c r="AE64" s="61">
        <f t="shared" si="22"/>
        <v>8.6511996526048539E-3</v>
      </c>
      <c r="AF64" s="61">
        <f t="shared" si="23"/>
        <v>9.3301303883957815E-3</v>
      </c>
      <c r="AG64" s="61">
        <f t="shared" si="24"/>
        <v>8.8075671517332966E-3</v>
      </c>
      <c r="AH64" s="61">
        <f t="shared" si="25"/>
        <v>0.10324936607643002</v>
      </c>
      <c r="AI64" s="61">
        <f t="shared" si="26"/>
        <v>0.12410060689482573</v>
      </c>
      <c r="AJ64" s="61">
        <f t="shared" si="27"/>
        <v>0.12341780074750977</v>
      </c>
      <c r="AK64" s="434"/>
      <c r="AL64" s="434"/>
      <c r="AM64" s="443">
        <f>'Comp Group'!C143*BY8</f>
        <v>56534.207015999993</v>
      </c>
      <c r="AN64" s="443">
        <f>'Comp Group'!D143*BZ8</f>
        <v>47442.470064000001</v>
      </c>
      <c r="AO64" s="443">
        <f>'Comp Group'!E143*CA8</f>
        <v>43473.946954999999</v>
      </c>
      <c r="AP64" s="443">
        <f>'Comp Group'!F143*CB8</f>
        <v>38017.035936</v>
      </c>
      <c r="AQ64" s="443">
        <f>'Comp Group'!G143*CC8</f>
        <v>33015.794396999998</v>
      </c>
      <c r="AR64" s="443">
        <f>'Long Term Debt'!C33*BY8</f>
        <v>26621.091623999997</v>
      </c>
      <c r="AS64" s="443">
        <f>'Long Term Debt'!D33*BZ8</f>
        <v>29038.897944</v>
      </c>
      <c r="AT64" s="443">
        <f>'Long Term Debt'!E33*CA8</f>
        <v>15893.308134999999</v>
      </c>
      <c r="AU64" s="443">
        <f>'Long Term Debt'!F33*CB8</f>
        <v>15168.429845999999</v>
      </c>
      <c r="AV64" s="443">
        <f>'Long Term Debt'!G33*CC8</f>
        <v>355876.299237</v>
      </c>
      <c r="AW64" s="553">
        <f t="shared" si="21"/>
        <v>9.578777370981454E-3</v>
      </c>
      <c r="AX64" s="553">
        <f t="shared" si="13"/>
        <v>0.31103662540550603</v>
      </c>
      <c r="AY64" s="553">
        <f t="shared" si="14"/>
        <v>0.33759232989287286</v>
      </c>
      <c r="AZ64" s="538">
        <f t="shared" si="15"/>
        <v>1.7427377272970199E-2</v>
      </c>
      <c r="BA64" s="538">
        <f t="shared" si="16"/>
        <v>0.29698240382969732</v>
      </c>
      <c r="BB64" s="455">
        <f t="shared" si="17"/>
        <v>0.32230801485716915</v>
      </c>
    </row>
    <row r="65" spans="1:54" ht="15" customHeight="1">
      <c r="A65" s="449">
        <v>2004</v>
      </c>
      <c r="B65" s="777"/>
      <c r="C65" s="50" t="s">
        <v>487</v>
      </c>
      <c r="D65" s="51"/>
      <c r="E65" s="51"/>
      <c r="F65" s="51"/>
      <c r="G65" s="51"/>
      <c r="H65" s="51"/>
      <c r="I65" s="50" t="s">
        <v>212</v>
      </c>
      <c r="J65" s="437" t="s">
        <v>532</v>
      </c>
      <c r="K65" s="447">
        <f>'Comp Group'!C147*BY8</f>
        <v>16.25564</v>
      </c>
      <c r="L65" s="447">
        <f>'Comp Group'!D147*BZ8</f>
        <v>13810.406435999999</v>
      </c>
      <c r="M65" s="447">
        <f>'Comp Group'!E147*CA8</f>
        <v>13139.597945</v>
      </c>
      <c r="N65" s="447">
        <f>'Comp Group'!F147*CB8</f>
        <v>10538.946504</v>
      </c>
      <c r="O65" s="447">
        <f>'Comp Group'!G147*CC8</f>
        <v>9037.1633010000005</v>
      </c>
      <c r="P65" s="447">
        <f>'Comp Group'!C151*BY8</f>
        <v>4.1066880000000001</v>
      </c>
      <c r="Q65" s="447">
        <f>'Comp Group'!D151*BZ8</f>
        <v>4143.1063199999999</v>
      </c>
      <c r="R65" s="447">
        <f>'Comp Group'!E151*CA8</f>
        <v>3651.1926979999998</v>
      </c>
      <c r="S65" s="447">
        <f>'Comp Group'!F151*CB8</f>
        <v>2740.7326319999997</v>
      </c>
      <c r="T65" s="447">
        <f>'Comp Group'!G151*CC8</f>
        <v>2548.9507349999999</v>
      </c>
      <c r="U65" s="443">
        <f>'Comp Group'!C150*BY8</f>
        <v>536.43611999999996</v>
      </c>
      <c r="V65" s="443">
        <f>'Comp Group'!D150*BZ8</f>
        <v>458226.46623600001</v>
      </c>
      <c r="W65" s="443">
        <f>'Comp Group'!E150*CA8</f>
        <v>414394.20036699995</v>
      </c>
      <c r="X65" s="443">
        <f>'Comp Group'!F150*CB8</f>
        <v>356302.22927399998</v>
      </c>
      <c r="Y65" s="443">
        <f>'Comp Group'!G150*CC8</f>
        <v>294206.79738900001</v>
      </c>
      <c r="Z65" s="443">
        <f>'Comp Group'!C152*BY8</f>
        <v>584.17636799999991</v>
      </c>
      <c r="AA65" s="443">
        <f>'Comp Group'!D152*BZ8</f>
        <v>499555.59091199999</v>
      </c>
      <c r="AB65" s="443">
        <f>'Comp Group'!E152*CA8</f>
        <v>452254.21697699995</v>
      </c>
      <c r="AC65" s="443">
        <f>'Comp Group'!F152*CB8</f>
        <v>387925.01526599994</v>
      </c>
      <c r="AD65" s="443">
        <f>'Comp Group'!G152*CC8</f>
        <v>322956.92873099999</v>
      </c>
      <c r="AE65" s="61">
        <f>T65/AD65</f>
        <v>7.8925407948844273E-3</v>
      </c>
      <c r="AF65" s="61">
        <f t="shared" si="23"/>
        <v>7.0651092972714869E-3</v>
      </c>
      <c r="AG65" s="61">
        <f t="shared" si="24"/>
        <v>8.0733192990562804E-3</v>
      </c>
      <c r="AH65" s="61">
        <f t="shared" si="25"/>
        <v>8.8658750969820177E-2</v>
      </c>
      <c r="AI65" s="61">
        <f t="shared" si="26"/>
        <v>8.6769896926624943E-2</v>
      </c>
      <c r="AJ65" s="61">
        <f t="shared" si="27"/>
        <v>9.6439674892910984E-2</v>
      </c>
      <c r="AK65" s="434"/>
      <c r="AL65" s="434"/>
      <c r="AM65" s="443">
        <f>'Comp Group'!C155*BY8</f>
        <v>47.740247999999994</v>
      </c>
      <c r="AN65" s="443">
        <f>'Comp Group'!D155*BZ8</f>
        <v>41329.124675999999</v>
      </c>
      <c r="AO65" s="443">
        <f>'Comp Group'!E155*CA8</f>
        <v>37859.861120999994</v>
      </c>
      <c r="AP65" s="443">
        <f>'Comp Group'!F155*CB8</f>
        <v>31586.215139999997</v>
      </c>
      <c r="AQ65" s="443">
        <f>'Comp Group'!G155*CC8</f>
        <v>28750.131342000001</v>
      </c>
      <c r="AR65" s="443">
        <f>'Long Term Debt'!C34*BY8</f>
        <v>20.191215999999997</v>
      </c>
      <c r="AS65" s="443">
        <f>'Long Term Debt'!D34*BZ8</f>
        <v>15206.168064</v>
      </c>
      <c r="AT65" s="443">
        <f>'Long Term Debt'!E34*CA8</f>
        <v>15125.814430999999</v>
      </c>
      <c r="AU65" s="443">
        <f>'Long Term Debt'!F34*CB8</f>
        <v>6672.0992219999998</v>
      </c>
      <c r="AV65" s="443">
        <f>'Long Term Debt'!G34*CC8</f>
        <v>6304.6824660000002</v>
      </c>
      <c r="AW65" s="553">
        <f t="shared" si="21"/>
        <v>0.40429486318240848</v>
      </c>
      <c r="AX65" s="553">
        <f t="shared" si="13"/>
        <v>0.41077516098126154</v>
      </c>
      <c r="AY65" s="553">
        <f t="shared" si="14"/>
        <v>0.24138817216459874</v>
      </c>
      <c r="AZ65" s="538">
        <f t="shared" si="15"/>
        <v>0.37619644238664773</v>
      </c>
      <c r="BA65" s="538">
        <f t="shared" si="16"/>
        <v>0.38439102883114462</v>
      </c>
      <c r="BB65" s="455">
        <f t="shared" si="17"/>
        <v>0.22925399705437841</v>
      </c>
    </row>
    <row r="66" spans="1:54" ht="15" customHeight="1">
      <c r="A66" s="449">
        <v>2004</v>
      </c>
      <c r="B66" s="777"/>
      <c r="C66" s="50" t="s">
        <v>487</v>
      </c>
      <c r="D66" s="51"/>
      <c r="E66" s="51"/>
      <c r="F66" s="51"/>
      <c r="G66" s="51"/>
      <c r="H66" s="51"/>
      <c r="I66" s="50" t="s">
        <v>212</v>
      </c>
      <c r="J66" s="437" t="s">
        <v>533</v>
      </c>
      <c r="K66" s="447">
        <f>'Comp Group'!C159*BY8</f>
        <v>178127.59199999998</v>
      </c>
      <c r="L66" s="447">
        <f>'Comp Group'!D159*BZ8</f>
        <v>146117.08799999999</v>
      </c>
      <c r="M66" s="447">
        <f>'Comp Group'!E159*CA8</f>
        <v>143205.36899999998</v>
      </c>
      <c r="N66" s="447">
        <f>'Comp Group'!F159*CB8</f>
        <v>127403.33399999999</v>
      </c>
      <c r="O66" s="447">
        <f>'Comp Group'!G159*CC8</f>
        <v>113365.13099999999</v>
      </c>
      <c r="P66" s="447">
        <f>'Comp Group'!C163*BY8</f>
        <v>59718.087999999996</v>
      </c>
      <c r="Q66" s="447">
        <f>'Comp Group'!D163*BZ8</f>
        <v>48237.371999999996</v>
      </c>
      <c r="R66" s="447">
        <f>'Comp Group'!E163*CA8</f>
        <v>49911.968999999997</v>
      </c>
      <c r="S66" s="447">
        <f>'Comp Group'!F163*CB8</f>
        <v>40138.74</v>
      </c>
      <c r="T66" s="447">
        <f>'Comp Group'!G163*CC8</f>
        <v>30211.878000000001</v>
      </c>
      <c r="U66" s="443">
        <f>'Comp Group'!C162*BY8</f>
        <v>5846725.9279999994</v>
      </c>
      <c r="V66" s="443">
        <f>'Comp Group'!D162*BZ8</f>
        <v>4967044.3439999996</v>
      </c>
      <c r="W66" s="443">
        <f>'Comp Group'!E162*CA8</f>
        <v>4202712.1809999999</v>
      </c>
      <c r="X66" s="443">
        <f>'Comp Group'!F162*CB8</f>
        <v>3536074.3319999999</v>
      </c>
      <c r="Y66" s="443">
        <f>'Comp Group'!G162*CC8</f>
        <v>2930410.9890000001</v>
      </c>
      <c r="Z66" s="443">
        <f>'Comp Group'!C164*BY8</f>
        <v>6503796.0079999994</v>
      </c>
      <c r="AA66" s="443">
        <f>'Comp Group'!D164*BZ8</f>
        <v>5538399.6239999998</v>
      </c>
      <c r="AB66" s="443">
        <f>'Comp Group'!E164*CA8</f>
        <v>4710072.7879999997</v>
      </c>
      <c r="AC66" s="443">
        <f>'Comp Group'!F164*CB8</f>
        <v>3974181.2459999998</v>
      </c>
      <c r="AD66" s="443">
        <f>'Comp Group'!G164*CC8</f>
        <v>3308906.5260000001</v>
      </c>
      <c r="AE66" s="61">
        <f t="shared" si="22"/>
        <v>9.1304718832664906E-3</v>
      </c>
      <c r="AF66" s="61">
        <f t="shared" si="23"/>
        <v>1.0099876557064303E-2</v>
      </c>
      <c r="AG66" s="61">
        <f t="shared" si="24"/>
        <v>1.05968572560412E-2</v>
      </c>
      <c r="AH66" s="61">
        <f t="shared" si="25"/>
        <v>7.9820962327489739E-2</v>
      </c>
      <c r="AI66" s="61">
        <f t="shared" si="26"/>
        <v>9.1618595181540544E-2</v>
      </c>
      <c r="AJ66" s="61">
        <f t="shared" si="27"/>
        <v>9.8375727857799578E-2</v>
      </c>
      <c r="AK66" s="434"/>
      <c r="AL66" s="434"/>
      <c r="AM66" s="443">
        <f>'Comp Group'!C167*BY8</f>
        <v>657070.07999999996</v>
      </c>
      <c r="AN66" s="443">
        <f>'Comp Group'!D167*BZ8</f>
        <v>571355.28</v>
      </c>
      <c r="AO66" s="443">
        <f>'Comp Group'!E167*CA8</f>
        <v>507360.60699999996</v>
      </c>
      <c r="AP66" s="443">
        <f>'Comp Group'!F167*CB8</f>
        <v>438106.91399999999</v>
      </c>
      <c r="AQ66" s="443">
        <f>'Comp Group'!G167*CC8</f>
        <v>378495.53700000001</v>
      </c>
      <c r="AR66" s="443">
        <f>'Long Term Debt'!C35*BY8</f>
        <v>81278.2</v>
      </c>
      <c r="AS66" s="443">
        <f>'Long Term Debt'!D35*BZ8</f>
        <v>19201.284</v>
      </c>
      <c r="AT66" s="443">
        <f>'Long Term Debt'!E35*CA8</f>
        <v>17414.768</v>
      </c>
      <c r="AU66" s="443">
        <f>'Long Term Debt'!F35*CB8</f>
        <v>16650.144</v>
      </c>
      <c r="AV66" s="443">
        <f>'Long Term Debt'!G35*CC8</f>
        <v>15105.939</v>
      </c>
      <c r="AW66" s="553">
        <f t="shared" si="21"/>
        <v>2</v>
      </c>
      <c r="AX66" s="553">
        <f t="shared" si="13"/>
        <v>2.4107142857142856</v>
      </c>
      <c r="AY66" s="553">
        <f t="shared" si="14"/>
        <v>2.8660714285714284</v>
      </c>
      <c r="AZ66" s="538">
        <f t="shared" si="15"/>
        <v>1.780356685724038</v>
      </c>
      <c r="BA66" s="538">
        <f t="shared" si="16"/>
        <v>2.1550611603635952</v>
      </c>
      <c r="BB66" s="455">
        <f t="shared" si="17"/>
        <v>2.567940203448341</v>
      </c>
    </row>
    <row r="67" spans="1:54" ht="15" customHeight="1">
      <c r="A67" s="449">
        <v>2004</v>
      </c>
      <c r="B67" s="777"/>
      <c r="C67" s="50" t="s">
        <v>487</v>
      </c>
      <c r="D67" s="51"/>
      <c r="E67" s="51"/>
      <c r="F67" s="51"/>
      <c r="G67" s="51"/>
      <c r="H67" s="51"/>
      <c r="I67" s="50" t="s">
        <v>212</v>
      </c>
      <c r="J67" s="437" t="s">
        <v>534</v>
      </c>
      <c r="K67" s="447">
        <f>'Comp Group'!C171*BY8</f>
        <v>320321.66399999999</v>
      </c>
      <c r="L67" s="447">
        <f>'Comp Group'!D171*BZ8</f>
        <v>282087.15600000002</v>
      </c>
      <c r="M67" s="447">
        <f>'Comp Group'!E171*CA8</f>
        <v>259200.16299999997</v>
      </c>
      <c r="N67" s="447">
        <f>'Comp Group'!F171*CB8</f>
        <v>226560.88799999998</v>
      </c>
      <c r="O67" s="447">
        <f>'Comp Group'!G171*CC8</f>
        <v>198353.685</v>
      </c>
      <c r="P67" s="447">
        <f>'Comp Group'!C175*BY8</f>
        <v>120291.73599999999</v>
      </c>
      <c r="Q67" s="447">
        <f>'Comp Group'!D175*BZ8</f>
        <v>118954.296</v>
      </c>
      <c r="R67" s="447">
        <f>'Comp Group'!E175*CA8</f>
        <v>86296.39499999999</v>
      </c>
      <c r="S67" s="447">
        <f>'Comp Group'!F175*CB8</f>
        <v>54112.967999999993</v>
      </c>
      <c r="T67" s="447">
        <f>'Comp Group'!G175*CC8</f>
        <v>29647.17</v>
      </c>
      <c r="U67" s="443">
        <f>'Comp Group'!C174*BY8</f>
        <v>9704617.0800000001</v>
      </c>
      <c r="V67" s="443">
        <f>'Comp Group'!D174*BZ8</f>
        <v>8029883.3039999995</v>
      </c>
      <c r="W67" s="443">
        <f>'Comp Group'!E174*CA8</f>
        <v>7103203.9869999997</v>
      </c>
      <c r="X67" s="443">
        <f>'Comp Group'!F174*CB8</f>
        <v>5894894.2859999994</v>
      </c>
      <c r="Y67" s="443">
        <f>'Comp Group'!G174*CC8</f>
        <v>5440114.5180000002</v>
      </c>
      <c r="Z67" s="443">
        <f>'Comp Group'!C176*BY8</f>
        <v>10406860.727999998</v>
      </c>
      <c r="AA67" s="443">
        <f>'Comp Group'!D176*BZ8</f>
        <v>8580007.8959999997</v>
      </c>
      <c r="AB67" s="443">
        <f>'Comp Group'!E176*CA8</f>
        <v>7561430.0699999994</v>
      </c>
      <c r="AC67" s="443">
        <f>'Comp Group'!F176*CB8</f>
        <v>6280226.1899999995</v>
      </c>
      <c r="AD67" s="443">
        <f>'Comp Group'!G176*CC8</f>
        <v>5773009.8839999996</v>
      </c>
      <c r="AE67" s="61">
        <f t="shared" si="22"/>
        <v>5.1354788222635235E-3</v>
      </c>
      <c r="AF67" s="61">
        <f t="shared" si="23"/>
        <v>8.6164043082021542E-3</v>
      </c>
      <c r="AG67" s="61">
        <f t="shared" si="24"/>
        <v>1.1412708204811843E-2</v>
      </c>
      <c r="AH67" s="61">
        <f t="shared" si="25"/>
        <v>8.9171974522292988E-2</v>
      </c>
      <c r="AI67" s="61">
        <f t="shared" si="26"/>
        <v>0.1407035175879397</v>
      </c>
      <c r="AJ67" s="61">
        <f t="shared" si="27"/>
        <v>0.18832711231761112</v>
      </c>
      <c r="AK67" s="434"/>
      <c r="AL67" s="434"/>
      <c r="AM67" s="443">
        <f>'Comp Group'!C179*BY8</f>
        <v>702243.64799999993</v>
      </c>
      <c r="AN67" s="443">
        <f>'Comp Group'!D179*BZ8</f>
        <v>550124.59199999995</v>
      </c>
      <c r="AO67" s="443">
        <f>'Comp Group'!E179*CA8</f>
        <v>458226.08299999998</v>
      </c>
      <c r="AP67" s="443">
        <f>'Comp Group'!F179*CB8</f>
        <v>384588.59399999998</v>
      </c>
      <c r="AQ67" s="443">
        <f>'Comp Group'!G179*CC8</f>
        <v>332471.83500000002</v>
      </c>
      <c r="AR67" s="443">
        <f>'Long Term Debt'!C36*BY8</f>
        <v>235963.44799999997</v>
      </c>
      <c r="AS67" s="443">
        <f>'Long Term Debt'!D36*BZ8</f>
        <v>240406.32</v>
      </c>
      <c r="AT67" s="443">
        <f>'Long Term Debt'!E36*CA8</f>
        <v>232145.07699999999</v>
      </c>
      <c r="AU67" s="443">
        <f>'Long Term Debt'!F36*CB8</f>
        <v>178691.72399999999</v>
      </c>
      <c r="AV67" s="443">
        <f>'Long Term Debt'!G36*CC8</f>
        <v>212894.916</v>
      </c>
      <c r="AW67" s="553">
        <f t="shared" si="21"/>
        <v>0.13925729442970822</v>
      </c>
      <c r="AX67" s="553">
        <f t="shared" si="13"/>
        <v>0.30282861896838603</v>
      </c>
      <c r="AY67" s="553">
        <f t="shared" si="14"/>
        <v>0.3717347622237106</v>
      </c>
      <c r="AZ67" s="538">
        <f t="shared" si="15"/>
        <v>0.13637263282433851</v>
      </c>
      <c r="BA67" s="538">
        <f t="shared" si="16"/>
        <v>0.29289922414662434</v>
      </c>
      <c r="BB67" s="455">
        <f t="shared" si="17"/>
        <v>0.36062017566657972</v>
      </c>
    </row>
    <row r="68" spans="1:54" ht="15" customHeight="1">
      <c r="A68" s="449">
        <v>2008</v>
      </c>
      <c r="B68" s="413"/>
      <c r="C68" s="411" t="s">
        <v>435</v>
      </c>
      <c r="D68" s="536"/>
      <c r="E68" s="536"/>
      <c r="F68" s="536"/>
      <c r="G68" s="536"/>
      <c r="H68" s="536"/>
      <c r="I68" s="411" t="s">
        <v>245</v>
      </c>
      <c r="J68" s="524" t="s">
        <v>530</v>
      </c>
      <c r="K68" s="537">
        <f>'Comp Group'!C214</f>
        <v>608568</v>
      </c>
      <c r="L68" s="537">
        <f>'Comp Group'!D214</f>
        <v>568263</v>
      </c>
      <c r="M68" s="537">
        <f>'Comp Group'!E214</f>
        <v>477695</v>
      </c>
      <c r="N68" s="537">
        <f>'Comp Group'!F214</f>
        <v>582431</v>
      </c>
      <c r="O68" s="537">
        <f>'Comp Group'!G214</f>
        <v>452754</v>
      </c>
      <c r="P68" s="537">
        <f>'Comp Group'!C218</f>
        <v>170688</v>
      </c>
      <c r="Q68" s="537">
        <f>'Comp Group'!D218</f>
        <v>155783</v>
      </c>
      <c r="R68" s="537">
        <f>'Comp Group'!E218</f>
        <v>162470</v>
      </c>
      <c r="S68" s="537">
        <f>'Comp Group'!F218</f>
        <v>113791</v>
      </c>
      <c r="T68" s="537">
        <f>'Comp Group'!G218</f>
        <v>135014</v>
      </c>
      <c r="U68" s="534">
        <f>'Comp Group'!C217</f>
        <v>360161</v>
      </c>
      <c r="V68" s="534">
        <f>'Comp Group'!D217</f>
        <v>308145</v>
      </c>
      <c r="W68" s="534">
        <f>'Comp Group'!E217</f>
        <v>304423</v>
      </c>
      <c r="X68" s="534">
        <f>'Comp Group'!F217</f>
        <v>293254</v>
      </c>
      <c r="Y68" s="534">
        <f>'Comp Group'!G217</f>
        <v>284808</v>
      </c>
      <c r="Z68" s="534">
        <f>'Comp Group'!C219</f>
        <v>1333183</v>
      </c>
      <c r="AA68" s="534">
        <f>'Comp Group'!D219</f>
        <v>1216917</v>
      </c>
      <c r="AB68" s="534">
        <f>'Comp Group'!E219</f>
        <v>1144278</v>
      </c>
      <c r="AC68" s="534">
        <f>'Comp Group'!F219</f>
        <v>954317</v>
      </c>
      <c r="AD68" s="534">
        <f>'Comp Group'!G219</f>
        <v>852640</v>
      </c>
      <c r="AE68" s="538">
        <f t="shared" si="22"/>
        <v>0.15834818915368737</v>
      </c>
      <c r="AF68" s="538">
        <f t="shared" si="23"/>
        <v>0.11923815671312572</v>
      </c>
      <c r="AG68" s="538">
        <f t="shared" si="24"/>
        <v>0.14198472748755112</v>
      </c>
      <c r="AH68" s="538">
        <f t="shared" si="25"/>
        <v>0.23777019340159272</v>
      </c>
      <c r="AI68" s="538">
        <f t="shared" si="26"/>
        <v>0.17213336701645682</v>
      </c>
      <c r="AJ68" s="538">
        <f t="shared" si="27"/>
        <v>0.19344982949458003</v>
      </c>
      <c r="AK68" s="434"/>
      <c r="AL68" s="434"/>
      <c r="AM68" s="534">
        <f>'Comp Group'!C222</f>
        <v>973021</v>
      </c>
      <c r="AN68" s="534">
        <f>'Comp Group'!D222</f>
        <v>908771</v>
      </c>
      <c r="AO68" s="534">
        <f>'Comp Group'!E222</f>
        <v>839856</v>
      </c>
      <c r="AP68" s="534">
        <f>'Comp Group'!F222</f>
        <v>661063</v>
      </c>
      <c r="AQ68" s="534">
        <f>'Comp Group'!G222</f>
        <v>567834</v>
      </c>
      <c r="AR68" s="534">
        <f>'Comp Group'!C215</f>
        <v>142300</v>
      </c>
      <c r="AS68" s="534">
        <f>'Comp Group'!D215</f>
        <v>100402</v>
      </c>
      <c r="AT68" s="534">
        <f>'Comp Group'!E215</f>
        <v>72790</v>
      </c>
      <c r="AU68" s="534">
        <f>'Comp Group'!F215</f>
        <v>55735</v>
      </c>
      <c r="AV68" s="534">
        <f>'Comp Group'!G215</f>
        <v>93672</v>
      </c>
      <c r="AW68" s="553">
        <f t="shared" si="21"/>
        <v>1.4413485353147151</v>
      </c>
      <c r="AX68" s="553">
        <f t="shared" si="13"/>
        <v>2.0416434915223829</v>
      </c>
      <c r="AY68" s="553">
        <f t="shared" si="14"/>
        <v>2.2320373677702983</v>
      </c>
      <c r="AZ68" s="538">
        <f t="shared" si="15"/>
        <v>0.6398014567027116</v>
      </c>
      <c r="BA68" s="538">
        <f t="shared" si="16"/>
        <v>0.74661891223032262</v>
      </c>
      <c r="BB68" s="455">
        <f t="shared" si="17"/>
        <v>0.73579390306799086</v>
      </c>
    </row>
    <row r="69" spans="1:54" ht="15" customHeight="1">
      <c r="A69" s="449">
        <v>2008</v>
      </c>
      <c r="B69" s="413"/>
      <c r="C69" s="411" t="s">
        <v>435</v>
      </c>
      <c r="D69" s="536"/>
      <c r="E69" s="536"/>
      <c r="F69" s="536"/>
      <c r="G69" s="536"/>
      <c r="H69" s="536"/>
      <c r="I69" s="411" t="s">
        <v>245</v>
      </c>
      <c r="J69" s="524" t="s">
        <v>356</v>
      </c>
      <c r="K69" s="592">
        <f>'Comp Group'!C226</f>
        <v>1253300</v>
      </c>
      <c r="L69" s="592">
        <f>'Comp Group'!D226</f>
        <v>1135100</v>
      </c>
      <c r="M69" s="592">
        <f>'Comp Group'!E226</f>
        <v>1350202</v>
      </c>
      <c r="N69" s="592">
        <f>'Comp Group'!F226</f>
        <v>1917502</v>
      </c>
      <c r="O69" s="592">
        <f>'Comp Group'!G226</f>
        <v>1519867</v>
      </c>
      <c r="P69" s="592">
        <f>'Comp Group'!C230</f>
        <v>33700</v>
      </c>
      <c r="Q69" s="592">
        <f>'Comp Group'!D230</f>
        <v>-7600</v>
      </c>
      <c r="R69" s="592">
        <f>'Comp Group'!E230</f>
        <v>165825</v>
      </c>
      <c r="S69" s="592">
        <f>'Comp Group'!F230</f>
        <v>417384</v>
      </c>
      <c r="T69" s="592">
        <f>'Comp Group'!G230</f>
        <v>470009</v>
      </c>
      <c r="U69" s="534">
        <f>'Comp Group'!C229</f>
        <v>1365489</v>
      </c>
      <c r="V69" s="534">
        <f>'Comp Group'!D229</f>
        <v>1279699</v>
      </c>
      <c r="W69" s="534">
        <f>'Comp Group'!E229</f>
        <v>1480371</v>
      </c>
      <c r="X69" s="534">
        <f>'Comp Group'!F229</f>
        <v>1925125</v>
      </c>
      <c r="Y69" s="534">
        <f>'Comp Group'!G229</f>
        <v>2134234</v>
      </c>
      <c r="Z69" s="534">
        <f>'Comp Group'!C231</f>
        <v>3137179</v>
      </c>
      <c r="AA69" s="534">
        <f>'Comp Group'!D231</f>
        <v>3001507</v>
      </c>
      <c r="AB69" s="534">
        <f>'Comp Group'!E231</f>
        <v>2929408</v>
      </c>
      <c r="AC69" s="534">
        <f>'Comp Group'!F231</f>
        <v>3064805</v>
      </c>
      <c r="AD69" s="534">
        <f>'Comp Group'!G231</f>
        <v>2874968</v>
      </c>
      <c r="AE69" s="538">
        <f t="shared" si="22"/>
        <v>0.16348321094356527</v>
      </c>
      <c r="AF69" s="538">
        <f t="shared" si="23"/>
        <v>0.13618615213692226</v>
      </c>
      <c r="AG69" s="538">
        <f t="shared" si="24"/>
        <v>5.660700045879577E-2</v>
      </c>
      <c r="AH69" s="538">
        <f t="shared" si="25"/>
        <v>0.63451792411310948</v>
      </c>
      <c r="AI69" s="538">
        <f t="shared" si="26"/>
        <v>0.3662291169451074</v>
      </c>
      <c r="AJ69" s="538">
        <f t="shared" si="27"/>
        <v>0.11443807162964093</v>
      </c>
      <c r="AK69" s="434"/>
      <c r="AL69" s="434"/>
      <c r="AM69" s="534">
        <f>'Comp Group'!C234</f>
        <v>1771690</v>
      </c>
      <c r="AN69" s="534">
        <f>'Comp Group'!D234</f>
        <v>1721800</v>
      </c>
      <c r="AO69" s="534">
        <f>'Comp Group'!E234</f>
        <v>1449037</v>
      </c>
      <c r="AP69" s="534">
        <f>'Comp Group'!F234</f>
        <v>1139680</v>
      </c>
      <c r="AQ69" s="534">
        <f>'Comp Group'!G234</f>
        <v>740734</v>
      </c>
      <c r="AR69" s="534">
        <f>'Comp Group'!C227</f>
        <v>833348</v>
      </c>
      <c r="AS69" s="534">
        <f>'Comp Group'!D227</f>
        <v>895281</v>
      </c>
      <c r="AT69" s="534">
        <f>'Comp Group'!E227</f>
        <v>999760</v>
      </c>
      <c r="AU69" s="534">
        <f>'Comp Group'!F227</f>
        <v>1389459</v>
      </c>
      <c r="AV69" s="534">
        <f>'Comp Group'!G227</f>
        <v>1268593</v>
      </c>
      <c r="AW69" s="553">
        <f t="shared" si="21"/>
        <v>0.37049628998425815</v>
      </c>
      <c r="AX69" s="553">
        <f t="shared" si="13"/>
        <v>0.30039317460968623</v>
      </c>
      <c r="AY69" s="553">
        <f t="shared" si="14"/>
        <v>0.16586480755381292</v>
      </c>
      <c r="AZ69" s="538">
        <f t="shared" si="15"/>
        <v>0.43852132578806557</v>
      </c>
      <c r="BA69" s="538">
        <f t="shared" si="16"/>
        <v>0.32487496276940042</v>
      </c>
      <c r="BB69" s="455">
        <f t="shared" si="17"/>
        <v>0.14042647900983596</v>
      </c>
    </row>
    <row r="70" spans="1:54" ht="15" customHeight="1">
      <c r="A70" s="449">
        <v>2008</v>
      </c>
      <c r="B70" s="676"/>
      <c r="C70" s="50" t="s">
        <v>487</v>
      </c>
      <c r="D70" s="51"/>
      <c r="E70" s="51"/>
      <c r="F70" s="51"/>
      <c r="G70" s="51"/>
      <c r="H70" s="51"/>
      <c r="I70" s="50" t="s">
        <v>245</v>
      </c>
      <c r="J70" s="524" t="s">
        <v>535</v>
      </c>
      <c r="K70" s="448">
        <f>'Comp Group'!C238*BU8</f>
        <v>136206.06080400001</v>
      </c>
      <c r="L70" s="448">
        <f>'Comp Group'!D238*BV8</f>
        <v>70009.332565999997</v>
      </c>
      <c r="M70" s="448">
        <f>'Comp Group'!E238*BW8</f>
        <v>58587.659</v>
      </c>
      <c r="N70" s="448">
        <f>'Comp Group'!F238*BX8</f>
        <v>114511.276766</v>
      </c>
      <c r="O70" s="448">
        <f>'Comp Group'!G238*BY8</f>
        <v>129536.23291199999</v>
      </c>
      <c r="P70" s="448">
        <f>'Comp Group'!C242*BU8</f>
        <v>-6132.6294480000006</v>
      </c>
      <c r="Q70" s="448">
        <f>'Comp Group'!D242*BV8</f>
        <v>-33785.235661999999</v>
      </c>
      <c r="R70" s="448">
        <f>'Comp Group'!E242*BW8</f>
        <v>-75492.603159999999</v>
      </c>
      <c r="S70" s="448">
        <f>'Comp Group'!F242*BX8</f>
        <v>-67735.813787999999</v>
      </c>
      <c r="T70" s="448">
        <f>'Comp Group'!G242*BY8</f>
        <v>-46202.977791999998</v>
      </c>
      <c r="U70" s="443">
        <f>'Comp Group'!C241*BU8</f>
        <v>82345.793508000002</v>
      </c>
      <c r="V70" s="443">
        <f>'Comp Group'!D241*BV8</f>
        <v>79116.049058000004</v>
      </c>
      <c r="W70" s="443">
        <f>'Comp Group'!E241*BW8</f>
        <v>66816.453079999992</v>
      </c>
      <c r="X70" s="443">
        <f>'Comp Group'!F241*BX8</f>
        <v>55019.90958</v>
      </c>
      <c r="Y70" s="443">
        <f>'Comp Group'!G241*BY8</f>
        <v>57965.387783999999</v>
      </c>
      <c r="Z70" s="443">
        <f>'Comp Group'!C243*BU8</f>
        <v>161262.36522000001</v>
      </c>
      <c r="AA70" s="443">
        <f>'Comp Group'!D243*BV8</f>
        <v>111911.46024499999</v>
      </c>
      <c r="AB70" s="443">
        <f>'Comp Group'!E243*BW8</f>
        <v>97640.240099999995</v>
      </c>
      <c r="AC70" s="443">
        <f>'Comp Group'!F243*BX8</f>
        <v>141393.77841600002</v>
      </c>
      <c r="AD70" s="443">
        <f>'Comp Group'!G243*BY8</f>
        <v>159161.70903199998</v>
      </c>
      <c r="AE70" s="61">
        <f t="shared" si="22"/>
        <v>-0.29028953052213541</v>
      </c>
      <c r="AF70" s="61">
        <f t="shared" si="23"/>
        <v>-0.47905795111233174</v>
      </c>
      <c r="AG70" s="61">
        <f t="shared" si="24"/>
        <v>-0.77317101107783948</v>
      </c>
      <c r="AH70" s="61">
        <f t="shared" si="25"/>
        <v>-0.45656776078619693</v>
      </c>
      <c r="AI70" s="61">
        <f t="shared" si="26"/>
        <v>-0.78421650784928376</v>
      </c>
      <c r="AJ70" s="61">
        <f t="shared" si="27"/>
        <v>-2.4491670381389756</v>
      </c>
      <c r="AK70" s="434"/>
      <c r="AL70" s="434"/>
      <c r="AM70" s="443">
        <f>'Comp Group'!C246*BU8</f>
        <v>78916.571712000004</v>
      </c>
      <c r="AN70" s="443">
        <f>'Comp Group'!D246*BV8</f>
        <v>32795.411186999998</v>
      </c>
      <c r="AO70" s="443">
        <f>'Comp Group'!E246*BW8</f>
        <v>30823.78702</v>
      </c>
      <c r="AP70" s="443">
        <f>'Comp Group'!F246*BX8</f>
        <v>86373.868835999994</v>
      </c>
      <c r="AQ70" s="443">
        <f>'Comp Group'!G246*BY8</f>
        <v>101196.32124799999</v>
      </c>
      <c r="AR70" s="443">
        <f>'Long Term Debt'!C37*BU8</f>
        <v>51449.042699999998</v>
      </c>
      <c r="AS70" s="443">
        <f>'Long Term Debt'!D37*BV8</f>
        <v>27236.821993000001</v>
      </c>
      <c r="AT70" s="443">
        <f>'Long Term Debt'!E37*BW8</f>
        <v>8975.7188299999998</v>
      </c>
      <c r="AU70" s="443">
        <f>'Long Term Debt'!F37*BX8</f>
        <v>9024.5380559999994</v>
      </c>
      <c r="AV70" s="443">
        <f>'Long Term Debt'!G37*BY8</f>
        <v>3308.4505199999999</v>
      </c>
      <c r="AW70" s="553">
        <f t="shared" si="21"/>
        <v>-13.965140936126195</v>
      </c>
      <c r="AX70" s="553">
        <f t="shared" si="13"/>
        <v>-7.5057375089648586</v>
      </c>
      <c r="AY70" s="553">
        <f t="shared" si="14"/>
        <v>-8.4107584684668648</v>
      </c>
      <c r="AZ70" s="538">
        <f t="shared" si="15"/>
        <v>-5.376279211985131</v>
      </c>
      <c r="BA70" s="538">
        <f t="shared" si="16"/>
        <v>-3.3997310083062695</v>
      </c>
      <c r="BB70" s="455">
        <f t="shared" si="17"/>
        <v>-6.5287595675989012</v>
      </c>
    </row>
    <row r="71" spans="1:54" ht="15" customHeight="1">
      <c r="A71" s="449">
        <v>2008</v>
      </c>
      <c r="B71" s="413"/>
      <c r="C71" s="411" t="s">
        <v>435</v>
      </c>
      <c r="D71" s="536"/>
      <c r="E71" s="536"/>
      <c r="F71" s="536"/>
      <c r="G71" s="536"/>
      <c r="H71" s="536"/>
      <c r="I71" s="411" t="s">
        <v>256</v>
      </c>
      <c r="J71" s="524" t="s">
        <v>356</v>
      </c>
      <c r="K71" s="537">
        <f>'Comp Group'!C253</f>
        <v>1253300</v>
      </c>
      <c r="L71" s="537">
        <f>'Comp Group'!D253</f>
        <v>1135100</v>
      </c>
      <c r="M71" s="537">
        <f>'Comp Group'!E253</f>
        <v>1350202</v>
      </c>
      <c r="N71" s="537">
        <f>'Comp Group'!F253</f>
        <v>1917502</v>
      </c>
      <c r="O71" s="537">
        <f>'Comp Group'!G253</f>
        <v>1519867</v>
      </c>
      <c r="P71" s="537">
        <f>'Comp Group'!C257</f>
        <v>33700</v>
      </c>
      <c r="Q71" s="537">
        <f>'Comp Group'!D257</f>
        <v>-7600</v>
      </c>
      <c r="R71" s="537">
        <f>'Comp Group'!E257</f>
        <v>165825</v>
      </c>
      <c r="S71" s="537">
        <f>'Comp Group'!F257</f>
        <v>417384</v>
      </c>
      <c r="T71" s="537">
        <f>'Comp Group'!G257</f>
        <v>470009</v>
      </c>
      <c r="U71" s="534">
        <f>'Comp Group'!C256</f>
        <v>1365489</v>
      </c>
      <c r="V71" s="534">
        <f>'Comp Group'!D256</f>
        <v>1279699</v>
      </c>
      <c r="W71" s="534">
        <f>'Comp Group'!E256</f>
        <v>1480371</v>
      </c>
      <c r="X71" s="534">
        <f>'Comp Group'!F256</f>
        <v>1925125</v>
      </c>
      <c r="Y71" s="534">
        <f>'Comp Group'!G256</f>
        <v>2134234</v>
      </c>
      <c r="Z71" s="534">
        <f>'Comp Group'!C258</f>
        <v>3137179</v>
      </c>
      <c r="AA71" s="534">
        <f>'Comp Group'!D258</f>
        <v>3001507</v>
      </c>
      <c r="AB71" s="534">
        <f>'Comp Group'!E258</f>
        <v>2929408</v>
      </c>
      <c r="AC71" s="534">
        <f>'Comp Group'!F258</f>
        <v>3064805</v>
      </c>
      <c r="AD71" s="534">
        <f>'Comp Group'!G258</f>
        <v>2874968</v>
      </c>
      <c r="AE71" s="538">
        <f t="shared" si="22"/>
        <v>0.16348321094356527</v>
      </c>
      <c r="AF71" s="538">
        <f t="shared" si="23"/>
        <v>0.13618615213692226</v>
      </c>
      <c r="AG71" s="538">
        <f t="shared" si="24"/>
        <v>5.660700045879577E-2</v>
      </c>
      <c r="AH71" s="538">
        <f t="shared" si="25"/>
        <v>0.63451792411310948</v>
      </c>
      <c r="AI71" s="538">
        <f t="shared" si="26"/>
        <v>0.3662291169451074</v>
      </c>
      <c r="AJ71" s="538">
        <f t="shared" si="27"/>
        <v>0.11443807162964093</v>
      </c>
      <c r="AK71" s="434"/>
      <c r="AL71" s="434"/>
      <c r="AM71" s="534">
        <f>'Comp Group'!C261</f>
        <v>1771690</v>
      </c>
      <c r="AN71" s="534">
        <f>'Comp Group'!D261</f>
        <v>1721800</v>
      </c>
      <c r="AO71" s="534">
        <f>'Comp Group'!E261</f>
        <v>1449037</v>
      </c>
      <c r="AP71" s="534">
        <f>'Comp Group'!F261</f>
        <v>1139680</v>
      </c>
      <c r="AQ71" s="534">
        <f>'Comp Group'!G261</f>
        <v>740734</v>
      </c>
      <c r="AR71" s="534">
        <f>'Comp Group'!C254</f>
        <v>833348</v>
      </c>
      <c r="AS71" s="534">
        <f>'Comp Group'!D254</f>
        <v>895281</v>
      </c>
      <c r="AT71" s="534">
        <f>'Comp Group'!E254</f>
        <v>999760</v>
      </c>
      <c r="AU71" s="534">
        <f>'Comp Group'!F254</f>
        <v>1389459</v>
      </c>
      <c r="AV71" s="534">
        <f>'Comp Group'!G254</f>
        <v>1268593</v>
      </c>
      <c r="AW71" s="553">
        <f t="shared" si="21"/>
        <v>0.37049628998425815</v>
      </c>
      <c r="AX71" s="553">
        <f t="shared" si="13"/>
        <v>0.30039317460968623</v>
      </c>
      <c r="AY71" s="553">
        <f t="shared" si="14"/>
        <v>0.16586480755381292</v>
      </c>
      <c r="AZ71" s="538">
        <f t="shared" si="15"/>
        <v>0.43852132578806557</v>
      </c>
      <c r="BA71" s="538">
        <f t="shared" si="16"/>
        <v>0.32487496276940042</v>
      </c>
      <c r="BB71" s="455">
        <f t="shared" si="17"/>
        <v>0.14042647900983596</v>
      </c>
    </row>
    <row r="72" spans="1:54" ht="15" customHeight="1">
      <c r="A72" s="449">
        <v>2008</v>
      </c>
      <c r="B72" s="413"/>
      <c r="C72" s="411" t="s">
        <v>435</v>
      </c>
      <c r="D72" s="536"/>
      <c r="E72" s="536"/>
      <c r="F72" s="536"/>
      <c r="G72" s="536"/>
      <c r="H72" s="536"/>
      <c r="I72" s="411" t="s">
        <v>256</v>
      </c>
      <c r="J72" s="437" t="s">
        <v>530</v>
      </c>
      <c r="K72" s="534">
        <f>'Comp Group'!C265</f>
        <v>608568</v>
      </c>
      <c r="L72" s="534">
        <f>'Comp Group'!D265</f>
        <v>568263</v>
      </c>
      <c r="M72" s="534">
        <f>'Comp Group'!E265</f>
        <v>477695</v>
      </c>
      <c r="N72" s="534">
        <f>'Comp Group'!F265</f>
        <v>582431</v>
      </c>
      <c r="O72" s="534">
        <f>'Comp Group'!G265</f>
        <v>452754</v>
      </c>
      <c r="P72" s="534">
        <f>'Comp Group'!C269</f>
        <v>170688</v>
      </c>
      <c r="Q72" s="534">
        <f>'Comp Group'!D269</f>
        <v>155783</v>
      </c>
      <c r="R72" s="534">
        <f>'Comp Group'!E269</f>
        <v>162470</v>
      </c>
      <c r="S72" s="534">
        <f>'Comp Group'!F269</f>
        <v>113791</v>
      </c>
      <c r="T72" s="534">
        <f>'Comp Group'!G269</f>
        <v>135014</v>
      </c>
      <c r="U72" s="534">
        <f>'Comp Group'!C268</f>
        <v>360161</v>
      </c>
      <c r="V72" s="534">
        <f>'Comp Group'!D268</f>
        <v>308145</v>
      </c>
      <c r="W72" s="534">
        <f>'Comp Group'!E268</f>
        <v>304423</v>
      </c>
      <c r="X72" s="534">
        <f>'Comp Group'!F268</f>
        <v>293254</v>
      </c>
      <c r="Y72" s="534">
        <f>'Comp Group'!G268</f>
        <v>284808</v>
      </c>
      <c r="Z72" s="534">
        <f>'Comp Group'!C270</f>
        <v>1333183</v>
      </c>
      <c r="AA72" s="534">
        <f>'Comp Group'!D270</f>
        <v>1216917</v>
      </c>
      <c r="AB72" s="534">
        <f>'Comp Group'!E270</f>
        <v>1144278</v>
      </c>
      <c r="AC72" s="534">
        <f>'Comp Group'!F270</f>
        <v>954317</v>
      </c>
      <c r="AD72" s="534">
        <f>'Comp Group'!G270</f>
        <v>852640</v>
      </c>
      <c r="AE72" s="538">
        <f t="shared" si="22"/>
        <v>0.15834818915368737</v>
      </c>
      <c r="AF72" s="538">
        <f t="shared" si="23"/>
        <v>0.11923815671312572</v>
      </c>
      <c r="AG72" s="538">
        <f t="shared" si="24"/>
        <v>0.14198472748755112</v>
      </c>
      <c r="AH72" s="538">
        <f t="shared" si="25"/>
        <v>0.23777019340159272</v>
      </c>
      <c r="AI72" s="538">
        <f t="shared" si="26"/>
        <v>0.17213336701645682</v>
      </c>
      <c r="AJ72" s="538">
        <f t="shared" si="27"/>
        <v>0.19344982949458003</v>
      </c>
      <c r="AK72" s="434"/>
      <c r="AL72" s="434"/>
      <c r="AM72" s="534">
        <f>'Comp Group'!C273</f>
        <v>973021</v>
      </c>
      <c r="AN72" s="534">
        <f>'Comp Group'!D273</f>
        <v>908771</v>
      </c>
      <c r="AO72" s="534">
        <f>'Comp Group'!E273</f>
        <v>839856</v>
      </c>
      <c r="AP72" s="534">
        <f>'Comp Group'!F273</f>
        <v>661063</v>
      </c>
      <c r="AQ72" s="534">
        <f>'Comp Group'!G273</f>
        <v>567834</v>
      </c>
      <c r="AR72" s="534">
        <f>'Comp Group'!C266</f>
        <v>142300</v>
      </c>
      <c r="AS72" s="534">
        <f>'Comp Group'!D266</f>
        <v>100402</v>
      </c>
      <c r="AT72" s="534">
        <f>'Comp Group'!E266</f>
        <v>72790</v>
      </c>
      <c r="AU72" s="534">
        <f>'Comp Group'!F266</f>
        <v>55735</v>
      </c>
      <c r="AV72" s="534">
        <f>'Comp Group'!G266</f>
        <v>93672</v>
      </c>
      <c r="AW72" s="553">
        <f t="shared" si="21"/>
        <v>1.4413485353147151</v>
      </c>
      <c r="AX72" s="553">
        <f t="shared" si="13"/>
        <v>2.0416434915223829</v>
      </c>
      <c r="AY72" s="553">
        <f t="shared" si="14"/>
        <v>2.2320373677702983</v>
      </c>
      <c r="AZ72" s="538">
        <f t="shared" si="15"/>
        <v>0.6398014567027116</v>
      </c>
      <c r="BA72" s="538">
        <f t="shared" si="16"/>
        <v>0.74661891223032262</v>
      </c>
      <c r="BB72" s="455">
        <f t="shared" si="17"/>
        <v>0.73579390306799086</v>
      </c>
    </row>
    <row r="73" spans="1:54" ht="15" customHeight="1">
      <c r="A73" s="449">
        <v>2008</v>
      </c>
      <c r="B73" s="413"/>
      <c r="C73" s="411" t="s">
        <v>487</v>
      </c>
      <c r="D73" s="536"/>
      <c r="E73" s="536"/>
      <c r="F73" s="536"/>
      <c r="G73" s="536"/>
      <c r="H73" s="536"/>
      <c r="I73" s="411" t="s">
        <v>256</v>
      </c>
      <c r="J73" s="524" t="s">
        <v>535</v>
      </c>
      <c r="K73" s="534">
        <f>'Comp Group'!C278*BU8</f>
        <v>136206.06080400001</v>
      </c>
      <c r="L73" s="534">
        <f>'Comp Group'!D278*BV8</f>
        <v>70009.332565999997</v>
      </c>
      <c r="M73" s="534">
        <f>'Comp Group'!E278*BW8</f>
        <v>58587.659</v>
      </c>
      <c r="N73" s="534">
        <f>'Comp Group'!F278*BX8</f>
        <v>114511.276766</v>
      </c>
      <c r="O73" s="534">
        <f>'Comp Group'!G278*BY8</f>
        <v>129536.23291199999</v>
      </c>
      <c r="P73" s="534">
        <f>'Comp Group'!C282*BU8</f>
        <v>-6132.6294480000006</v>
      </c>
      <c r="Q73" s="534">
        <f>'Comp Group'!D282*BV8</f>
        <v>-33785.235661999999</v>
      </c>
      <c r="R73" s="534">
        <f>'Comp Group'!E282*BW8</f>
        <v>-75492.603159999999</v>
      </c>
      <c r="S73" s="534">
        <f>'Comp Group'!F282*BX8</f>
        <v>-67735.813787999999</v>
      </c>
      <c r="T73" s="534">
        <f>'Comp Group'!G282*BY8</f>
        <v>-46202.977791999998</v>
      </c>
      <c r="U73" s="534">
        <f>'Comp Group'!C281*BU8</f>
        <v>82345.793508000002</v>
      </c>
      <c r="V73" s="534">
        <f>'Comp Group'!D281*BV8</f>
        <v>79116.049058000004</v>
      </c>
      <c r="W73" s="534">
        <f>'Comp Group'!E281*BW8</f>
        <v>66816.453079999992</v>
      </c>
      <c r="X73" s="534">
        <f>'Comp Group'!F281*BX8</f>
        <v>55019.90958</v>
      </c>
      <c r="Y73" s="534">
        <f>'Comp Group'!G281*BY8</f>
        <v>57965.387783999999</v>
      </c>
      <c r="Z73" s="534">
        <f>'Comp Group'!C283*BU8</f>
        <v>161262.36522000001</v>
      </c>
      <c r="AA73" s="534">
        <f>'Comp Group'!D283*BV8</f>
        <v>111911.46024499999</v>
      </c>
      <c r="AB73" s="534">
        <f>'Comp Group'!E283*BW8</f>
        <v>97640.240099999995</v>
      </c>
      <c r="AC73" s="534">
        <f>'Comp Group'!F283*BX8</f>
        <v>141393.77841600002</v>
      </c>
      <c r="AD73" s="534">
        <f>'Comp Group'!G283*BY8</f>
        <v>159161.70903199998</v>
      </c>
      <c r="AE73" s="538">
        <f t="shared" si="22"/>
        <v>-0.29028953052213541</v>
      </c>
      <c r="AF73" s="538">
        <f t="shared" si="23"/>
        <v>-0.47905795111233174</v>
      </c>
      <c r="AG73" s="538">
        <f t="shared" si="24"/>
        <v>-0.77317101107783948</v>
      </c>
      <c r="AH73" s="538">
        <f t="shared" si="25"/>
        <v>-0.45656776078619693</v>
      </c>
      <c r="AI73" s="538">
        <f t="shared" si="26"/>
        <v>-0.78421650784928376</v>
      </c>
      <c r="AJ73" s="538">
        <f t="shared" si="27"/>
        <v>-2.4491670381389756</v>
      </c>
      <c r="AK73" s="434"/>
      <c r="AL73" s="434"/>
      <c r="AM73" s="534">
        <f>'Comp Group'!C286*BU8</f>
        <v>78916.571712000004</v>
      </c>
      <c r="AN73" s="534">
        <f>'Comp Group'!D286*BV8</f>
        <v>32795.411186999998</v>
      </c>
      <c r="AO73" s="534">
        <f>'Comp Group'!E286*BW8</f>
        <v>30823.78702</v>
      </c>
      <c r="AP73" s="534">
        <f>'Comp Group'!F286*BX8</f>
        <v>86373.868835999994</v>
      </c>
      <c r="AQ73" s="534">
        <f>'Comp Group'!G286*BY8</f>
        <v>101196.32124799999</v>
      </c>
      <c r="AR73" s="534">
        <f>'Comp Group'!C279*BU8</f>
        <v>51449.042699999998</v>
      </c>
      <c r="AS73" s="534">
        <f>'Comp Group'!D279*BV8</f>
        <v>27236.821993000001</v>
      </c>
      <c r="AT73" s="534">
        <f>'Comp Group'!E279*BW8</f>
        <v>8975.7188299999998</v>
      </c>
      <c r="AU73" s="534">
        <f>'Comp Group'!F279*BX8</f>
        <v>9024.5380559999994</v>
      </c>
      <c r="AV73" s="534">
        <f>'Comp Group'!G279*BY8</f>
        <v>3308.4505199999999</v>
      </c>
      <c r="AW73" s="553">
        <f t="shared" si="21"/>
        <v>-13.965140936126195</v>
      </c>
      <c r="AX73" s="553">
        <f t="shared" si="13"/>
        <v>-7.5057375089648586</v>
      </c>
      <c r="AY73" s="553">
        <f t="shared" si="14"/>
        <v>-8.4107584684668648</v>
      </c>
      <c r="AZ73" s="538">
        <f t="shared" si="15"/>
        <v>-5.376279211985131</v>
      </c>
      <c r="BA73" s="538">
        <f t="shared" si="16"/>
        <v>-3.3997310083062695</v>
      </c>
      <c r="BB73" s="455">
        <f t="shared" si="17"/>
        <v>-6.5287595675989012</v>
      </c>
    </row>
    <row r="74" spans="1:54" ht="15" customHeight="1">
      <c r="A74" s="449">
        <v>2008</v>
      </c>
      <c r="B74" s="676"/>
      <c r="C74" s="50" t="s">
        <v>487</v>
      </c>
      <c r="D74" s="51"/>
      <c r="E74" s="51"/>
      <c r="F74" s="51"/>
      <c r="G74" s="51"/>
      <c r="H74" s="51"/>
      <c r="I74" s="50" t="s">
        <v>256</v>
      </c>
      <c r="J74" s="524" t="s">
        <v>517</v>
      </c>
      <c r="K74" s="448">
        <f>'Comp Group'!C290*BU8</f>
        <v>81997.174116000009</v>
      </c>
      <c r="L74" s="448">
        <f>'Comp Group'!D290*BV8</f>
        <v>53502.042221000003</v>
      </c>
      <c r="M74" s="448">
        <f>'Comp Group'!E290*BW8</f>
        <v>35584.293939999996</v>
      </c>
      <c r="N74" s="448">
        <f>'Comp Group'!F290*BX8</f>
        <v>30210.520295999999</v>
      </c>
      <c r="O74" s="448">
        <f>'Comp Group'!G290*BY8</f>
        <v>22586.441776</v>
      </c>
      <c r="P74" s="448">
        <f>'Comp Group'!C294*BU8</f>
        <v>-3307.062132</v>
      </c>
      <c r="Q74" s="448">
        <f>'Comp Group'!D294*BV8</f>
        <v>70365.669376999998</v>
      </c>
      <c r="R74" s="448">
        <f>'Comp Group'!E294*BW8</f>
        <v>12182.94181</v>
      </c>
      <c r="S74" s="448">
        <f>'Comp Group'!F294*BX8</f>
        <v>-1891.888078</v>
      </c>
      <c r="T74" s="448">
        <f>'Comp Group'!G294*BY8</f>
        <v>21748.506311999998</v>
      </c>
      <c r="U74" s="443">
        <f>'Comp Group'!C293*BU8</f>
        <v>314030.347488</v>
      </c>
      <c r="V74" s="443">
        <f>'Comp Group'!D293*BV8</f>
        <v>245865.110506</v>
      </c>
      <c r="W74" s="443">
        <f>'Comp Group'!E293*BW8</f>
        <v>98145.432839999994</v>
      </c>
      <c r="X74" s="443">
        <f>'Comp Group'!F293*BX8</f>
        <v>91315.107260000004</v>
      </c>
      <c r="Y74" s="443">
        <f>'Comp Group'!G293*BY8</f>
        <v>137138.05462399998</v>
      </c>
      <c r="Z74" s="443">
        <f>'Comp Group'!C295*BU8</f>
        <v>501247.89079199999</v>
      </c>
      <c r="AA74" s="443">
        <f>'Comp Group'!D295*BV8</f>
        <v>375161.20175200002</v>
      </c>
      <c r="AB74" s="443">
        <f>'Comp Group'!E295*BW8</f>
        <v>154980.25516999999</v>
      </c>
      <c r="AC74" s="443">
        <f>'Comp Group'!F295*BX8</f>
        <v>132590.73671200001</v>
      </c>
      <c r="AD74" s="443">
        <f>'Comp Group'!G295*BY8</f>
        <v>176900.89007199998</v>
      </c>
      <c r="AE74" s="61">
        <f t="shared" si="22"/>
        <v>0.12294175740522387</v>
      </c>
      <c r="AF74" s="61">
        <f t="shared" si="23"/>
        <v>-1.4268629354623506E-2</v>
      </c>
      <c r="AG74" s="61">
        <f t="shared" si="24"/>
        <v>7.8609638348035776E-2</v>
      </c>
      <c r="AH74" s="61">
        <f t="shared" si="25"/>
        <v>0.54695797364638654</v>
      </c>
      <c r="AI74" s="61">
        <f t="shared" si="26"/>
        <v>-4.58356745549501E-2</v>
      </c>
      <c r="AJ74" s="61">
        <f t="shared" si="27"/>
        <v>0.21435699647765577</v>
      </c>
      <c r="AK74" s="434"/>
      <c r="AL74" s="434"/>
      <c r="AM74" s="443">
        <f>'Comp Group'!C298*BU8</f>
        <v>187217.54330399999</v>
      </c>
      <c r="AN74" s="443">
        <f>'Comp Group'!D298*BV8</f>
        <v>129296.091246</v>
      </c>
      <c r="AO74" s="443">
        <f>'Comp Group'!E298*BW8</f>
        <v>56834.822329999995</v>
      </c>
      <c r="AP74" s="443">
        <f>'Comp Group'!F298*BX8</f>
        <v>41275.449666</v>
      </c>
      <c r="AQ74" s="443">
        <f>'Comp Group'!G298*BY8</f>
        <v>39762.664335999994</v>
      </c>
      <c r="AR74" s="443">
        <f>'Long Term Debt'!C38*BU8</f>
        <v>984769.59279600007</v>
      </c>
      <c r="AS74" s="443">
        <f>'Long Term Debt'!D38*BV8</f>
        <v>679496.19654699997</v>
      </c>
      <c r="AT74" s="443">
        <f>'Long Term Debt'!E38*BW8</f>
        <v>532197.86424999998</v>
      </c>
      <c r="AU74" s="443">
        <f>'Long Term Debt'!F38*BX8</f>
        <v>390226.23214400001</v>
      </c>
      <c r="AV74" s="443">
        <f>'Long Term Debt'!G38*BY8</f>
        <v>387822.95243199996</v>
      </c>
      <c r="AW74" s="553">
        <f t="shared" si="21"/>
        <v>5.6078440369805943E-2</v>
      </c>
      <c r="AX74" s="553">
        <f t="shared" si="13"/>
        <v>-4.8481827262239555E-3</v>
      </c>
      <c r="AY74" s="553">
        <f t="shared" si="14"/>
        <v>2.2891752538633004E-2</v>
      </c>
      <c r="AZ74" s="538">
        <f t="shared" si="15"/>
        <v>0.16641534700217805</v>
      </c>
      <c r="BA74" s="538">
        <f t="shared" si="16"/>
        <v>-1.760759180583412E-2</v>
      </c>
      <c r="BB74" s="455">
        <f t="shared" si="17"/>
        <v>9.3106458984353907E-2</v>
      </c>
    </row>
    <row r="75" spans="1:54" ht="15" customHeight="1">
      <c r="A75" s="449">
        <v>2006</v>
      </c>
      <c r="B75" s="676"/>
      <c r="C75" s="50" t="s">
        <v>487</v>
      </c>
      <c r="D75" s="51"/>
      <c r="E75" s="51"/>
      <c r="F75" s="51"/>
      <c r="G75" s="51"/>
      <c r="H75" s="51"/>
      <c r="I75" s="50" t="s">
        <v>257</v>
      </c>
      <c r="J75" s="524" t="s">
        <v>536</v>
      </c>
      <c r="K75" s="448">
        <f>'Comp Group'!C305*BW8</f>
        <v>2036268.65</v>
      </c>
      <c r="L75" s="448">
        <f>'Comp Group'!D305*BX8</f>
        <v>2543792.1140000001</v>
      </c>
      <c r="M75" s="448">
        <f>'Comp Group'!E305*BY8</f>
        <v>2367505.6319999998</v>
      </c>
      <c r="N75" s="448">
        <f>'Comp Group'!F305*BZ8</f>
        <v>2079202.452</v>
      </c>
      <c r="O75" s="448">
        <f>'Comp Group'!G305*CA8</f>
        <v>1588164.6459999999</v>
      </c>
      <c r="P75" s="448">
        <f>'Comp Group'!C309*BW8</f>
        <v>63109.15</v>
      </c>
      <c r="Q75" s="448">
        <f>'Comp Group'!D309*BX8</f>
        <v>-162886.11600000001</v>
      </c>
      <c r="R75" s="448">
        <f>'Comp Group'!E309*BY8</f>
        <v>108656.12</v>
      </c>
      <c r="S75" s="448">
        <f>'Comp Group'!F309*BZ8</f>
        <v>334539.44400000002</v>
      </c>
      <c r="T75" s="448">
        <f>'Comp Group'!G309*CA8</f>
        <v>135897.386</v>
      </c>
      <c r="U75" s="443">
        <f>'Comp Group'!C308*BW8</f>
        <v>1589072.42</v>
      </c>
      <c r="V75" s="443">
        <f>'Comp Group'!D308*BW8</f>
        <v>2021090.5</v>
      </c>
      <c r="W75" s="443">
        <f>'Comp Group'!E308*BX8</f>
        <v>1982680.0079999999</v>
      </c>
      <c r="X75" s="443">
        <f>'Comp Group'!F308*BY8</f>
        <v>1947254.5599999998</v>
      </c>
      <c r="Y75" s="443">
        <f>'Comp Group'!G308*BZ8</f>
        <v>735893.11199999996</v>
      </c>
      <c r="Z75" s="443">
        <f>'Comp Group'!C310*BW8</f>
        <v>2431699.4</v>
      </c>
      <c r="AA75" s="443">
        <f>'Comp Group'!D310*BX8</f>
        <v>2946872.3259999999</v>
      </c>
      <c r="AB75" s="443">
        <f>'Comp Group'!E310*BY8</f>
        <v>2736251.9919999996</v>
      </c>
      <c r="AC75" s="443">
        <f>'Comp Group'!F310*BZ8</f>
        <v>2583431.2919999999</v>
      </c>
      <c r="AD75" s="443">
        <f>'Comp Group'!G310*CA8</f>
        <v>1233805.2149999999</v>
      </c>
      <c r="AE75" s="61">
        <f t="shared" si="22"/>
        <v>0.1101449275362319</v>
      </c>
      <c r="AF75" s="61">
        <f t="shared" si="23"/>
        <v>0.12949422925856549</v>
      </c>
      <c r="AG75" s="61">
        <f t="shared" si="24"/>
        <v>3.9709836783190545E-2</v>
      </c>
      <c r="AH75" s="61">
        <f t="shared" si="25"/>
        <v>0.27134430301148715</v>
      </c>
      <c r="AI75" s="61">
        <f t="shared" si="26"/>
        <v>0.41458696072741347</v>
      </c>
      <c r="AJ75" s="61">
        <f t="shared" si="27"/>
        <v>0.12794680636711667</v>
      </c>
      <c r="AK75" s="434"/>
      <c r="AL75" s="434"/>
      <c r="AM75" s="443">
        <f>'Comp Group'!C313*BW8</f>
        <v>842626.98</v>
      </c>
      <c r="AN75" s="443">
        <f>'Comp Group'!D313*BX8</f>
        <v>672579.42599999998</v>
      </c>
      <c r="AO75" s="443">
        <f>'Comp Group'!E313*BY8</f>
        <v>849228.85599999991</v>
      </c>
      <c r="AP75" s="443">
        <f>'Comp Group'!F313*BZ8</f>
        <v>806922.25199999998</v>
      </c>
      <c r="AQ75" s="443">
        <f>'Comp Group'!G313*CA8</f>
        <v>500830.06899999996</v>
      </c>
      <c r="AR75" s="443">
        <f>'Long Term Debt'!C39*BW8</f>
        <v>900303.95</v>
      </c>
      <c r="AS75" s="443">
        <f>'Long Term Debt'!D39*BX8</f>
        <v>1274682.74</v>
      </c>
      <c r="AT75" s="443">
        <f>'Long Term Debt'!E39*BY8</f>
        <v>610185.39199999999</v>
      </c>
      <c r="AU75" s="443">
        <f>'Long Term Debt'!F39*BZ8</f>
        <v>476441.61599999998</v>
      </c>
      <c r="AV75" s="443">
        <f>'Long Term Debt'!G39*CA8</f>
        <v>303203.55</v>
      </c>
      <c r="AW75" s="553">
        <f t="shared" si="21"/>
        <v>0.4482051282051282</v>
      </c>
      <c r="AX75" s="553">
        <f t="shared" si="13"/>
        <v>0.70216251638269989</v>
      </c>
      <c r="AY75" s="553">
        <f t="shared" si="14"/>
        <v>0.17807066741447</v>
      </c>
      <c r="AZ75" s="538">
        <f t="shared" si="15"/>
        <v>0.3765826174881336</v>
      </c>
      <c r="BA75" s="538">
        <f t="shared" si="16"/>
        <v>0.61790826154384415</v>
      </c>
      <c r="BB75" s="455">
        <f t="shared" si="17"/>
        <v>0.16303959430450327</v>
      </c>
    </row>
    <row r="76" spans="1:54" ht="15" customHeight="1">
      <c r="A76" s="535">
        <v>2006</v>
      </c>
      <c r="B76" s="676"/>
      <c r="C76" s="411" t="s">
        <v>487</v>
      </c>
      <c r="D76" s="536"/>
      <c r="E76" s="536"/>
      <c r="F76" s="536"/>
      <c r="G76" s="536"/>
      <c r="H76" s="536"/>
      <c r="I76" s="411" t="s">
        <v>257</v>
      </c>
      <c r="J76" s="524" t="s">
        <v>537</v>
      </c>
      <c r="K76" s="537">
        <f>'Comp Group'!C317*BW8</f>
        <v>278174.74815</v>
      </c>
      <c r="L76" s="537">
        <f>'Comp Group'!D317*BX8</f>
        <v>319679.64403199998</v>
      </c>
      <c r="M76" s="537">
        <f>'Comp Group'!E317*BY8</f>
        <v>317554.95407199999</v>
      </c>
      <c r="N76" s="537">
        <f>'Comp Group'!F317*BZ8</f>
        <v>257533.86532799999</v>
      </c>
      <c r="O76" s="537">
        <f>'Comp Group'!G317*CA8</f>
        <v>235523.69748099998</v>
      </c>
      <c r="P76" s="447">
        <f>'Comp Group'!C321*BW8</f>
        <v>6026.5244000000002</v>
      </c>
      <c r="Q76" s="447">
        <f>'Comp Group'!D321*BX8</f>
        <v>1690.7075440000001</v>
      </c>
      <c r="R76" s="447">
        <f>'Comp Group'!E321*BY8</f>
        <v>1546.3391439999998</v>
      </c>
      <c r="S76" s="447">
        <f>'Comp Group'!F321*BZ8</f>
        <v>3213.4831799999997</v>
      </c>
      <c r="T76" s="447">
        <f>'Comp Group'!G321*CA8</f>
        <v>6938.2301579999994</v>
      </c>
      <c r="U76" s="443">
        <f>'Comp Group'!C320</f>
        <v>965521</v>
      </c>
      <c r="V76" s="443">
        <f>'Comp Group'!D320*BW8</f>
        <v>168740.28664999999</v>
      </c>
      <c r="W76" s="443">
        <f>'Comp Group'!E320*BX8</f>
        <v>199128.27681000001</v>
      </c>
      <c r="X76" s="443">
        <f>'Comp Group'!F320*BY8</f>
        <v>164816.61840799998</v>
      </c>
      <c r="Y76" s="443">
        <f>'Comp Group'!G320*BZ8</f>
        <v>112798.48923599999</v>
      </c>
      <c r="Z76" s="443">
        <f>'Comp Group'!C322*BW8</f>
        <v>252848.80659999998</v>
      </c>
      <c r="AA76" s="443">
        <f>'Comp Group'!D322*BX8</f>
        <v>295677.49388800003</v>
      </c>
      <c r="AB76" s="443">
        <f>'Comp Group'!E322*BY8</f>
        <v>290362.34836799995</v>
      </c>
      <c r="AC76" s="443">
        <f>'Comp Group'!F322*BZ8</f>
        <v>242045.76621599999</v>
      </c>
      <c r="AD76" s="443">
        <f>'Comp Group'!G322*CA8</f>
        <v>203218.52539599998</v>
      </c>
      <c r="AE76" s="61">
        <f t="shared" ref="AE76:AE114" si="28">T76/AD76</f>
        <v>3.4141720812508991E-2</v>
      </c>
      <c r="AF76" s="61">
        <f t="shared" ref="AF76:AF114" si="29">S76/AC76</f>
        <v>1.3276345338477474E-2</v>
      </c>
      <c r="AG76" s="61">
        <f t="shared" ref="AG76:AG114" si="30">R76/AB76</f>
        <v>5.3255497921521067E-3</v>
      </c>
      <c r="AH76" s="61">
        <f t="shared" ref="AH76:AH114" si="31">T76/AQ76</f>
        <v>7.6355628108973866E-2</v>
      </c>
      <c r="AI76" s="61">
        <f t="shared" ref="AI76:AI114" si="32">S76/AP76</f>
        <v>3.5050647632442408E-2</v>
      </c>
      <c r="AJ76" s="61">
        <f t="shared" ref="AJ76:AJ114" si="33">R76/AO76</f>
        <v>1.5334388770958158E-2</v>
      </c>
      <c r="AK76" s="434"/>
      <c r="AL76" s="434"/>
      <c r="AM76" s="443">
        <f>'Comp Group'!C325*BW8</f>
        <v>98587.516430000003</v>
      </c>
      <c r="AN76" s="443">
        <f>'Comp Group'!D325*BX8</f>
        <v>105797.22913200001</v>
      </c>
      <c r="AO76" s="443">
        <f>'Comp Group'!E325*BY8</f>
        <v>100841.26384799999</v>
      </c>
      <c r="AP76" s="443">
        <f>'Comp Group'!F325*BZ8</f>
        <v>91681.135643999994</v>
      </c>
      <c r="AQ76" s="443">
        <f>'Comp Group'!G325*CA8</f>
        <v>90867.305132999987</v>
      </c>
      <c r="AR76" s="443">
        <f>'Long Term Debt'!C40*BW8</f>
        <v>79325.804999999993</v>
      </c>
      <c r="AS76" s="443">
        <f>'Long Term Debt'!D40*BX8</f>
        <v>70946.611961999995</v>
      </c>
      <c r="AT76" s="443">
        <f>'Long Term Debt'!E40*BY8</f>
        <v>71334.197231999991</v>
      </c>
      <c r="AU76" s="443">
        <f>'Long Term Debt'!F40*BZ8</f>
        <v>42864.134639999997</v>
      </c>
      <c r="AV76" s="443">
        <f>'Long Term Debt'!G40*CA8</f>
        <v>28263.857485999997</v>
      </c>
      <c r="AW76" s="553">
        <f t="shared" si="21"/>
        <v>0.24548065179838702</v>
      </c>
      <c r="AX76" s="553">
        <f t="shared" si="13"/>
        <v>7.4969043630271681E-2</v>
      </c>
      <c r="AY76" s="553">
        <f t="shared" si="14"/>
        <v>2.16773890224186E-2</v>
      </c>
      <c r="AZ76" s="538">
        <f t="shared" si="15"/>
        <v>0.17002401863706068</v>
      </c>
      <c r="BA76" s="538">
        <f t="shared" si="16"/>
        <v>6.0700833400930083E-2</v>
      </c>
      <c r="BB76" s="455">
        <f t="shared" si="17"/>
        <v>1.954505198399005E-2</v>
      </c>
    </row>
    <row r="77" spans="1:54" ht="15" customHeight="1">
      <c r="A77" s="680">
        <v>2006</v>
      </c>
      <c r="B77" s="681"/>
      <c r="C77" s="53" t="s">
        <v>487</v>
      </c>
      <c r="D77" s="751"/>
      <c r="E77" s="751"/>
      <c r="F77" s="751"/>
      <c r="G77" s="751"/>
      <c r="H77" s="751"/>
      <c r="I77" s="53" t="s">
        <v>257</v>
      </c>
      <c r="J77" s="740" t="s">
        <v>538</v>
      </c>
      <c r="K77" s="730">
        <f>'Comp Group'!C329*BW8</f>
        <v>97897.150259999995</v>
      </c>
      <c r="L77" s="730">
        <f>'Comp Group'!D329*BX8</f>
        <v>89372.699315999998</v>
      </c>
      <c r="M77" s="730">
        <f>'Comp Group'!E329*BY8</f>
        <v>53980.018191999996</v>
      </c>
      <c r="N77" s="730">
        <f>'Comp Group'!F329*BZ8</f>
        <v>33373.392672000002</v>
      </c>
      <c r="O77" s="730">
        <f>'Comp Group'!G329*CA8</f>
        <v>23938.153505999999</v>
      </c>
      <c r="P77" s="730">
        <f>'Comp Group'!C333*BW8</f>
        <v>4546.5748899999999</v>
      </c>
      <c r="Q77" s="730">
        <f>'Comp Group'!D333*BX8</f>
        <v>15767.951344000001</v>
      </c>
      <c r="R77" s="730">
        <f>'Comp Group'!E333*BY8</f>
        <v>2133.4244159999998</v>
      </c>
      <c r="S77" s="730">
        <f>'Comp Group'!F333*BZ8</f>
        <v>-2839.760628</v>
      </c>
      <c r="T77" s="730">
        <f>'Comp Group'!G333*CA8</f>
        <v>435.21371099999999</v>
      </c>
      <c r="U77" s="756">
        <f>'Comp Group'!C332</f>
        <v>218788</v>
      </c>
      <c r="V77" s="756">
        <f>'Comp Group'!D332*BW8</f>
        <v>32765.791369999999</v>
      </c>
      <c r="W77" s="756">
        <f>'Comp Group'!E332*BX8</f>
        <v>14663.705732</v>
      </c>
      <c r="X77" s="756">
        <f>'Comp Group'!F332*BY8</f>
        <v>10747.202496</v>
      </c>
      <c r="Y77" s="756">
        <f>'Comp Group'!G332*BZ8</f>
        <v>5550.4199399999998</v>
      </c>
      <c r="Z77" s="756">
        <f>'Comp Group'!C334*BW8</f>
        <v>131285.56531999999</v>
      </c>
      <c r="AA77" s="756">
        <f>'Comp Group'!D334*BX8</f>
        <v>144421.01508400001</v>
      </c>
      <c r="AB77" s="756">
        <f>'Comp Group'!E334*BY8</f>
        <v>105016.56775999999</v>
      </c>
      <c r="AC77" s="756">
        <f>'Comp Group'!F334*BZ8</f>
        <v>87776.094024000005</v>
      </c>
      <c r="AD77" s="756">
        <f>'Comp Group'!G334*CA8</f>
        <v>50612.446944999996</v>
      </c>
      <c r="AE77" s="766">
        <f t="shared" si="28"/>
        <v>8.5989462527457337E-3</v>
      </c>
      <c r="AF77" s="766">
        <f t="shared" si="29"/>
        <v>-3.235232393940364E-2</v>
      </c>
      <c r="AG77" s="766">
        <f t="shared" si="30"/>
        <v>2.0315122285043914E-2</v>
      </c>
      <c r="AH77" s="766">
        <f t="shared" si="31"/>
        <v>9.6533885152612527E-3</v>
      </c>
      <c r="AI77" s="766">
        <f t="shared" si="32"/>
        <v>-3.6420605842192727E-2</v>
      </c>
      <c r="AJ77" s="766">
        <f t="shared" si="33"/>
        <v>2.3428691691345593E-2</v>
      </c>
      <c r="AK77" s="751"/>
      <c r="AL77" s="751"/>
      <c r="AM77" s="756">
        <f>'Comp Group'!C337*BW8</f>
        <v>96329.646789999999</v>
      </c>
      <c r="AN77" s="756">
        <f>'Comp Group'!D337*BX8</f>
        <v>107550.322418</v>
      </c>
      <c r="AO77" s="756">
        <f>'Comp Group'!E337*BY8</f>
        <v>91060.330815999987</v>
      </c>
      <c r="AP77" s="756">
        <f>'Comp Group'!F337*BZ8</f>
        <v>77971.262759999998</v>
      </c>
      <c r="AQ77" s="756">
        <f>'Comp Group'!G337*CA8</f>
        <v>45084.035549999993</v>
      </c>
      <c r="AR77" s="756">
        <f>'Long Term Debt'!C41*BW8</f>
        <v>0</v>
      </c>
      <c r="AS77" s="756">
        <f>'Long Term Debt'!D41*BX8</f>
        <v>0</v>
      </c>
      <c r="AT77" s="756">
        <f>'Long Term Debt'!E41*BY8</f>
        <v>0</v>
      </c>
      <c r="AU77" s="756">
        <f>'Long Term Debt'!F41*BZ8</f>
        <v>55.418340000000001</v>
      </c>
      <c r="AV77" s="756">
        <f>'Long Term Debt'!G41*CA8</f>
        <v>0</v>
      </c>
      <c r="AW77" s="743" t="e">
        <f t="shared" si="21"/>
        <v>#DIV/0!</v>
      </c>
      <c r="AX77" s="743">
        <f t="shared" si="13"/>
        <v>-51.242253521126763</v>
      </c>
      <c r="AY77" s="743" t="e">
        <f t="shared" si="14"/>
        <v>#DIV/0!</v>
      </c>
      <c r="AZ77" s="766" t="e">
        <f t="shared" si="15"/>
        <v>#DIV/0!</v>
      </c>
      <c r="BA77" s="766">
        <f t="shared" si="16"/>
        <v>-6.2394072527475544</v>
      </c>
      <c r="BB77" s="760" t="e">
        <f t="shared" si="17"/>
        <v>#DIV/0!</v>
      </c>
    </row>
    <row r="78" spans="1:54" ht="15" customHeight="1">
      <c r="A78" s="449">
        <v>2005</v>
      </c>
      <c r="B78" s="676"/>
      <c r="C78" s="50" t="s">
        <v>487</v>
      </c>
      <c r="D78" s="51"/>
      <c r="E78" s="51"/>
      <c r="F78" s="51"/>
      <c r="G78" s="51"/>
      <c r="H78" s="51"/>
      <c r="I78" s="411" t="s">
        <v>258</v>
      </c>
      <c r="J78" s="524" t="s">
        <v>539</v>
      </c>
      <c r="K78" s="448">
        <f>'Comp Group'!C344*BX8</f>
        <v>147154.12185600001</v>
      </c>
      <c r="L78" s="448">
        <f>'Comp Group'!D344*BY8</f>
        <v>108664.16226399998</v>
      </c>
      <c r="M78" s="448">
        <f>'Comp Group'!E344*BZ8</f>
        <v>61357.156643999995</v>
      </c>
      <c r="N78" s="448">
        <f>'Comp Group'!F344*CA8</f>
        <v>41539.819283999997</v>
      </c>
      <c r="O78" s="448">
        <f>'Comp Group'!G344*CB8</f>
        <v>35739.236771999997</v>
      </c>
      <c r="P78" s="448">
        <f>'Comp Group'!C348*BX8</f>
        <v>7090.580054</v>
      </c>
      <c r="Q78" s="448">
        <f>'Comp Group'!D348*BY8</f>
        <v>5636.2581679999994</v>
      </c>
      <c r="R78" s="448">
        <f>'Comp Group'!E348*BZ8</f>
        <v>5965.6672200000003</v>
      </c>
      <c r="S78" s="448">
        <f>'Comp Group'!F348*CA8</f>
        <v>1284.4946289999998</v>
      </c>
      <c r="T78" s="448">
        <f>'Comp Group'!G348*CB8</f>
        <v>1164.915432</v>
      </c>
      <c r="U78" s="443">
        <f>'Comp Group'!C347*BX8</f>
        <v>50678.617038000004</v>
      </c>
      <c r="V78" s="443">
        <f>'Comp Group'!D347*BY8</f>
        <v>39804.07344</v>
      </c>
      <c r="W78" s="443">
        <f>'Comp Group'!E347*BZ8</f>
        <v>20407.530515999999</v>
      </c>
      <c r="X78" s="443">
        <f>'Comp Group'!F347*CA8</f>
        <v>13283.42527</v>
      </c>
      <c r="Y78" s="443">
        <f>'Comp Group'!G347*CB8</f>
        <v>10171.008054</v>
      </c>
      <c r="Z78" s="443">
        <f>'Comp Group'!C349*BX8</f>
        <v>123879.74544</v>
      </c>
      <c r="AA78" s="443">
        <f>'Comp Group'!D349*BY8</f>
        <v>86125.289623999997</v>
      </c>
      <c r="AB78" s="443">
        <f>'Comp Group'!E349*BZ8</f>
        <v>57205.620492000002</v>
      </c>
      <c r="AC78" s="443">
        <f>'Comp Group'!F349*CA8</f>
        <v>36933.924125999998</v>
      </c>
      <c r="AD78" s="443">
        <f>'Comp Group'!G349*CB8</f>
        <v>26532.450449999997</v>
      </c>
      <c r="AE78" s="61">
        <f t="shared" si="28"/>
        <v>4.3905308866788069E-2</v>
      </c>
      <c r="AF78" s="61">
        <f t="shared" si="29"/>
        <v>3.4778179123830688E-2</v>
      </c>
      <c r="AG78" s="61">
        <f t="shared" si="30"/>
        <v>0.10428463442388981</v>
      </c>
      <c r="AH78" s="61">
        <f t="shared" si="31"/>
        <v>7.1198822439077589E-2</v>
      </c>
      <c r="AI78" s="61">
        <f t="shared" si="32"/>
        <v>5.4311523694314412E-2</v>
      </c>
      <c r="AJ78" s="61">
        <f t="shared" si="33"/>
        <v>0.16211893671358638</v>
      </c>
      <c r="AK78" s="434"/>
      <c r="AL78" s="434"/>
      <c r="AM78" s="443">
        <f>'Comp Group'!C352*BX8</f>
        <v>73201.128402000002</v>
      </c>
      <c r="AN78" s="443">
        <f>'Comp Group'!D352*BY8</f>
        <v>46320.873959999997</v>
      </c>
      <c r="AO78" s="443">
        <f>'Comp Group'!E352*BZ8</f>
        <v>36798.089975999996</v>
      </c>
      <c r="AP78" s="443">
        <f>'Comp Group'!F352*CA8</f>
        <v>23650.498855999998</v>
      </c>
      <c r="AQ78" s="443">
        <f>'Comp Group'!G352*CB8</f>
        <v>16361.442395999999</v>
      </c>
      <c r="AR78" s="443">
        <f>'Long Term Debt'!C42*BX8</f>
        <v>7163.7529560000003</v>
      </c>
      <c r="AS78" s="443">
        <f>'Long Term Debt'!D42*BY8</f>
        <v>9093.2339039999988</v>
      </c>
      <c r="AT78" s="443">
        <f>'Long Term Debt'!E42*BZ8</f>
        <v>6593.22138</v>
      </c>
      <c r="AU78" s="443">
        <f>'Long Term Debt'!F42*CA8</f>
        <v>2516.900443</v>
      </c>
      <c r="AV78" s="443">
        <f>'Long Term Debt'!G42*CB8</f>
        <v>0</v>
      </c>
      <c r="AW78" s="553" t="e">
        <f t="shared" si="21"/>
        <v>#DIV/0!</v>
      </c>
      <c r="AX78" s="553">
        <f t="shared" si="13"/>
        <v>0.51034780997096429</v>
      </c>
      <c r="AY78" s="553">
        <f t="shared" si="14"/>
        <v>0.90481827867882092</v>
      </c>
      <c r="AZ78" s="538" t="e">
        <f t="shared" si="15"/>
        <v>#DIV/0!</v>
      </c>
      <c r="BA78" s="538">
        <f t="shared" si="16"/>
        <v>0.21832669599223473</v>
      </c>
      <c r="BB78" s="455">
        <f t="shared" si="17"/>
        <v>0.42706946701136106</v>
      </c>
    </row>
    <row r="79" spans="1:54" ht="15" customHeight="1">
      <c r="A79" s="449">
        <v>2005</v>
      </c>
      <c r="B79" s="676"/>
      <c r="C79" s="50" t="s">
        <v>487</v>
      </c>
      <c r="D79" s="51"/>
      <c r="E79" s="51"/>
      <c r="F79" s="51"/>
      <c r="G79" s="51"/>
      <c r="H79" s="51"/>
      <c r="I79" s="411" t="s">
        <v>258</v>
      </c>
      <c r="J79" s="524" t="s">
        <v>540</v>
      </c>
      <c r="K79" s="447">
        <f>'Comp Group'!C356*BX8</f>
        <v>2655043.6908</v>
      </c>
      <c r="L79" s="447">
        <f>'Comp Group'!D356*BY8</f>
        <v>2260440.8536</v>
      </c>
      <c r="M79" s="447">
        <f>'Comp Group'!E356*BZ8</f>
        <v>1365476.676</v>
      </c>
      <c r="N79" s="447">
        <f>'Comp Group'!F356*CA8</f>
        <v>541490.4425</v>
      </c>
      <c r="O79" s="447">
        <f>'Comp Group'!G356*CB8</f>
        <v>679206.94559999998</v>
      </c>
      <c r="P79" s="447">
        <f>'Comp Group'!C360*BX8</f>
        <v>77505.744600000005</v>
      </c>
      <c r="Q79" s="447">
        <f>'Comp Group'!D360*BY8</f>
        <v>72414.598399999988</v>
      </c>
      <c r="R79" s="447">
        <f>'Comp Group'!E360*BZ8</f>
        <v>-6775.0871999999999</v>
      </c>
      <c r="S79" s="447">
        <f>'Comp Group'!F360*CA8</f>
        <v>-23789.816999999999</v>
      </c>
      <c r="T79" s="447">
        <f>'Comp Group'!G360*CB8</f>
        <v>-32036.660999999996</v>
      </c>
      <c r="U79" s="443">
        <f>'Comp Group'!C359*BX8</f>
        <v>975123.30680000002</v>
      </c>
      <c r="V79" s="443">
        <f>'Comp Group'!D359*BY8</f>
        <v>791256.11039999989</v>
      </c>
      <c r="W79" s="443">
        <f>'Comp Group'!E359*BZ8</f>
        <v>732365.07120000001</v>
      </c>
      <c r="X79" s="443">
        <f>'Comp Group'!F359*CA8</f>
        <v>255110.80229999998</v>
      </c>
      <c r="Y79" s="443">
        <f>'Comp Group'!G359*CB8</f>
        <v>265718.45879999996</v>
      </c>
      <c r="Z79" s="443">
        <f>'Comp Group'!C361*BX8</f>
        <v>1489005.6306</v>
      </c>
      <c r="AA79" s="443">
        <f>'Comp Group'!D361*BY8</f>
        <v>1150659.7552</v>
      </c>
      <c r="AB79" s="443">
        <f>'Comp Group'!E361*BZ8</f>
        <v>1006178.5032</v>
      </c>
      <c r="AC79" s="443">
        <f>'Comp Group'!F361*CA8</f>
        <v>268560.60079999996</v>
      </c>
      <c r="AD79" s="443">
        <f>'Comp Group'!G361*CB8</f>
        <v>383756.08679999999</v>
      </c>
      <c r="AE79" s="61">
        <f t="shared" si="28"/>
        <v>-8.3481831564267445E-2</v>
      </c>
      <c r="AF79" s="61">
        <f t="shared" si="29"/>
        <v>-8.858267716535434E-2</v>
      </c>
      <c r="AG79" s="61">
        <f t="shared" si="30"/>
        <v>-6.7334843454246434E-3</v>
      </c>
      <c r="AH79" s="61">
        <f t="shared" si="31"/>
        <v>-0.27141057934508817</v>
      </c>
      <c r="AI79" s="61">
        <f t="shared" si="32"/>
        <v>-1.7687861271676302</v>
      </c>
      <c r="AJ79" s="61">
        <f t="shared" si="33"/>
        <v>-2.4743443557582671E-2</v>
      </c>
      <c r="AK79" s="434"/>
      <c r="AL79" s="434"/>
      <c r="AM79" s="443">
        <f>'Comp Group'!C364*BX8</f>
        <v>513882.32380000001</v>
      </c>
      <c r="AN79" s="443">
        <f>'Comp Group'!D364*BY8</f>
        <v>359403.64479999995</v>
      </c>
      <c r="AO79" s="443">
        <f>'Comp Group'!E364*BZ8</f>
        <v>273813.43199999997</v>
      </c>
      <c r="AP79" s="443">
        <f>'Comp Group'!F364*CA8</f>
        <v>13449.798499999999</v>
      </c>
      <c r="AQ79" s="443">
        <f>'Comp Group'!G364*CB8</f>
        <v>118037.628</v>
      </c>
      <c r="AR79" s="443">
        <f>'Long Term Debt'!C43*BX8</f>
        <v>28136.509000000002</v>
      </c>
      <c r="AS79" s="443">
        <f>'Long Term Debt'!D43*BY8</f>
        <v>19369.878399999998</v>
      </c>
      <c r="AT79" s="443">
        <f>'Long Term Debt'!E43*BZ8</f>
        <v>10100.187599999999</v>
      </c>
      <c r="AU79" s="443">
        <f>'Long Term Debt'!F43*CA8</f>
        <v>4509.1809999999996</v>
      </c>
      <c r="AV79" s="443">
        <f>'Long Term Debt'!G43*CB8</f>
        <v>19727.447399999997</v>
      </c>
      <c r="AW79" s="553">
        <f t="shared" si="21"/>
        <v>-1.6239638281838735</v>
      </c>
      <c r="AX79" s="553">
        <f t="shared" si="13"/>
        <v>-5.2758620689655178</v>
      </c>
      <c r="AY79" s="553">
        <f t="shared" si="14"/>
        <v>-0.67078825347758886</v>
      </c>
      <c r="AZ79" s="538">
        <f t="shared" si="15"/>
        <v>-1.2079386946989445</v>
      </c>
      <c r="BA79" s="538">
        <f t="shared" si="16"/>
        <v>-5.1002240021721432</v>
      </c>
      <c r="BB79" s="455">
        <f t="shared" si="17"/>
        <v>-0.49497874644936862</v>
      </c>
    </row>
    <row r="80" spans="1:54" ht="15" customHeight="1">
      <c r="A80" s="449">
        <v>2013</v>
      </c>
      <c r="B80" s="676"/>
      <c r="C80" s="50" t="s">
        <v>487</v>
      </c>
      <c r="D80" s="51"/>
      <c r="E80" s="51"/>
      <c r="F80" s="51"/>
      <c r="G80" s="51"/>
      <c r="H80" s="51"/>
      <c r="I80" s="50" t="s">
        <v>259</v>
      </c>
      <c r="J80" s="524" t="s">
        <v>540</v>
      </c>
      <c r="K80" s="447">
        <f>'Comp Group'!C371*BP8</f>
        <v>3713024.9640000002</v>
      </c>
      <c r="L80" s="447">
        <f>'Comp Group'!D371*BQ8</f>
        <v>3466402.304</v>
      </c>
      <c r="M80" s="447">
        <f>'Comp Group'!E371*BR8</f>
        <v>3914286.66</v>
      </c>
      <c r="N80" s="447">
        <f>'Comp Group'!F371*BS8</f>
        <v>3762185.5786000001</v>
      </c>
      <c r="O80" s="447">
        <f>'Comp Group'!G371*BT8</f>
        <v>3598420.8972</v>
      </c>
      <c r="P80" s="447">
        <f>'Comp Group'!C375*BP8</f>
        <v>60955.136000000006</v>
      </c>
      <c r="Q80" s="447">
        <f>'Comp Group'!D375*BQ8</f>
        <v>48820.817999999999</v>
      </c>
      <c r="R80" s="447">
        <f>'Comp Group'!E375*BR8</f>
        <v>68294.654999999999</v>
      </c>
      <c r="S80" s="447">
        <f>'Comp Group'!F375*BS8</f>
        <v>57873.753300000004</v>
      </c>
      <c r="T80" s="447">
        <f>'Comp Group'!G375*BT8</f>
        <v>87371.776799999992</v>
      </c>
      <c r="U80" s="443">
        <f>'Comp Group'!C374*BP8</f>
        <v>1221007.568</v>
      </c>
      <c r="V80" s="443">
        <f>'Comp Group'!D374*BQ8</f>
        <v>1273440.726</v>
      </c>
      <c r="W80" s="443">
        <f>'Comp Group'!E374*BR8</f>
        <v>1444694.625</v>
      </c>
      <c r="X80" s="443">
        <f>'Comp Group'!F374*BS8</f>
        <v>1303325.7782000001</v>
      </c>
      <c r="Y80" s="443">
        <f>'Comp Group'!G374*BT8</f>
        <v>1026042.4319999999</v>
      </c>
      <c r="Z80" s="443">
        <f>'Comp Group'!C376*BP8</f>
        <v>1601977.1680000001</v>
      </c>
      <c r="AA80" s="443">
        <f>'Comp Group'!D376*BQ8</f>
        <v>1705747.206</v>
      </c>
      <c r="AB80" s="443">
        <f>'Comp Group'!E376*BR8</f>
        <v>2009677.68</v>
      </c>
      <c r="AC80" s="443">
        <f>'Comp Group'!F376*BS8</f>
        <v>1904828.0090999999</v>
      </c>
      <c r="AD80" s="443">
        <f>'Comp Group'!G376*BT8</f>
        <v>1685319.3947999999</v>
      </c>
      <c r="AE80" s="61">
        <f t="shared" si="28"/>
        <v>5.1842859620308691E-2</v>
      </c>
      <c r="AF80" s="61">
        <f t="shared" si="29"/>
        <v>3.0382666058834575E-2</v>
      </c>
      <c r="AG80" s="61">
        <f t="shared" si="30"/>
        <v>3.3982889733840303E-2</v>
      </c>
      <c r="AH80" s="61">
        <f t="shared" si="31"/>
        <v>0.13252320851152602</v>
      </c>
      <c r="AI80" s="61">
        <f t="shared" si="32"/>
        <v>9.6209912536443148E-2</v>
      </c>
      <c r="AJ80" s="61">
        <f t="shared" si="33"/>
        <v>0.12087912087912087</v>
      </c>
      <c r="AK80" s="434"/>
      <c r="AL80" s="434"/>
      <c r="AM80" s="443">
        <f>'Comp Group'!C379*BP8</f>
        <v>380969.60000000003</v>
      </c>
      <c r="AN80" s="443">
        <f>'Comp Group'!D379*BQ8</f>
        <v>432306.48000000004</v>
      </c>
      <c r="AO80" s="443">
        <f>'Comp Group'!E379*BR8</f>
        <v>564983.05500000005</v>
      </c>
      <c r="AP80" s="443">
        <f>'Comp Group'!F379*BS8</f>
        <v>601536.28430000006</v>
      </c>
      <c r="AQ80" s="443">
        <f>'Comp Group'!G379*BT8</f>
        <v>659294.15519999992</v>
      </c>
      <c r="AR80" s="443">
        <f>'Long Term Debt'!C44*BP8</f>
        <v>160483.44400000002</v>
      </c>
      <c r="AS80" s="443">
        <f>'Long Term Debt'!D44*BQ8</f>
        <v>181494.18600000002</v>
      </c>
      <c r="AT80" s="443">
        <f>'Long Term Debt'!E44*BR8</f>
        <v>218256.345</v>
      </c>
      <c r="AU80" s="443">
        <f>'Long Term Debt'!F44*BS8</f>
        <v>212697.53640000001</v>
      </c>
      <c r="AV80" s="443">
        <f>'Long Term Debt'!G44*BT8</f>
        <v>49754.8056</v>
      </c>
      <c r="AW80" s="553">
        <f t="shared" si="21"/>
        <v>1.7560469937802348</v>
      </c>
      <c r="AX80" s="553">
        <f t="shared" si="13"/>
        <v>0.27209414024975986</v>
      </c>
      <c r="AY80" s="553">
        <f t="shared" si="14"/>
        <v>0.31291028446389496</v>
      </c>
      <c r="AZ80" s="538">
        <f t="shared" si="15"/>
        <v>1.1209336576162363</v>
      </c>
      <c r="BA80" s="538">
        <f t="shared" si="16"/>
        <v>0.2165516698061061</v>
      </c>
      <c r="BB80" s="455">
        <f t="shared" si="17"/>
        <v>0.25892433709678758</v>
      </c>
    </row>
    <row r="81" spans="1:54" s="465" customFormat="1" ht="15" customHeight="1">
      <c r="A81" s="535">
        <v>2013</v>
      </c>
      <c r="C81" s="411" t="s">
        <v>435</v>
      </c>
      <c r="D81" s="536"/>
      <c r="E81" s="536"/>
      <c r="F81" s="536"/>
      <c r="G81" s="536"/>
      <c r="H81" s="536"/>
      <c r="I81" s="411" t="s">
        <v>259</v>
      </c>
      <c r="J81" s="524" t="s">
        <v>541</v>
      </c>
      <c r="K81" s="537">
        <f>'Comp Group'!C383</f>
        <v>197698</v>
      </c>
      <c r="L81" s="537">
        <f>'Comp Group'!D383</f>
        <v>193068</v>
      </c>
      <c r="M81" s="537">
        <f>'Comp Group'!E383</f>
        <v>167029</v>
      </c>
      <c r="N81" s="537">
        <f>'Comp Group'!F383</f>
        <v>124390</v>
      </c>
      <c r="O81" s="537">
        <f>'Comp Group'!G383</f>
        <v>131819</v>
      </c>
      <c r="P81" s="537">
        <f>'Comp Group'!C387</f>
        <v>6424</v>
      </c>
      <c r="Q81" s="537">
        <f>'Comp Group'!D387</f>
        <v>24191</v>
      </c>
      <c r="R81" s="537">
        <f>'Comp Group'!E387</f>
        <v>18549</v>
      </c>
      <c r="S81" s="537">
        <f>'Comp Group'!F387</f>
        <v>9577</v>
      </c>
      <c r="T81" s="537">
        <f>'Comp Group'!G387</f>
        <v>17550</v>
      </c>
      <c r="U81" s="534">
        <f>'Comp Group'!C386</f>
        <v>58414</v>
      </c>
      <c r="V81" s="534">
        <f>'Comp Group'!D386</f>
        <v>46041</v>
      </c>
      <c r="W81" s="534">
        <f>'Comp Group'!E386</f>
        <v>42014</v>
      </c>
      <c r="X81" s="534">
        <f>'Comp Group'!F386</f>
        <v>31588</v>
      </c>
      <c r="Y81" s="534">
        <f>'Comp Group'!G386</f>
        <v>24263</v>
      </c>
      <c r="Z81" s="534">
        <f>'Comp Group'!C388</f>
        <v>174684</v>
      </c>
      <c r="AA81" s="534">
        <f>'Comp Group'!D388</f>
        <v>158447</v>
      </c>
      <c r="AB81" s="534">
        <f>'Comp Group'!E388</f>
        <v>130538</v>
      </c>
      <c r="AC81" s="534">
        <f>'Comp Group'!F388</f>
        <v>103831</v>
      </c>
      <c r="AD81" s="534">
        <f>'Comp Group'!G388</f>
        <v>92913</v>
      </c>
      <c r="AE81" s="538">
        <f t="shared" si="28"/>
        <v>0.18888637757902554</v>
      </c>
      <c r="AF81" s="538">
        <f t="shared" si="29"/>
        <v>9.2236422648342017E-2</v>
      </c>
      <c r="AG81" s="538">
        <f t="shared" si="30"/>
        <v>0.14209655426006221</v>
      </c>
      <c r="AH81" s="538">
        <f t="shared" si="31"/>
        <v>0.25564457392571011</v>
      </c>
      <c r="AI81" s="538">
        <f t="shared" si="32"/>
        <v>0.1325664770289163</v>
      </c>
      <c r="AJ81" s="538">
        <f t="shared" si="33"/>
        <v>0.20954113101827795</v>
      </c>
      <c r="AK81" s="434"/>
      <c r="AL81" s="434"/>
      <c r="AM81" s="534">
        <f>'Comp Group'!C391</f>
        <v>116270</v>
      </c>
      <c r="AN81" s="534">
        <f>'Comp Group'!D391</f>
        <v>112405</v>
      </c>
      <c r="AO81" s="534">
        <f>'Comp Group'!E391</f>
        <v>88522</v>
      </c>
      <c r="AP81" s="534">
        <f>'Comp Group'!F391</f>
        <v>72243</v>
      </c>
      <c r="AQ81" s="534">
        <f>'Comp Group'!G391</f>
        <v>68650</v>
      </c>
      <c r="AR81" s="534">
        <f>'Comp Group'!C384</f>
        <v>20293</v>
      </c>
      <c r="AS81" s="534">
        <f>'Comp Group'!D384</f>
        <v>707</v>
      </c>
      <c r="AT81" s="534">
        <f>'Comp Group'!E384</f>
        <v>11455</v>
      </c>
      <c r="AU81" s="534">
        <f>'Comp Group'!F384</f>
        <v>10090</v>
      </c>
      <c r="AV81" s="534">
        <f>'Comp Group'!G384</f>
        <v>5224</v>
      </c>
      <c r="AW81" s="553">
        <f t="shared" si="21"/>
        <v>3.3594946401225116</v>
      </c>
      <c r="AX81" s="553">
        <f t="shared" si="13"/>
        <v>0.9491575817641229</v>
      </c>
      <c r="AY81" s="553">
        <f t="shared" si="14"/>
        <v>1.6192928852029682</v>
      </c>
      <c r="AZ81" s="538">
        <f t="shared" si="15"/>
        <v>1.0661739310246412</v>
      </c>
      <c r="BA81" s="538">
        <f t="shared" si="16"/>
        <v>0.38099401616824569</v>
      </c>
      <c r="BB81" s="455">
        <f t="shared" si="17"/>
        <v>0.66328040754211481</v>
      </c>
    </row>
    <row r="82" spans="1:54" ht="15" customHeight="1">
      <c r="A82" s="449">
        <v>2013</v>
      </c>
      <c r="B82" s="676"/>
      <c r="C82" s="50" t="s">
        <v>487</v>
      </c>
      <c r="D82" s="51"/>
      <c r="E82" s="51"/>
      <c r="F82" s="51"/>
      <c r="G82" s="51"/>
      <c r="H82" s="51"/>
      <c r="I82" s="50" t="s">
        <v>259</v>
      </c>
      <c r="J82" s="524" t="s">
        <v>542</v>
      </c>
      <c r="K82" s="447">
        <f>'Comp Group'!C395*BP8</f>
        <v>249178.04805300001</v>
      </c>
      <c r="L82" s="447">
        <f>'Comp Group'!D395*BQ8</f>
        <v>242466.54286800002</v>
      </c>
      <c r="M82" s="447">
        <f>'Comp Group'!E395*BR8</f>
        <v>278798.2035</v>
      </c>
      <c r="N82" s="447">
        <f>'Comp Group'!F395*BS8</f>
        <v>277863.65504300001</v>
      </c>
      <c r="O82" s="447">
        <f>'Comp Group'!G395*BT8</f>
        <v>292060.02117600001</v>
      </c>
      <c r="P82" s="447">
        <f>'Comp Group'!C399*BP8</f>
        <v>8875.520203</v>
      </c>
      <c r="Q82" s="447">
        <f>'Comp Group'!D399*BQ8</f>
        <v>8972.2228500000001</v>
      </c>
      <c r="R82" s="447">
        <f>'Comp Group'!E399*BR8</f>
        <v>3866.687355</v>
      </c>
      <c r="S82" s="447">
        <f>'Comp Group'!F399*BS8</f>
        <v>1418.1538430000001</v>
      </c>
      <c r="T82" s="447">
        <f>'Comp Group'!G399*BT8</f>
        <v>7976.7578279999998</v>
      </c>
      <c r="U82" s="443">
        <f>'Comp Group'!C398*BP8</f>
        <v>91457.228918000008</v>
      </c>
      <c r="V82" s="443">
        <f>'Comp Group'!D398*BQ8</f>
        <v>87885.671316000007</v>
      </c>
      <c r="W82" s="443">
        <f>'Comp Group'!E398*BR8</f>
        <v>104640.624645</v>
      </c>
      <c r="X82" s="443">
        <f>'Comp Group'!F398*BS8</f>
        <v>104705.861917</v>
      </c>
      <c r="Y82" s="443">
        <f>'Comp Group'!G398*BT8</f>
        <v>94200.254231999992</v>
      </c>
      <c r="Z82" s="443">
        <f>'Comp Group'!C400*BP8</f>
        <v>161079.18521200001</v>
      </c>
      <c r="AA82" s="443">
        <f>'Comp Group'!D400*BQ8</f>
        <v>158260.81835000002</v>
      </c>
      <c r="AB82" s="443">
        <f>'Comp Group'!E400*BR8</f>
        <v>183391.68483000001</v>
      </c>
      <c r="AC82" s="443">
        <f>'Comp Group'!F400*BS8</f>
        <v>185362.87221999999</v>
      </c>
      <c r="AD82" s="443">
        <f>'Comp Group'!G400*BT8</f>
        <v>174990.78031199999</v>
      </c>
      <c r="AE82" s="61">
        <f t="shared" si="28"/>
        <v>4.5583874840593494E-2</v>
      </c>
      <c r="AF82" s="61">
        <f t="shared" si="29"/>
        <v>7.6506898388845005E-3</v>
      </c>
      <c r="AG82" s="61">
        <f t="shared" si="30"/>
        <v>2.1084311203009735E-2</v>
      </c>
      <c r="AH82" s="61">
        <f t="shared" si="31"/>
        <v>9.8733616927100518E-2</v>
      </c>
      <c r="AI82" s="61">
        <f t="shared" si="32"/>
        <v>1.7582524292339811E-2</v>
      </c>
      <c r="AJ82" s="61">
        <f t="shared" si="33"/>
        <v>4.9100130790829685E-2</v>
      </c>
      <c r="AK82" s="434"/>
      <c r="AL82" s="434"/>
      <c r="AM82" s="443">
        <f>'Comp Group'!C403*BP8</f>
        <v>69622.075347000005</v>
      </c>
      <c r="AN82" s="443">
        <f>'Comp Group'!D403*BQ8</f>
        <v>70375.271260000009</v>
      </c>
      <c r="AO82" s="443">
        <f>'Comp Group'!E403*BR8</f>
        <v>78751.060184999995</v>
      </c>
      <c r="AP82" s="443">
        <f>'Comp Group'!F403*BS8</f>
        <v>80657.010303000003</v>
      </c>
      <c r="AQ82" s="443">
        <f>'Comp Group'!G403*BT8</f>
        <v>80790.698003999991</v>
      </c>
      <c r="AR82" s="443">
        <f>'Long Term Debt'!C45*BP8</f>
        <v>8184.7746970000007</v>
      </c>
      <c r="AS82" s="443">
        <f>'Long Term Debt'!D45*BQ8</f>
        <v>8911.9732399999994</v>
      </c>
      <c r="AT82" s="443">
        <f>'Long Term Debt'!E45*BR8</f>
        <v>4552.8178049999997</v>
      </c>
      <c r="AU82" s="443">
        <f>'Long Term Debt'!F45*BS8</f>
        <v>7932.7395299999998</v>
      </c>
      <c r="AV82" s="443">
        <f>'Long Term Debt'!G45*BT8</f>
        <v>8802.852648</v>
      </c>
      <c r="AW82" s="553">
        <f t="shared" si="21"/>
        <v>0.90615600953087772</v>
      </c>
      <c r="AX82" s="553">
        <f t="shared" si="13"/>
        <v>0.17877226872719468</v>
      </c>
      <c r="AY82" s="553">
        <f t="shared" si="14"/>
        <v>0.84929542991013673</v>
      </c>
      <c r="AZ82" s="538">
        <f t="shared" si="15"/>
        <v>0.5333812011822493</v>
      </c>
      <c r="BA82" s="538">
        <f t="shared" si="16"/>
        <v>0.1086337198262608</v>
      </c>
      <c r="BB82" s="455">
        <f t="shared" si="17"/>
        <v>0.50567991528572365</v>
      </c>
    </row>
    <row r="83" spans="1:54" ht="15" customHeight="1">
      <c r="A83" s="449">
        <v>2013</v>
      </c>
      <c r="B83" s="676"/>
      <c r="C83" s="50" t="s">
        <v>487</v>
      </c>
      <c r="D83" s="51"/>
      <c r="E83" s="51"/>
      <c r="F83" s="51"/>
      <c r="G83" s="51"/>
      <c r="H83" s="51"/>
      <c r="I83" s="50" t="s">
        <v>259</v>
      </c>
      <c r="J83" s="524" t="s">
        <v>543</v>
      </c>
      <c r="K83" s="447">
        <f>'Comp Group'!C407*BP8</f>
        <v>36935.121772999999</v>
      </c>
      <c r="L83" s="447">
        <f>'Comp Group'!D407*BQ8</f>
        <v>47251.967846</v>
      </c>
      <c r="M83" s="447">
        <f>'Comp Group'!E407*BR8</f>
        <v>46432.405650000001</v>
      </c>
      <c r="N83" s="447">
        <f>'Comp Group'!F407*BS8</f>
        <v>61488.862244000004</v>
      </c>
      <c r="O83" s="447">
        <f>'Comp Group'!G407*BT8</f>
        <v>23731.357415999999</v>
      </c>
      <c r="P83" s="444">
        <f>'Comp Group'!C411*BP8</f>
        <v>-544.90558099999998</v>
      </c>
      <c r="Q83" s="444">
        <f>'Comp Group'!D411*BQ8</f>
        <v>1385.865256</v>
      </c>
      <c r="R83" s="444">
        <f>'Comp Group'!E411*BR8</f>
        <v>294.19236000000001</v>
      </c>
      <c r="S83" s="444">
        <f>'Comp Group'!F411*BS8</f>
        <v>4263.9964810000001</v>
      </c>
      <c r="T83" s="444">
        <f>'Comp Group'!G411*BT8</f>
        <v>1045.125996</v>
      </c>
      <c r="U83" s="443">
        <f>'Comp Group'!C410*BP8</f>
        <v>22946.394273000002</v>
      </c>
      <c r="V83" s="443">
        <f>'Comp Group'!D410*BQ8</f>
        <v>25445.335805999999</v>
      </c>
      <c r="W83" s="443">
        <f>'Comp Group'!E410*BR8</f>
        <v>28598.267384999999</v>
      </c>
      <c r="X83" s="443">
        <f>'Comp Group'!F410*BS8</f>
        <v>26580.551637</v>
      </c>
      <c r="Y83" s="443">
        <f>'Comp Group'!G410*BT8</f>
        <v>17329.251504</v>
      </c>
      <c r="Z83" s="443">
        <f>'Comp Group'!C412*BP8</f>
        <v>31192.600318000001</v>
      </c>
      <c r="AA83" s="443">
        <f>'Comp Group'!D412*BQ8</f>
        <v>34556.319098</v>
      </c>
      <c r="AB83" s="443">
        <f>'Comp Group'!E412*BR8</f>
        <v>40883.504730000001</v>
      </c>
      <c r="AC83" s="443">
        <f>'Comp Group'!F412*BS8</f>
        <v>39545.532352000002</v>
      </c>
      <c r="AD83" s="443">
        <f>'Comp Group'!G412*BT8</f>
        <v>24290.798112</v>
      </c>
      <c r="AE83" s="61">
        <f t="shared" si="28"/>
        <v>4.3025593114772664E-2</v>
      </c>
      <c r="AF83" s="61">
        <f t="shared" si="29"/>
        <v>0.10782498622209975</v>
      </c>
      <c r="AG83" s="61">
        <f t="shared" si="30"/>
        <v>7.1958693840678467E-3</v>
      </c>
      <c r="AH83" s="61">
        <f t="shared" si="31"/>
        <v>0.15012842042872668</v>
      </c>
      <c r="AI83" s="61">
        <f t="shared" si="32"/>
        <v>0.32888567863943791</v>
      </c>
      <c r="AJ83" s="61">
        <f t="shared" si="33"/>
        <v>2.3946819401070352E-2</v>
      </c>
      <c r="AK83" s="434"/>
      <c r="AL83" s="434"/>
      <c r="AM83" s="443">
        <f>'Comp Group'!C415*BP8</f>
        <v>8246.2060450000008</v>
      </c>
      <c r="AN83" s="443">
        <f>'Comp Group'!D415*BQ8</f>
        <v>9110.8590660000009</v>
      </c>
      <c r="AO83" s="443">
        <f>'Comp Group'!E415*BR8</f>
        <v>12285.237345</v>
      </c>
      <c r="AP83" s="443">
        <f>'Comp Group'!F415*BS8</f>
        <v>12964.980715</v>
      </c>
      <c r="AQ83" s="443">
        <f>'Comp Group'!G415*BT8</f>
        <v>6961.5466079999997</v>
      </c>
      <c r="AR83" s="443">
        <f>'Long Term Debt'!C46*BP8</f>
        <v>7629.6305580000007</v>
      </c>
      <c r="AS83" s="443">
        <f>'Long Term Debt'!D46*BQ8</f>
        <v>8397.4291480000011</v>
      </c>
      <c r="AT83" s="443">
        <f>'Long Term Debt'!E46*BR8</f>
        <v>9308.2908449999995</v>
      </c>
      <c r="AU83" s="443">
        <f>'Long Term Debt'!F46*BS8</f>
        <v>10728.012869</v>
      </c>
      <c r="AV83" s="443">
        <f>'Long Term Debt'!G46*BT8</f>
        <v>6428.9260559999993</v>
      </c>
      <c r="AW83" s="553">
        <f t="shared" si="21"/>
        <v>0.1625661870888378</v>
      </c>
      <c r="AX83" s="553">
        <f t="shared" si="13"/>
        <v>0.39746377386639581</v>
      </c>
      <c r="AY83" s="553">
        <f t="shared" si="14"/>
        <v>3.1605411229498385E-2</v>
      </c>
      <c r="AZ83" s="538">
        <f t="shared" si="15"/>
        <v>0.15900162359015979</v>
      </c>
      <c r="BA83" s="538">
        <f t="shared" si="16"/>
        <v>0.37498048361315495</v>
      </c>
      <c r="BB83" s="455">
        <f t="shared" si="17"/>
        <v>2.9304052308288406E-2</v>
      </c>
    </row>
    <row r="84" spans="1:54" s="684" customFormat="1" ht="15" customHeight="1">
      <c r="A84" s="449">
        <v>2015</v>
      </c>
      <c r="B84" s="676"/>
      <c r="C84" s="50" t="s">
        <v>435</v>
      </c>
      <c r="D84" s="51"/>
      <c r="E84" s="51"/>
      <c r="F84" s="51"/>
      <c r="G84" s="51"/>
      <c r="H84" s="51"/>
      <c r="I84" s="536" t="s">
        <v>0</v>
      </c>
      <c r="J84" s="524" t="s">
        <v>1043</v>
      </c>
      <c r="K84" s="447">
        <f>'More Comp Group'!D666</f>
        <v>3742920</v>
      </c>
      <c r="L84" s="447">
        <f>'More Comp Group'!E666</f>
        <v>2576884</v>
      </c>
      <c r="M84" s="447">
        <f>'More Comp Group'!F666</f>
        <v>1364129</v>
      </c>
      <c r="N84" s="447">
        <f>'More Comp Group'!G666</f>
        <v>1221802</v>
      </c>
      <c r="O84" s="447">
        <f>'More Comp Group'!H666</f>
        <v>464231</v>
      </c>
      <c r="P84" s="444">
        <f>'More Comp Group'!D670</f>
        <v>475778</v>
      </c>
      <c r="Q84" s="444">
        <f>'More Comp Group'!E670</f>
        <v>274787</v>
      </c>
      <c r="R84" s="444">
        <f>'More Comp Group'!F670</f>
        <v>34971</v>
      </c>
      <c r="S84" s="444">
        <f>'More Comp Group'!G670</f>
        <v>-312652</v>
      </c>
      <c r="T84" s="444">
        <f>'More Comp Group'!H670</f>
        <v>-279139</v>
      </c>
      <c r="U84" s="443">
        <f>'More Comp Group'!D669</f>
        <v>7732832</v>
      </c>
      <c r="V84" s="443">
        <f>'More Comp Group'!E669</f>
        <v>9029964</v>
      </c>
      <c r="W84" s="443">
        <f>'More Comp Group'!F669</f>
        <v>6805989</v>
      </c>
      <c r="X84" s="443">
        <f>'More Comp Group'!G669</f>
        <v>4849783</v>
      </c>
      <c r="Y84" s="443">
        <f>'More Comp Group'!H669</f>
        <v>4732710</v>
      </c>
      <c r="Z84" s="443">
        <f>'More Comp Group'!D671</f>
        <v>10709371</v>
      </c>
      <c r="AA84" s="443">
        <f>'More Comp Group'!E671</f>
        <v>12018560</v>
      </c>
      <c r="AB84" s="443">
        <f>'More Comp Group'!F671</f>
        <v>9255196</v>
      </c>
      <c r="AC84" s="443">
        <f>'More Comp Group'!G671</f>
        <v>5188809</v>
      </c>
      <c r="AD84" s="443">
        <f>'More Comp Group'!H671</f>
        <v>5384372</v>
      </c>
      <c r="AE84" s="61">
        <f t="shared" ref="AE84:AE87" si="34">T84/AD84</f>
        <v>-5.1842443278436186E-2</v>
      </c>
      <c r="AF84" s="61">
        <f t="shared" ref="AF84:AF87" si="35">S84/AC84</f>
        <v>-6.0255060457997202E-2</v>
      </c>
      <c r="AG84" s="61">
        <f t="shared" ref="AG84:AG87" si="36">R84/AB84</f>
        <v>3.7785261381822707E-3</v>
      </c>
      <c r="AH84" s="61">
        <f t="shared" ref="AH84:AH87" si="37">T84/AQ84</f>
        <v>-0.42834935902354287</v>
      </c>
      <c r="AI84" s="61">
        <f t="shared" ref="AI84:AI87" si="38">S84/AP84</f>
        <v>-0.92220655642930038</v>
      </c>
      <c r="AJ84" s="61">
        <f t="shared" ref="AJ84:AJ87" si="39">R84/AO84</f>
        <v>1.4278499122368995E-2</v>
      </c>
      <c r="AK84" s="434"/>
      <c r="AL84" s="434"/>
      <c r="AM84" s="443">
        <f>'More Comp Group'!D674</f>
        <v>2976539</v>
      </c>
      <c r="AN84" s="443">
        <f>'More Comp Group'!E674</f>
        <v>2988596</v>
      </c>
      <c r="AO84" s="443">
        <f>'More Comp Group'!F674</f>
        <v>2449207</v>
      </c>
      <c r="AP84" s="443">
        <f>'More Comp Group'!G674</f>
        <v>339026</v>
      </c>
      <c r="AQ84" s="443">
        <f>'More Comp Group'!H674</f>
        <v>651662</v>
      </c>
      <c r="AR84" s="443">
        <f>'More Comp Group'!D667</f>
        <v>6352551</v>
      </c>
      <c r="AS84" s="443">
        <f>'More Comp Group'!E667</f>
        <v>6141488</v>
      </c>
      <c r="AT84" s="443">
        <f>'More Comp Group'!F667</f>
        <v>5921250</v>
      </c>
      <c r="AU84" s="443">
        <f>'More Comp Group'!G667</f>
        <v>4454944</v>
      </c>
      <c r="AV84" s="443">
        <f>'More Comp Group'!H667</f>
        <v>4079831</v>
      </c>
      <c r="AW84" s="553">
        <f t="shared" ref="AW84:AW87" si="40">T84/AV84</f>
        <v>-6.8419255601518791E-2</v>
      </c>
      <c r="AX84" s="553">
        <f t="shared" ref="AX84:AX87" si="41">S84/AU84</f>
        <v>-7.018090463089996E-2</v>
      </c>
      <c r="AY84" s="553">
        <f t="shared" ref="AY84:AY87" si="42">R84/AT84</f>
        <v>5.9060164661177963E-3</v>
      </c>
      <c r="AZ84" s="538">
        <f t="shared" ref="AZ84:AZ87" si="43">((AQ84/(AQ84+Y84))*AH84)+(Y84/(AQ84+Y84))*AW84</f>
        <v>-0.1119810249325017</v>
      </c>
      <c r="BA84" s="538">
        <f t="shared" ref="BA84:BA87" si="44">((AP84/(AP84+X84))*AI84)+(X84/(AP84+X84))*AX84</f>
        <v>-0.12585049058532699</v>
      </c>
      <c r="BB84" s="455">
        <f t="shared" ref="BB84:BB87" si="45">((AO84/(AO84+W84))*AJ84)+(W84/(AO84+W84))*AY84</f>
        <v>8.1216306064416776E-3</v>
      </c>
    </row>
    <row r="85" spans="1:54" s="684" customFormat="1" ht="15" customHeight="1">
      <c r="A85" s="449">
        <v>2015</v>
      </c>
      <c r="B85" s="676"/>
      <c r="C85" s="50" t="s">
        <v>435</v>
      </c>
      <c r="D85" s="51"/>
      <c r="E85" s="51"/>
      <c r="F85" s="51"/>
      <c r="G85" s="51"/>
      <c r="H85" s="51"/>
      <c r="I85" s="536" t="s">
        <v>0</v>
      </c>
      <c r="J85" s="524" t="s">
        <v>1044</v>
      </c>
      <c r="K85" s="447">
        <f>'More Comp Group'!D678</f>
        <v>1632</v>
      </c>
      <c r="L85" s="447">
        <f>'More Comp Group'!E678</f>
        <v>5346</v>
      </c>
      <c r="M85" s="447">
        <f>'More Comp Group'!F678</f>
        <v>8</v>
      </c>
      <c r="N85" s="447">
        <f>'More Comp Group'!G678</f>
        <v>0</v>
      </c>
      <c r="O85" s="447">
        <f>'More Comp Group'!H678</f>
        <v>1975</v>
      </c>
      <c r="P85" s="444">
        <f>'More Comp Group'!D682</f>
        <v>-3741</v>
      </c>
      <c r="Q85" s="444">
        <f>'More Comp Group'!E682</f>
        <v>-11733</v>
      </c>
      <c r="R85" s="444">
        <f>'More Comp Group'!F682</f>
        <v>-819</v>
      </c>
      <c r="S85" s="444">
        <f>'More Comp Group'!G682</f>
        <v>-1505</v>
      </c>
      <c r="T85" s="444">
        <f>'More Comp Group'!H682</f>
        <v>-3145</v>
      </c>
      <c r="U85" s="443">
        <f>'More Comp Group'!D681</f>
        <v>182</v>
      </c>
      <c r="V85" s="443">
        <f>'More Comp Group'!E681</f>
        <v>4130</v>
      </c>
      <c r="W85" s="443">
        <f>'More Comp Group'!F681</f>
        <v>10681</v>
      </c>
      <c r="X85" s="443">
        <f>'More Comp Group'!G681</f>
        <v>9792</v>
      </c>
      <c r="Y85" s="443">
        <f>'More Comp Group'!H681</f>
        <v>9649</v>
      </c>
      <c r="Z85" s="443">
        <f>'More Comp Group'!D683</f>
        <v>116661</v>
      </c>
      <c r="AA85" s="443">
        <f>'More Comp Group'!E683</f>
        <v>54695</v>
      </c>
      <c r="AB85" s="443">
        <f>'More Comp Group'!F683</f>
        <v>17515</v>
      </c>
      <c r="AC85" s="443">
        <f>'More Comp Group'!G683</f>
        <v>17307</v>
      </c>
      <c r="AD85" s="443">
        <f>'More Comp Group'!H683</f>
        <v>20276</v>
      </c>
      <c r="AE85" s="61">
        <f t="shared" si="34"/>
        <v>-0.1551094890510949</v>
      </c>
      <c r="AF85" s="61">
        <f t="shared" si="35"/>
        <v>-8.6959033916912232E-2</v>
      </c>
      <c r="AG85" s="61">
        <f t="shared" si="36"/>
        <v>-4.6759920068512706E-2</v>
      </c>
      <c r="AH85" s="61">
        <f t="shared" si="37"/>
        <v>-0.29594429283899504</v>
      </c>
      <c r="AI85" s="61">
        <f t="shared" si="38"/>
        <v>-0.20026613439787092</v>
      </c>
      <c r="AJ85" s="61">
        <f t="shared" si="39"/>
        <v>-0.11982443306510607</v>
      </c>
      <c r="AK85" s="434"/>
      <c r="AL85" s="434"/>
      <c r="AM85" s="443">
        <f>'More Comp Group'!D686</f>
        <v>116479</v>
      </c>
      <c r="AN85" s="443">
        <f>'More Comp Group'!E686</f>
        <v>50565</v>
      </c>
      <c r="AO85" s="443">
        <f>'More Comp Group'!F686</f>
        <v>6835</v>
      </c>
      <c r="AP85" s="443">
        <f>'More Comp Group'!G686</f>
        <v>7515</v>
      </c>
      <c r="AQ85" s="443">
        <f>'More Comp Group'!H686</f>
        <v>10627</v>
      </c>
      <c r="AR85" s="443">
        <f>'More Comp Group'!D679</f>
        <v>0</v>
      </c>
      <c r="AS85" s="443">
        <f>'More Comp Group'!E679</f>
        <v>1425</v>
      </c>
      <c r="AT85" s="443">
        <f>'More Comp Group'!F679</f>
        <v>9455</v>
      </c>
      <c r="AU85" s="443">
        <f>'More Comp Group'!G679</f>
        <v>8513</v>
      </c>
      <c r="AV85" s="443">
        <f>'More Comp Group'!H679</f>
        <v>8953</v>
      </c>
      <c r="AW85" s="553">
        <f t="shared" si="40"/>
        <v>-0.35127890092706354</v>
      </c>
      <c r="AX85" s="553">
        <f t="shared" si="41"/>
        <v>-0.1767884412075649</v>
      </c>
      <c r="AY85" s="553">
        <f t="shared" si="42"/>
        <v>-8.6620835536753038E-2</v>
      </c>
      <c r="AZ85" s="538">
        <f t="shared" si="43"/>
        <v>-0.32227708202038052</v>
      </c>
      <c r="BA85" s="538">
        <f t="shared" si="44"/>
        <v>-0.18698286336768216</v>
      </c>
      <c r="BB85" s="455">
        <f t="shared" si="45"/>
        <v>-9.9577366086324448E-2</v>
      </c>
    </row>
    <row r="86" spans="1:54" s="684" customFormat="1" ht="15" customHeight="1">
      <c r="A86" s="449">
        <v>2015</v>
      </c>
      <c r="B86" s="676"/>
      <c r="C86" s="50" t="s">
        <v>435</v>
      </c>
      <c r="D86" s="51"/>
      <c r="E86" s="51"/>
      <c r="F86" s="51"/>
      <c r="G86" s="51"/>
      <c r="H86" s="51"/>
      <c r="I86" s="536" t="s">
        <v>0</v>
      </c>
      <c r="J86" s="524" t="s">
        <v>356</v>
      </c>
      <c r="K86" s="447">
        <f>'More Comp Group'!D690</f>
        <v>881200</v>
      </c>
      <c r="L86" s="447">
        <f>'More Comp Group'!E690</f>
        <v>838900</v>
      </c>
      <c r="M86" s="447">
        <f>'More Comp Group'!F690</f>
        <v>764300</v>
      </c>
      <c r="N86" s="447">
        <f>'More Comp Group'!G690</f>
        <v>961900</v>
      </c>
      <c r="O86" s="447">
        <f>'More Comp Group'!H690</f>
        <v>1454500</v>
      </c>
      <c r="P86" s="444">
        <f>'More Comp Group'!D694</f>
        <v>-87900</v>
      </c>
      <c r="Q86" s="444">
        <f>'More Comp Group'!E694</f>
        <v>-523400</v>
      </c>
      <c r="R86" s="444">
        <f>'More Comp Group'!F694</f>
        <v>-294000</v>
      </c>
      <c r="S86" s="444">
        <f>'More Comp Group'!G694</f>
        <v>-527900</v>
      </c>
      <c r="T86" s="444">
        <f>'More Comp Group'!H694</f>
        <v>-50900</v>
      </c>
      <c r="U86" s="443">
        <f>'More Comp Group'!D693</f>
        <v>1663000</v>
      </c>
      <c r="V86" s="443">
        <f>'More Comp Group'!E693</f>
        <v>1603300</v>
      </c>
      <c r="W86" s="443">
        <f>'More Comp Group'!F693</f>
        <v>1457600</v>
      </c>
      <c r="X86" s="443">
        <f>'More Comp Group'!G693</f>
        <v>1450400</v>
      </c>
      <c r="Y86" s="443">
        <f>'More Comp Group'!H693</f>
        <v>1661400</v>
      </c>
      <c r="Z86" s="443">
        <f>'More Comp Group'!D695</f>
        <v>2384800</v>
      </c>
      <c r="AA86" s="443">
        <f>'More Comp Group'!E695</f>
        <v>2482800</v>
      </c>
      <c r="AB86" s="443">
        <f>'More Comp Group'!F695</f>
        <v>2817000</v>
      </c>
      <c r="AC86" s="443">
        <f>'More Comp Group'!G695</f>
        <v>2914100</v>
      </c>
      <c r="AD86" s="443">
        <f>'More Comp Group'!H695</f>
        <v>3563000</v>
      </c>
      <c r="AE86" s="61">
        <f t="shared" si="34"/>
        <v>-1.4285714285714285E-2</v>
      </c>
      <c r="AF86" s="61">
        <f t="shared" si="35"/>
        <v>-0.18115370097114031</v>
      </c>
      <c r="AG86" s="61">
        <f t="shared" si="36"/>
        <v>-0.10436634717784878</v>
      </c>
      <c r="AH86" s="61">
        <f t="shared" si="37"/>
        <v>-2.6766933108960875E-2</v>
      </c>
      <c r="AI86" s="61">
        <f t="shared" si="38"/>
        <v>-0.36066133770581404</v>
      </c>
      <c r="AJ86" s="61">
        <f t="shared" si="39"/>
        <v>-0.21627188465499486</v>
      </c>
      <c r="AK86" s="434"/>
      <c r="AL86" s="434"/>
      <c r="AM86" s="443">
        <f>'More Comp Group'!D698</f>
        <v>7218</v>
      </c>
      <c r="AN86" s="443">
        <f>'More Comp Group'!E698</f>
        <v>8795</v>
      </c>
      <c r="AO86" s="443">
        <f>'More Comp Group'!F698</f>
        <v>1359400</v>
      </c>
      <c r="AP86" s="443">
        <f>'More Comp Group'!G698</f>
        <v>1463700</v>
      </c>
      <c r="AQ86" s="443">
        <f>'More Comp Group'!H698</f>
        <v>1901600</v>
      </c>
      <c r="AR86" s="443">
        <f>'More Comp Group'!D691</f>
        <v>1237900</v>
      </c>
      <c r="AS86" s="443">
        <f>'More Comp Group'!E691</f>
        <v>1236100</v>
      </c>
      <c r="AT86" s="443">
        <f>'More Comp Group'!F691</f>
        <v>1211200</v>
      </c>
      <c r="AU86" s="443">
        <f>'More Comp Group'!G691</f>
        <v>1152000</v>
      </c>
      <c r="AV86" s="443">
        <f>'More Comp Group'!H691</f>
        <v>1251600</v>
      </c>
      <c r="AW86" s="553">
        <f t="shared" si="40"/>
        <v>-4.0667945030361141E-2</v>
      </c>
      <c r="AX86" s="553">
        <f t="shared" si="41"/>
        <v>-0.4582465277777778</v>
      </c>
      <c r="AY86" s="553">
        <f t="shared" si="42"/>
        <v>-0.24273447820343461</v>
      </c>
      <c r="AZ86" s="538">
        <f t="shared" si="43"/>
        <v>-3.3248870017805784E-2</v>
      </c>
      <c r="BA86" s="538">
        <f t="shared" si="44"/>
        <v>-0.40923124254105525</v>
      </c>
      <c r="BB86" s="455">
        <f t="shared" si="45"/>
        <v>-0.22996442152265756</v>
      </c>
    </row>
    <row r="87" spans="1:54" s="684" customFormat="1" ht="15" customHeight="1">
      <c r="A87" s="449">
        <v>2015</v>
      </c>
      <c r="B87" s="676"/>
      <c r="C87" s="50" t="s">
        <v>435</v>
      </c>
      <c r="D87" s="51"/>
      <c r="E87" s="51"/>
      <c r="F87" s="51"/>
      <c r="G87" s="51"/>
      <c r="H87" s="51"/>
      <c r="I87" s="536" t="s">
        <v>0</v>
      </c>
      <c r="J87" s="524" t="s">
        <v>1045</v>
      </c>
      <c r="K87" s="447">
        <f>'More Comp Group'!D702</f>
        <v>1841</v>
      </c>
      <c r="L87" s="447">
        <f>'More Comp Group'!E702</f>
        <v>14860</v>
      </c>
      <c r="M87" s="447">
        <f>'More Comp Group'!F702</f>
        <v>8933</v>
      </c>
      <c r="N87" s="447">
        <f>'More Comp Group'!G702</f>
        <v>50397</v>
      </c>
      <c r="O87" s="447">
        <f>'More Comp Group'!H702</f>
        <v>157873</v>
      </c>
      <c r="P87" s="444">
        <f>'More Comp Group'!D706</f>
        <v>-16456</v>
      </c>
      <c r="Q87" s="444">
        <f>'More Comp Group'!E706</f>
        <v>-38490</v>
      </c>
      <c r="R87" s="444">
        <f>'More Comp Group'!F706</f>
        <v>33643</v>
      </c>
      <c r="S87" s="444">
        <f>'More Comp Group'!G706</f>
        <v>72191</v>
      </c>
      <c r="T87" s="444">
        <f>'More Comp Group'!H706</f>
        <v>-391925</v>
      </c>
      <c r="U87" s="443">
        <f>'More Comp Group'!D705</f>
        <v>130264</v>
      </c>
      <c r="V87" s="443">
        <f>'More Comp Group'!E705</f>
        <v>94762</v>
      </c>
      <c r="W87" s="443">
        <f>'More Comp Group'!F705</f>
        <v>137239</v>
      </c>
      <c r="X87" s="443">
        <f>'More Comp Group'!G705</f>
        <v>242112</v>
      </c>
      <c r="Y87" s="443">
        <f>'More Comp Group'!H705</f>
        <v>597174</v>
      </c>
      <c r="Z87" s="443">
        <f>'More Comp Group'!D707</f>
        <v>124511</v>
      </c>
      <c r="AA87" s="443">
        <f>'More Comp Group'!E707</f>
        <v>111937</v>
      </c>
      <c r="AB87" s="443">
        <f>'More Comp Group'!F707</f>
        <v>187935</v>
      </c>
      <c r="AC87" s="443">
        <f>'More Comp Group'!G707</f>
        <v>258456</v>
      </c>
      <c r="AD87" s="443">
        <f>'More Comp Group'!H707</f>
        <v>489098</v>
      </c>
      <c r="AE87" s="61">
        <f t="shared" si="34"/>
        <v>-0.80132202544275377</v>
      </c>
      <c r="AF87" s="61">
        <f t="shared" si="35"/>
        <v>0.27931640201813851</v>
      </c>
      <c r="AG87" s="61">
        <f t="shared" si="36"/>
        <v>0.17901402080506559</v>
      </c>
      <c r="AH87" s="61">
        <f t="shared" si="37"/>
        <v>3.6264168401572983</v>
      </c>
      <c r="AI87" s="61">
        <f t="shared" si="38"/>
        <v>4.4167023554603855</v>
      </c>
      <c r="AJ87" s="61">
        <f t="shared" si="39"/>
        <v>0.66362237651885747</v>
      </c>
      <c r="AK87" s="434"/>
      <c r="AL87" s="434"/>
      <c r="AM87" s="443">
        <f>'More Comp Group'!D710</f>
        <v>-5754</v>
      </c>
      <c r="AN87" s="443">
        <f>'More Comp Group'!E710</f>
        <v>17174</v>
      </c>
      <c r="AO87" s="443">
        <f>'More Comp Group'!F710</f>
        <v>50696</v>
      </c>
      <c r="AP87" s="443">
        <f>'More Comp Group'!G710</f>
        <v>16345</v>
      </c>
      <c r="AQ87" s="443">
        <f>'More Comp Group'!H710</f>
        <v>-108075</v>
      </c>
      <c r="AR87" s="443">
        <f>'More Comp Group'!D703</f>
        <v>68354</v>
      </c>
      <c r="AS87" s="443">
        <f>'More Comp Group'!E703</f>
        <v>72229</v>
      </c>
      <c r="AT87" s="443">
        <f>'More Comp Group'!F703</f>
        <v>129466</v>
      </c>
      <c r="AU87" s="443">
        <f>'More Comp Group'!G703</f>
        <v>157208</v>
      </c>
      <c r="AV87" s="443">
        <f>'More Comp Group'!H703</f>
        <v>82369</v>
      </c>
      <c r="AW87" s="553">
        <f t="shared" si="40"/>
        <v>-4.7581614442326607</v>
      </c>
      <c r="AX87" s="553">
        <f t="shared" si="41"/>
        <v>0.45920691058979185</v>
      </c>
      <c r="AY87" s="553">
        <f t="shared" si="42"/>
        <v>0.25985973151252068</v>
      </c>
      <c r="AZ87" s="538">
        <f t="shared" si="43"/>
        <v>-6.6108810328751328</v>
      </c>
      <c r="BA87" s="538">
        <f t="shared" si="44"/>
        <v>0.70948166827253933</v>
      </c>
      <c r="BB87" s="455">
        <f t="shared" si="45"/>
        <v>0.36877585172025873</v>
      </c>
    </row>
    <row r="88" spans="1:54" ht="15" customHeight="1">
      <c r="A88" s="449">
        <v>2015</v>
      </c>
      <c r="B88" s="535"/>
      <c r="C88" s="536" t="s">
        <v>435</v>
      </c>
      <c r="D88" s="536"/>
      <c r="E88" s="536"/>
      <c r="F88" s="536"/>
      <c r="G88" s="536"/>
      <c r="H88" s="536"/>
      <c r="I88" s="536" t="s">
        <v>0</v>
      </c>
      <c r="J88" s="524" t="s">
        <v>545</v>
      </c>
      <c r="K88" s="534">
        <f>'Comp Group'!N422</f>
        <v>12967</v>
      </c>
      <c r="L88" s="534">
        <f>'Comp Group'!O422</f>
        <v>6518</v>
      </c>
      <c r="M88" s="534">
        <f>'Comp Group'!P422</f>
        <v>5461</v>
      </c>
      <c r="N88" s="534">
        <f>'Comp Group'!Q422</f>
        <v>0</v>
      </c>
      <c r="O88" s="534">
        <f>'Comp Group'!R422</f>
        <v>0</v>
      </c>
      <c r="P88" s="534">
        <f>'Comp Group'!N426</f>
        <v>-7110</v>
      </c>
      <c r="Q88" s="534">
        <f>'Comp Group'!O426</f>
        <v>-36312</v>
      </c>
      <c r="R88" s="534">
        <f>'Comp Group'!P426</f>
        <v>-61987</v>
      </c>
      <c r="S88" s="534">
        <f>'Comp Group'!Q426</f>
        <v>-39285</v>
      </c>
      <c r="T88" s="534">
        <f>'Comp Group'!R426</f>
        <v>-12029</v>
      </c>
      <c r="U88" s="534">
        <f>'Comp Group'!N425</f>
        <v>78745</v>
      </c>
      <c r="V88" s="534">
        <f>'Comp Group'!O425</f>
        <v>17938</v>
      </c>
      <c r="W88" s="534">
        <f>'Comp Group'!P425</f>
        <v>4394</v>
      </c>
      <c r="X88" s="534">
        <f>'Comp Group'!Q425</f>
        <v>6925</v>
      </c>
      <c r="Y88" s="534">
        <f>'Comp Group'!R425</f>
        <v>5906</v>
      </c>
      <c r="Z88" s="534">
        <f>'Comp Group'!N420</f>
        <v>125057</v>
      </c>
      <c r="AA88" s="534">
        <f>'Comp Group'!O420</f>
        <v>35258</v>
      </c>
      <c r="AB88" s="534">
        <f>'Comp Group'!P420</f>
        <v>58722</v>
      </c>
      <c r="AC88" s="534">
        <f>'Comp Group'!Q420</f>
        <v>115096</v>
      </c>
      <c r="AD88" s="534">
        <f>'Comp Group'!R420</f>
        <v>153963</v>
      </c>
      <c r="AE88" s="538">
        <f t="shared" si="28"/>
        <v>-7.81291609022947E-2</v>
      </c>
      <c r="AF88" s="538">
        <f t="shared" si="29"/>
        <v>-0.34132376450962676</v>
      </c>
      <c r="AG88" s="538">
        <f t="shared" si="30"/>
        <v>-1.0556009672695073</v>
      </c>
      <c r="AH88" s="538">
        <f t="shared" si="31"/>
        <v>-8.124573643934431E-2</v>
      </c>
      <c r="AI88" s="538">
        <f t="shared" si="32"/>
        <v>-0.36317497295948081</v>
      </c>
      <c r="AJ88" s="538">
        <f t="shared" si="33"/>
        <v>-1.1409770284199676</v>
      </c>
      <c r="AK88" s="434"/>
      <c r="AL88" s="434"/>
      <c r="AM88" s="534">
        <f>'Comp Group'!N430</f>
        <v>46312</v>
      </c>
      <c r="AN88" s="534">
        <f>'Comp Group'!O430</f>
        <v>17320</v>
      </c>
      <c r="AO88" s="534">
        <f>'Comp Group'!P430</f>
        <v>54328</v>
      </c>
      <c r="AP88" s="534">
        <f>'Comp Group'!Q430</f>
        <v>108171</v>
      </c>
      <c r="AQ88" s="534">
        <f>'Comp Group'!R430</f>
        <v>148057</v>
      </c>
      <c r="AR88" s="534">
        <f>'Comp Group'!N423</f>
        <v>55925</v>
      </c>
      <c r="AS88" s="534">
        <f>'Comp Group'!O423</f>
        <v>11128</v>
      </c>
      <c r="AT88" s="534">
        <f>'Comp Group'!P423</f>
        <v>2013</v>
      </c>
      <c r="AU88" s="534">
        <f>'Comp Group'!Q423</f>
        <v>6232</v>
      </c>
      <c r="AV88" s="534">
        <f>'Comp Group'!R423</f>
        <v>4376</v>
      </c>
      <c r="AW88" s="553">
        <f t="shared" si="21"/>
        <v>-2.7488574040219378</v>
      </c>
      <c r="AX88" s="553">
        <f t="shared" si="13"/>
        <v>-6.3037548138639279</v>
      </c>
      <c r="AY88" s="553">
        <f t="shared" si="14"/>
        <v>-30.793343268753105</v>
      </c>
      <c r="AZ88" s="538">
        <f t="shared" si="15"/>
        <v>-0.18357496169958731</v>
      </c>
      <c r="BA88" s="538">
        <f t="shared" si="16"/>
        <v>-0.72060281926398573</v>
      </c>
      <c r="BB88" s="455">
        <f t="shared" si="17"/>
        <v>-3.3597791342750782</v>
      </c>
    </row>
    <row r="89" spans="1:54" ht="15" customHeight="1">
      <c r="A89" s="449">
        <v>2015</v>
      </c>
      <c r="B89" s="535"/>
      <c r="C89" s="536" t="s">
        <v>435</v>
      </c>
      <c r="D89" s="536"/>
      <c r="E89" s="536"/>
      <c r="F89" s="536"/>
      <c r="G89" s="536"/>
      <c r="H89" s="536"/>
      <c r="I89" s="536" t="s">
        <v>0</v>
      </c>
      <c r="J89" s="524" t="s">
        <v>546</v>
      </c>
      <c r="K89" s="534">
        <f>'Comp Group'!W422</f>
        <v>15185</v>
      </c>
      <c r="L89" s="534">
        <f>'Comp Group'!X422</f>
        <v>10707</v>
      </c>
      <c r="M89" s="534">
        <f>'Comp Group'!Y422</f>
        <v>6795</v>
      </c>
      <c r="N89" s="534">
        <f>'Comp Group'!Z422</f>
        <v>6079</v>
      </c>
      <c r="O89" s="534">
        <f>'Comp Group'!AA422</f>
        <v>30713</v>
      </c>
      <c r="P89" s="534">
        <f>'Comp Group'!W426</f>
        <v>428209</v>
      </c>
      <c r="Q89" s="534">
        <f>'Comp Group'!X426</f>
        <v>114036</v>
      </c>
      <c r="R89" s="534">
        <f>'Comp Group'!Y426</f>
        <v>-119925</v>
      </c>
      <c r="S89" s="534">
        <f>'Comp Group'!Z426</f>
        <v>53477</v>
      </c>
      <c r="T89" s="534">
        <f>'Comp Group'!AA426</f>
        <v>-154600</v>
      </c>
      <c r="U89" s="534">
        <f>'Comp Group'!W425</f>
        <v>643281</v>
      </c>
      <c r="V89" s="534">
        <f>'Comp Group'!X425</f>
        <v>564531</v>
      </c>
      <c r="W89" s="534">
        <f>'Comp Group'!Y425</f>
        <v>572987</v>
      </c>
      <c r="X89" s="534">
        <f>'Comp Group'!Z425</f>
        <v>439061</v>
      </c>
      <c r="Y89" s="534">
        <f>'Comp Group'!AA425</f>
        <v>624343</v>
      </c>
      <c r="Z89" s="534">
        <f>'Comp Group'!W420</f>
        <v>1243244</v>
      </c>
      <c r="AA89" s="534">
        <f>'Comp Group'!X420</f>
        <v>786258</v>
      </c>
      <c r="AB89" s="534">
        <f>'Comp Group'!Y420</f>
        <v>704749</v>
      </c>
      <c r="AC89" s="534">
        <f>'Comp Group'!Z420</f>
        <v>692814</v>
      </c>
      <c r="AD89" s="534">
        <f>'Comp Group'!AA420</f>
        <v>709209</v>
      </c>
      <c r="AE89" s="538">
        <f t="shared" si="28"/>
        <v>-0.21798933741675586</v>
      </c>
      <c r="AF89" s="538">
        <f t="shared" si="29"/>
        <v>7.7188105321197326E-2</v>
      </c>
      <c r="AG89" s="538">
        <f t="shared" si="30"/>
        <v>-0.17016696724649485</v>
      </c>
      <c r="AH89" s="538">
        <f t="shared" si="31"/>
        <v>-1.8216953785968468</v>
      </c>
      <c r="AI89" s="538">
        <f t="shared" si="32"/>
        <v>0.21074430647125353</v>
      </c>
      <c r="AJ89" s="538">
        <f t="shared" si="33"/>
        <v>-0.91016378014905663</v>
      </c>
      <c r="AK89" s="434"/>
      <c r="AL89" s="434"/>
      <c r="AM89" s="534">
        <f>'Comp Group'!W430</f>
        <v>599963</v>
      </c>
      <c r="AN89" s="534">
        <f>'Comp Group'!X430</f>
        <v>221727</v>
      </c>
      <c r="AO89" s="534">
        <f>'Comp Group'!Y430</f>
        <v>131762</v>
      </c>
      <c r="AP89" s="534">
        <f>'Comp Group'!Z430</f>
        <v>253753</v>
      </c>
      <c r="AQ89" s="534">
        <f>'Comp Group'!AA430</f>
        <v>84866</v>
      </c>
      <c r="AR89" s="534">
        <f>'Comp Group'!W423</f>
        <v>644000</v>
      </c>
      <c r="AS89" s="534">
        <f>'Comp Group'!X423</f>
        <v>419000</v>
      </c>
      <c r="AT89" s="534">
        <f>'Comp Group'!Y423</f>
        <v>529000</v>
      </c>
      <c r="AU89" s="534">
        <f>'Comp Group'!Z423</f>
        <v>448000</v>
      </c>
      <c r="AV89" s="534">
        <f>'Comp Group'!AA423</f>
        <v>349000</v>
      </c>
      <c r="AW89" s="553">
        <f t="shared" si="21"/>
        <v>-0.44297994269340973</v>
      </c>
      <c r="AX89" s="553">
        <f t="shared" si="13"/>
        <v>0.11936830357142857</v>
      </c>
      <c r="AY89" s="553">
        <f t="shared" si="14"/>
        <v>-0.22670132325141776</v>
      </c>
      <c r="AZ89" s="538">
        <f t="shared" si="15"/>
        <v>-0.60796101905225619</v>
      </c>
      <c r="BA89" s="538">
        <f t="shared" si="16"/>
        <v>0.1528360667284076</v>
      </c>
      <c r="BB89" s="455">
        <f t="shared" si="17"/>
        <v>-0.35448352690938206</v>
      </c>
    </row>
    <row r="90" spans="1:54" ht="15" customHeight="1">
      <c r="A90" s="449">
        <v>2014</v>
      </c>
      <c r="B90" s="676"/>
      <c r="C90" s="50" t="s">
        <v>487</v>
      </c>
      <c r="D90" s="51"/>
      <c r="E90" s="51"/>
      <c r="F90" s="51"/>
      <c r="G90" s="51"/>
      <c r="H90" s="51"/>
      <c r="I90" s="51" t="s">
        <v>137</v>
      </c>
      <c r="J90" s="524" t="s">
        <v>547</v>
      </c>
      <c r="K90" s="444">
        <f>'Comp Group'!N435*BO8</f>
        <v>60061.205798000003</v>
      </c>
      <c r="L90" s="444">
        <f>'Comp Group'!O435*BP8</f>
        <v>50000.474205000006</v>
      </c>
      <c r="M90" s="444">
        <f>'Comp Group'!P435*BQ8</f>
        <v>43811.901453999999</v>
      </c>
      <c r="N90" s="444">
        <f>'Comp Group'!Q435*BR8</f>
        <v>57697.839825000003</v>
      </c>
      <c r="O90" s="444">
        <f>'Comp Group'!R435*BS8</f>
        <v>54547.246920999998</v>
      </c>
      <c r="P90" s="444">
        <f>'Comp Group'!N439*BO8</f>
        <v>-2509.9403120000002</v>
      </c>
      <c r="Q90" s="444">
        <f>'Comp Group'!O439*BP8</f>
        <v>-2334.391224</v>
      </c>
      <c r="R90" s="444">
        <f>'Comp Group'!P439*BQ8</f>
        <v>-13141.620088</v>
      </c>
      <c r="S90" s="444">
        <f>'Comp Group'!Q439*BR8</f>
        <v>-1875.6354900000001</v>
      </c>
      <c r="T90" s="444">
        <f>'Comp Group'!R439*BS8</f>
        <v>-22626.441095999999</v>
      </c>
      <c r="U90" s="443">
        <f>'Comp Group'!N438*BO8</f>
        <v>55820.021686</v>
      </c>
      <c r="V90" s="443">
        <f>'Comp Group'!O438*BP8</f>
        <v>41500.566217</v>
      </c>
      <c r="W90" s="443">
        <f>'Comp Group'!P438*BQ8</f>
        <v>44757.137088000003</v>
      </c>
      <c r="X90" s="443">
        <f>'Comp Group'!Q438*BR8</f>
        <v>51535.082985000001</v>
      </c>
      <c r="Y90" s="443">
        <f>'Comp Group'!R438*BS8</f>
        <v>51651.516051999999</v>
      </c>
      <c r="Z90" s="443">
        <f>'Comp Group'!N433*BO8</f>
        <v>112205.78479000001</v>
      </c>
      <c r="AA90" s="443">
        <f>'Comp Group'!O433*BP8</f>
        <v>99406.278675000009</v>
      </c>
      <c r="AB90" s="443">
        <f>'Comp Group'!P433*BQ8</f>
        <v>90443.236204000001</v>
      </c>
      <c r="AC90" s="443">
        <f>'Comp Group'!Q433*BR8</f>
        <v>119027.395185</v>
      </c>
      <c r="AD90" s="443">
        <f>'Comp Group'!R433*BS8</f>
        <v>125283.139668</v>
      </c>
      <c r="AE90" s="61">
        <f t="shared" si="28"/>
        <v>-0.18060244304189702</v>
      </c>
      <c r="AF90" s="61">
        <f t="shared" si="29"/>
        <v>-1.5758015094632351E-2</v>
      </c>
      <c r="AG90" s="61">
        <f t="shared" si="30"/>
        <v>-0.14530240888725288</v>
      </c>
      <c r="AH90" s="61">
        <f t="shared" si="31"/>
        <v>-0.30729243747225099</v>
      </c>
      <c r="AI90" s="61">
        <f t="shared" si="32"/>
        <v>-2.7790357580903861E-2</v>
      </c>
      <c r="AJ90" s="61">
        <f t="shared" si="33"/>
        <v>-0.28765029937514613</v>
      </c>
      <c r="AK90" s="434"/>
      <c r="AL90" s="434"/>
      <c r="AM90" s="443">
        <f>'Comp Group'!N443*BO8</f>
        <v>56385.763104000005</v>
      </c>
      <c r="AN90" s="443">
        <f>'Comp Group'!O443*BP8</f>
        <v>57905.712458000002</v>
      </c>
      <c r="AO90" s="443">
        <f>'Comp Group'!P443*BQ8</f>
        <v>45686.099115999998</v>
      </c>
      <c r="AP90" s="443">
        <f>'Comp Group'!Q443*BR8</f>
        <v>67492.3122</v>
      </c>
      <c r="AQ90" s="443">
        <f>'Comp Group'!R443*BS8</f>
        <v>73631.623615999997</v>
      </c>
      <c r="AR90" s="443">
        <f>'Long Term Debt'!C47*BO8</f>
        <v>26143.234172</v>
      </c>
      <c r="AS90" s="443">
        <f>'Long Term Debt'!D47*BP8</f>
        <v>33536.396729</v>
      </c>
      <c r="AT90" s="443">
        <f>'Long Term Debt'!E47*BQ8</f>
        <v>20782.885574</v>
      </c>
      <c r="AU90" s="443">
        <f>'Long Term Debt'!F47*BR8</f>
        <v>30654.748395000002</v>
      </c>
      <c r="AV90" s="443">
        <f>'Long Term Debt'!G47*BS8</f>
        <v>3385.2484939999999</v>
      </c>
      <c r="AW90" s="553">
        <f t="shared" si="21"/>
        <v>-6.6838346242832714</v>
      </c>
      <c r="AX90" s="553">
        <f t="shared" si="13"/>
        <v>-6.1185806056262691E-2</v>
      </c>
      <c r="AY90" s="553">
        <f t="shared" si="14"/>
        <v>-0.63232894398651518</v>
      </c>
      <c r="AZ90" s="538">
        <f t="shared" si="15"/>
        <v>-2.9362022172807922</v>
      </c>
      <c r="BA90" s="538">
        <f t="shared" si="16"/>
        <v>-4.2249526462353068E-2</v>
      </c>
      <c r="BB90" s="455">
        <f t="shared" si="17"/>
        <v>-0.45821948725096429</v>
      </c>
    </row>
    <row r="91" spans="1:54" ht="15" customHeight="1">
      <c r="A91" s="449">
        <v>2014</v>
      </c>
      <c r="B91" s="676"/>
      <c r="C91" s="50" t="s">
        <v>487</v>
      </c>
      <c r="D91" s="51"/>
      <c r="E91" s="51"/>
      <c r="F91" s="51"/>
      <c r="G91" s="51"/>
      <c r="H91" s="51"/>
      <c r="I91" s="51" t="s">
        <v>137</v>
      </c>
      <c r="J91" s="524" t="s">
        <v>548</v>
      </c>
      <c r="K91" s="444">
        <f>'Comp Group'!W436*BO8</f>
        <v>163075.902</v>
      </c>
      <c r="L91" s="444">
        <f>'Comp Group'!X436*BP8</f>
        <v>176793.70500000002</v>
      </c>
      <c r="M91" s="444">
        <f>'Comp Group'!Y436*BQ8</f>
        <v>200128.08600000001</v>
      </c>
      <c r="N91" s="444">
        <f>'Comp Group'!Z436*BR8</f>
        <v>142033.77900000001</v>
      </c>
      <c r="O91" s="444">
        <f>'Comp Group'!AA436*BS8</f>
        <v>146906.3676</v>
      </c>
      <c r="P91" s="444">
        <f>'Comp Group'!W440*BO8</f>
        <v>51574.116000000002</v>
      </c>
      <c r="Q91" s="444">
        <f>'Comp Group'!X440*BP8</f>
        <v>73455.701000000001</v>
      </c>
      <c r="R91" s="444">
        <f>'Comp Group'!Y440*BQ8</f>
        <v>42733.743999999999</v>
      </c>
      <c r="S91" s="444">
        <f>'Comp Group'!Z440*BR8</f>
        <v>-8692.0470000000005</v>
      </c>
      <c r="T91" s="444">
        <f>'Comp Group'!AA440*BS8</f>
        <v>18763.4234</v>
      </c>
      <c r="U91" s="443">
        <f>'Comp Group'!W439*BO8</f>
        <v>395643.68800000002</v>
      </c>
      <c r="V91" s="443">
        <f>'Comp Group'!X439*BP8</f>
        <v>309180.641</v>
      </c>
      <c r="W91" s="443">
        <f>'Comp Group'!Y439*BQ8</f>
        <v>366466.7</v>
      </c>
      <c r="X91" s="443">
        <f>'Comp Group'!Z439*BR8</f>
        <v>462827.62349999999</v>
      </c>
      <c r="Y91" s="443">
        <f>'Comp Group'!AA439*BS8</f>
        <v>380734.03869999998</v>
      </c>
      <c r="Z91" s="443">
        <f>'Comp Group'!W434*BO8</f>
        <v>615499.54399999999</v>
      </c>
      <c r="AA91" s="443">
        <f>'Comp Group'!X434*BP8</f>
        <v>517523.391</v>
      </c>
      <c r="AB91" s="443">
        <f>'Comp Group'!Y434*BQ8</f>
        <v>547339.75600000005</v>
      </c>
      <c r="AC91" s="443">
        <f>'Comp Group'!Z434*BR8</f>
        <v>683662.92749999999</v>
      </c>
      <c r="AD91" s="443">
        <f>'Comp Group'!AA434*BS8</f>
        <v>664126.43350000004</v>
      </c>
      <c r="AE91" s="61">
        <f t="shared" si="28"/>
        <v>2.8252788104089217E-2</v>
      </c>
      <c r="AF91" s="61">
        <f t="shared" si="29"/>
        <v>-1.2713936430317849E-2</v>
      </c>
      <c r="AG91" s="61">
        <f t="shared" si="30"/>
        <v>7.807535179300952E-2</v>
      </c>
      <c r="AH91" s="61">
        <f t="shared" si="31"/>
        <v>6.6210045662100453E-2</v>
      </c>
      <c r="AI91" s="61">
        <f t="shared" si="32"/>
        <v>-3.9359861591695501E-2</v>
      </c>
      <c r="AJ91" s="61">
        <f t="shared" si="33"/>
        <v>0.23626373626373623</v>
      </c>
      <c r="AK91" s="434"/>
      <c r="AL91" s="434"/>
      <c r="AM91" s="443">
        <f>'Comp Group'!W444*BO8</f>
        <v>219855.856</v>
      </c>
      <c r="AN91" s="443">
        <f>'Comp Group'!X444*BP8</f>
        <v>208342.75</v>
      </c>
      <c r="AO91" s="443">
        <f>'Comp Group'!Y444*BQ8</f>
        <v>180873.05600000001</v>
      </c>
      <c r="AP91" s="443">
        <f>'Comp Group'!Z444*BR8</f>
        <v>220835.304</v>
      </c>
      <c r="AQ91" s="443">
        <f>'Comp Group'!AA444*BS8</f>
        <v>283392.39480000001</v>
      </c>
      <c r="AR91" s="443">
        <f>'Long Term Debt'!C48*BO8</f>
        <v>200364.23</v>
      </c>
      <c r="AS91" s="443">
        <f>'Long Term Debt'!D48*BP8</f>
        <v>120719.74200000001</v>
      </c>
      <c r="AT91" s="443">
        <f>'Long Term Debt'!E48*BQ8</f>
        <v>183854.48</v>
      </c>
      <c r="AU91" s="443">
        <f>'Long Term Debt'!F48*BR8</f>
        <v>289177.71750000003</v>
      </c>
      <c r="AV91" s="443">
        <f>'Long Term Debt'!G48*BS8</f>
        <v>199450.76380000002</v>
      </c>
      <c r="AW91" s="553">
        <f t="shared" ref="AW91:AW114" si="46">T91/AV91</f>
        <v>9.4075465255250124E-2</v>
      </c>
      <c r="AX91" s="553">
        <f t="shared" ref="AX91:AX114" si="47">S91/AU91</f>
        <v>-3.0057803468208091E-2</v>
      </c>
      <c r="AY91" s="553">
        <f t="shared" ref="AY91:AY114" si="48">R91/AT91</f>
        <v>0.23243243243243242</v>
      </c>
      <c r="AZ91" s="538">
        <f t="shared" ref="AZ91:AZ114" si="49">((AQ91/(AQ91+Y91))*AH91)+(Y91/(AQ91+Y91))*AW91</f>
        <v>8.2184886003657157E-2</v>
      </c>
      <c r="BA91" s="538">
        <f t="shared" ref="BA91:BA114" si="50">((AP91/(AP91+X91))*AI91)+(X91/(AP91+X91))*AX91</f>
        <v>-3.3062533944142831E-2</v>
      </c>
      <c r="BB91" s="455">
        <f t="shared" ref="BB91:BB114" si="51">((AO91/(AO91+W91))*AJ91)+(W91/(AO91+W91))*AY91</f>
        <v>0.23369851921826501</v>
      </c>
    </row>
    <row r="92" spans="1:54" ht="15" customHeight="1">
      <c r="A92" s="449">
        <v>2014</v>
      </c>
      <c r="B92" s="535"/>
      <c r="C92" s="411" t="s">
        <v>487</v>
      </c>
      <c r="D92" s="536"/>
      <c r="E92" s="536"/>
      <c r="F92" s="536"/>
      <c r="G92" s="536"/>
      <c r="H92" s="536"/>
      <c r="I92" s="536" t="s">
        <v>549</v>
      </c>
      <c r="J92" s="524" t="s">
        <v>550</v>
      </c>
      <c r="K92" s="534">
        <f>'Comp Group'!N448*BO8</f>
        <v>848.43052800000009</v>
      </c>
      <c r="L92" s="534">
        <f>'Comp Group'!O448*BP8</f>
        <v>861.11034900000004</v>
      </c>
      <c r="M92" s="534">
        <f>'Comp Group'!P448*BQ8</f>
        <v>1094.306834</v>
      </c>
      <c r="N92" s="534">
        <f>'Comp Group'!Q448*BR8</f>
        <v>1870.382055</v>
      </c>
      <c r="O92" s="534">
        <f>'Comp Group'!R448*BS8</f>
        <v>1847.737484</v>
      </c>
      <c r="P92" s="534">
        <f>'Comp Group'!N452*BO8</f>
        <v>-1412.5980880000002</v>
      </c>
      <c r="Q92" s="534">
        <f>'Comp Group'!O452*BP8</f>
        <v>-9582.8140760000006</v>
      </c>
      <c r="R92" s="534">
        <f>'Comp Group'!P452*BQ8</f>
        <v>36524.058938000002</v>
      </c>
      <c r="S92" s="534">
        <f>'Comp Group'!Q452*BR8</f>
        <v>30576.58365</v>
      </c>
      <c r="T92" s="534">
        <f>'Comp Group'!R452*BS8</f>
        <v>-8931.1852180000005</v>
      </c>
      <c r="U92" s="534">
        <f>'Comp Group'!N451*BO8</f>
        <v>2552.313412</v>
      </c>
      <c r="V92" s="534">
        <f>'Comp Group'!O451*BP8</f>
        <v>3173.1196090000003</v>
      </c>
      <c r="W92" s="534">
        <f>'Comp Group'!P451*BQ8</f>
        <v>13517.155286000001</v>
      </c>
      <c r="X92" s="534">
        <f>'Comp Group'!Q451*BR8</f>
        <v>13150.302975000001</v>
      </c>
      <c r="Y92" s="534">
        <f>'Comp Group'!R451*BS8</f>
        <v>482.36641100000003</v>
      </c>
      <c r="Z92" s="534">
        <f>'Comp Group'!N446*BO8</f>
        <v>56142.904708000002</v>
      </c>
      <c r="AA92" s="534">
        <f>'Comp Group'!O446*BP8</f>
        <v>57691.059899</v>
      </c>
      <c r="AB92" s="534">
        <f>'Comp Group'!P446*BQ8</f>
        <v>89462.099256000001</v>
      </c>
      <c r="AC92" s="534">
        <f>'Comp Group'!Q446*BR8</f>
        <v>93915.020715000006</v>
      </c>
      <c r="AD92" s="534">
        <f>'Comp Group'!R446*BS8</f>
        <v>69276.874823999999</v>
      </c>
      <c r="AE92" s="538">
        <f t="shared" si="28"/>
        <v>-0.12892015179220984</v>
      </c>
      <c r="AF92" s="538">
        <f t="shared" si="29"/>
        <v>0.32557713789777554</v>
      </c>
      <c r="AG92" s="538">
        <f t="shared" si="30"/>
        <v>0.40826293192030616</v>
      </c>
      <c r="AH92" s="538">
        <f t="shared" si="31"/>
        <v>-0.12982410113875145</v>
      </c>
      <c r="AI92" s="538">
        <f t="shared" si="32"/>
        <v>0.37858837999574241</v>
      </c>
      <c r="AJ92" s="538">
        <f t="shared" si="33"/>
        <v>0.48092811751138881</v>
      </c>
      <c r="AK92" s="434"/>
      <c r="AL92" s="434"/>
      <c r="AM92" s="534">
        <f>'Comp Group'!N456*BO8</f>
        <v>53590.591296000006</v>
      </c>
      <c r="AN92" s="534">
        <f>'Comp Group'!O456*BP8</f>
        <v>54517.940290000006</v>
      </c>
      <c r="AO92" s="534">
        <f>'Comp Group'!P456*BQ8</f>
        <v>75944.943970000008</v>
      </c>
      <c r="AP92" s="534">
        <f>'Comp Group'!Q456*BR8</f>
        <v>80764.717740000007</v>
      </c>
      <c r="AQ92" s="534">
        <f>'Comp Group'!R456*BS8</f>
        <v>68794.508413000003</v>
      </c>
      <c r="AR92" s="534">
        <f>'Long Term Debt'!C49*BO8</f>
        <v>898030.17860600003</v>
      </c>
      <c r="AS92" s="534">
        <f>'Long Term Debt'!D49*BP8</f>
        <v>625403.38600300008</v>
      </c>
      <c r="AT92" s="534">
        <f>'Long Term Debt'!E49*BQ8</f>
        <v>725827.30012200004</v>
      </c>
      <c r="AU92" s="534">
        <f>'Long Term Debt'!F49*BR8</f>
        <v>547541.17321499996</v>
      </c>
      <c r="AV92" s="534">
        <f>'Long Term Debt'!G49*BS8</f>
        <v>419107.11249000003</v>
      </c>
      <c r="AW92" s="553">
        <f t="shared" si="46"/>
        <v>-2.1310030185214525E-2</v>
      </c>
      <c r="AX92" s="553">
        <f t="shared" si="47"/>
        <v>5.5843441819111682E-2</v>
      </c>
      <c r="AY92" s="553">
        <f t="shared" si="48"/>
        <v>5.0320591319534119E-2</v>
      </c>
      <c r="AZ92" s="538">
        <f t="shared" si="49"/>
        <v>-0.12906853092745313</v>
      </c>
      <c r="BA92" s="538">
        <f t="shared" si="50"/>
        <v>0.33339652795377767</v>
      </c>
      <c r="BB92" s="455">
        <f t="shared" si="51"/>
        <v>0.41586605383010039</v>
      </c>
    </row>
    <row r="93" spans="1:54" ht="15" customHeight="1">
      <c r="A93" s="680">
        <v>2014</v>
      </c>
      <c r="B93" s="681"/>
      <c r="C93" s="53" t="s">
        <v>487</v>
      </c>
      <c r="D93" s="751"/>
      <c r="E93" s="751"/>
      <c r="F93" s="751"/>
      <c r="G93" s="751"/>
      <c r="H93" s="751"/>
      <c r="I93" s="751" t="s">
        <v>549</v>
      </c>
      <c r="J93" s="740" t="s">
        <v>551</v>
      </c>
      <c r="K93" s="756">
        <f>'Comp Group'!W449*BO8</f>
        <v>762.8368660000001</v>
      </c>
      <c r="L93" s="756">
        <f>'Comp Group'!X449*BP8</f>
        <v>379.064752</v>
      </c>
      <c r="M93" s="756">
        <f>'Comp Group'!Y449*BQ8</f>
        <v>298.14240000000001</v>
      </c>
      <c r="N93" s="756">
        <f>'Comp Group'!Z449*BR8</f>
        <v>31.839000000000002</v>
      </c>
      <c r="O93" s="756">
        <f>'Comp Group'!AA449*BS8</f>
        <v>26.731919000000001</v>
      </c>
      <c r="P93" s="756">
        <f>'Comp Group'!W453*BO8</f>
        <v>-3961.1584540000003</v>
      </c>
      <c r="Q93" s="756">
        <f>'Comp Group'!X453*BP8</f>
        <v>-2637.7382680000001</v>
      </c>
      <c r="R93" s="756">
        <f>'Comp Group'!Y453*BQ8</f>
        <v>-1483.631118</v>
      </c>
      <c r="S93" s="756">
        <f>'Comp Group'!Z453*BR8</f>
        <v>1197.305595</v>
      </c>
      <c r="T93" s="756">
        <f>'Comp Group'!AA453*BS8</f>
        <v>-6237.3910109999997</v>
      </c>
      <c r="U93" s="756">
        <f>'Comp Group'!W452*BO8</f>
        <v>774.70133400000009</v>
      </c>
      <c r="V93" s="756">
        <f>'Comp Group'!X452*BP8</f>
        <v>377.51706300000001</v>
      </c>
      <c r="W93" s="756">
        <f>'Comp Group'!Y452*BQ8</f>
        <v>762.12651000000005</v>
      </c>
      <c r="X93" s="756">
        <f>'Comp Group'!Z452*BR8</f>
        <v>317.75322</v>
      </c>
      <c r="Y93" s="756">
        <f>'Comp Group'!AA452*BS8</f>
        <v>1115.078583</v>
      </c>
      <c r="Z93" s="756">
        <f>'Comp Group'!W447*BO8</f>
        <v>176468.82825000002</v>
      </c>
      <c r="AA93" s="756">
        <f>'Comp Group'!X447*BP8</f>
        <v>87402.521844000003</v>
      </c>
      <c r="AB93" s="756">
        <f>'Comp Group'!Y447*BQ8</f>
        <v>92204.636658000003</v>
      </c>
      <c r="AC93" s="756">
        <f>'Comp Group'!Z447*BR8</f>
        <v>33884.814944999998</v>
      </c>
      <c r="AD93" s="756">
        <f>'Comp Group'!AA447*BS8</f>
        <v>2592.144808</v>
      </c>
      <c r="AE93" s="766">
        <f t="shared" si="28"/>
        <v>-2.4062664214398319</v>
      </c>
      <c r="AF93" s="766">
        <f t="shared" si="29"/>
        <v>3.5334576769665164E-2</v>
      </c>
      <c r="AG93" s="766">
        <f t="shared" si="30"/>
        <v>-1.6090634612042309E-2</v>
      </c>
      <c r="AH93" s="766">
        <f t="shared" si="31"/>
        <v>-4.2228242074927955</v>
      </c>
      <c r="AI93" s="766">
        <f t="shared" si="32"/>
        <v>3.5669061677456072E-2</v>
      </c>
      <c r="AJ93" s="766">
        <f t="shared" si="33"/>
        <v>-1.6224741814269295E-2</v>
      </c>
      <c r="AK93" s="751"/>
      <c r="AL93" s="751"/>
      <c r="AM93" s="756">
        <f>'Comp Group'!W457*BO8</f>
        <v>175694.12691600001</v>
      </c>
      <c r="AN93" s="756">
        <f>'Comp Group'!X457*BP8</f>
        <v>87025.004781000011</v>
      </c>
      <c r="AO93" s="756">
        <f>'Comp Group'!Y457*BQ8</f>
        <v>91442.510148000001</v>
      </c>
      <c r="AP93" s="756">
        <f>'Comp Group'!Z457*BR8</f>
        <v>33567.061725</v>
      </c>
      <c r="AQ93" s="756">
        <f>'Comp Group'!AA457*BS8</f>
        <v>1477.066225</v>
      </c>
      <c r="AR93" s="756">
        <f>'Long Term Debt'!C53*BO8</f>
        <v>0</v>
      </c>
      <c r="AS93" s="756">
        <f>'Long Term Debt'!D53*BP8</f>
        <v>0</v>
      </c>
      <c r="AT93" s="756">
        <f>'Long Term Debt'!E53*BQ8</f>
        <v>0</v>
      </c>
      <c r="AU93" s="756">
        <f>'Long Term Debt'!F53*BR8</f>
        <v>0</v>
      </c>
      <c r="AV93" s="756">
        <f>'Long Term Debt'!G53*BS8</f>
        <v>0</v>
      </c>
      <c r="AW93" s="743" t="e">
        <f t="shared" si="46"/>
        <v>#DIV/0!</v>
      </c>
      <c r="AX93" s="743" t="e">
        <f t="shared" si="47"/>
        <v>#DIV/0!</v>
      </c>
      <c r="AY93" s="743" t="e">
        <f t="shared" si="48"/>
        <v>#DIV/0!</v>
      </c>
      <c r="AZ93" s="766" t="e">
        <f t="shared" si="49"/>
        <v>#DIV/0!</v>
      </c>
      <c r="BA93" s="766" t="e">
        <f t="shared" si="50"/>
        <v>#DIV/0!</v>
      </c>
      <c r="BB93" s="760" t="e">
        <f t="shared" si="51"/>
        <v>#DIV/0!</v>
      </c>
    </row>
    <row r="94" spans="1:54" ht="15" customHeight="1">
      <c r="A94" s="449">
        <v>2014</v>
      </c>
      <c r="B94" s="676"/>
      <c r="C94" s="50" t="s">
        <v>487</v>
      </c>
      <c r="D94" s="51"/>
      <c r="E94" s="51"/>
      <c r="F94" s="51"/>
      <c r="G94" s="51"/>
      <c r="H94" s="51"/>
      <c r="I94" s="51" t="s">
        <v>140</v>
      </c>
      <c r="J94" s="524" t="s">
        <v>552</v>
      </c>
      <c r="K94" s="444">
        <f>'Comp Group'!N462*BO8</f>
        <v>704604.12</v>
      </c>
      <c r="L94" s="444">
        <f>'Comp Group'!O462*BP8</f>
        <v>576216.52</v>
      </c>
      <c r="M94" s="444">
        <f>'Comp Group'!P462*BQ8</f>
        <v>479760.81200000003</v>
      </c>
      <c r="N94" s="444">
        <f>'Comp Group'!Q462*BR8</f>
        <v>513785.94300000003</v>
      </c>
      <c r="O94" s="444">
        <f>'Comp Group'!R462*BS8</f>
        <v>268340.79200000002</v>
      </c>
      <c r="P94" s="444">
        <f>'Comp Group'!N466*BO8</f>
        <v>546491.924</v>
      </c>
      <c r="Q94" s="444">
        <f>'Comp Group'!O466*BP8</f>
        <v>324062.266</v>
      </c>
      <c r="R94" s="444">
        <f>'Comp Group'!P466*BQ8</f>
        <v>338018.946</v>
      </c>
      <c r="S94" s="444">
        <f>'Comp Group'!Q466*BR8</f>
        <v>163286.31150000001</v>
      </c>
      <c r="T94" s="444">
        <f>'Comp Group'!R466*BS8</f>
        <v>79514.688999999998</v>
      </c>
      <c r="U94" s="443">
        <f>'Comp Group'!N465*BO8</f>
        <v>2962727.1520000002</v>
      </c>
      <c r="V94" s="443">
        <f>'Comp Group'!O465*BP8</f>
        <v>2829413.5980000002</v>
      </c>
      <c r="W94" s="443">
        <f>'Comp Group'!P465*BQ8</f>
        <v>2517439.89</v>
      </c>
      <c r="X94" s="443">
        <f>'Comp Group'!Q465*BR8</f>
        <v>3149768.5920000002</v>
      </c>
      <c r="Y94" s="443">
        <f>'Comp Group'!R465*BS8</f>
        <v>3175990.3510000003</v>
      </c>
      <c r="Z94" s="443">
        <f>'Comp Group'!N460*BO8</f>
        <v>5255475.0600000005</v>
      </c>
      <c r="AA94" s="443">
        <f>'Comp Group'!O460*BP8</f>
        <v>4629971.17</v>
      </c>
      <c r="AB94" s="443">
        <f>'Comp Group'!P460*BQ8</f>
        <v>4176353.8940000003</v>
      </c>
      <c r="AC94" s="443">
        <f>'Comp Group'!Q460*BR8</f>
        <v>4911117.9915000005</v>
      </c>
      <c r="AD94" s="443">
        <f>'Comp Group'!R460*BS8</f>
        <v>4536934.4819999998</v>
      </c>
      <c r="AE94" s="61">
        <f t="shared" si="28"/>
        <v>1.7526082714103431E-2</v>
      </c>
      <c r="AF94" s="61">
        <f t="shared" si="29"/>
        <v>3.3248297390250148E-2</v>
      </c>
      <c r="AG94" s="61">
        <f t="shared" si="30"/>
        <v>8.0936375263987614E-2</v>
      </c>
      <c r="AH94" s="61">
        <f t="shared" si="31"/>
        <v>5.8426122857500311E-2</v>
      </c>
      <c r="AI94" s="61">
        <f t="shared" si="32"/>
        <v>9.2706073752711504E-2</v>
      </c>
      <c r="AJ94" s="61">
        <f t="shared" si="33"/>
        <v>0.20375917328141382</v>
      </c>
      <c r="AK94" s="434"/>
      <c r="AL94" s="434"/>
      <c r="AM94" s="443">
        <f>'Comp Group'!N470*BO8</f>
        <v>2292747.9080000003</v>
      </c>
      <c r="AN94" s="443">
        <f>'Comp Group'!O470*BP8</f>
        <v>1800557.5720000002</v>
      </c>
      <c r="AO94" s="443">
        <f>'Comp Group'!P470*BQ8</f>
        <v>1658914.004</v>
      </c>
      <c r="AP94" s="443">
        <f>'Comp Group'!Q470*BR8</f>
        <v>1761333.48</v>
      </c>
      <c r="AQ94" s="443">
        <f>'Comp Group'!R470*BS8</f>
        <v>1360944.1310000001</v>
      </c>
      <c r="AR94" s="443">
        <f>'Long Term Debt'!C54*BO8</f>
        <v>2325556.7940000002</v>
      </c>
      <c r="AS94" s="443">
        <f>'Long Term Debt'!D54*BP8</f>
        <v>2362130.5730000003</v>
      </c>
      <c r="AT94" s="443">
        <f>'Long Term Debt'!E54*BQ8</f>
        <v>2082524.6640000001</v>
      </c>
      <c r="AU94" s="443">
        <f>'Long Term Debt'!F54*BR8</f>
        <v>2606547.4934999999</v>
      </c>
      <c r="AV94" s="443">
        <f>'Long Term Debt'!G54*BS8</f>
        <v>2603552.6970000002</v>
      </c>
      <c r="AW94" s="553">
        <f t="shared" si="46"/>
        <v>3.0540841017592045E-2</v>
      </c>
      <c r="AX94" s="553">
        <f t="shared" si="47"/>
        <v>6.2644671507881736E-2</v>
      </c>
      <c r="AY94" s="553">
        <f t="shared" si="48"/>
        <v>0.16231209735146743</v>
      </c>
      <c r="AZ94" s="538">
        <f t="shared" si="49"/>
        <v>3.8905588362273674E-2</v>
      </c>
      <c r="BA94" s="538">
        <f t="shared" si="50"/>
        <v>7.3425989723897384E-2</v>
      </c>
      <c r="BB94" s="455">
        <f t="shared" si="51"/>
        <v>0.17877553326474577</v>
      </c>
    </row>
    <row r="95" spans="1:54" ht="15" customHeight="1">
      <c r="A95" s="449">
        <v>2014</v>
      </c>
      <c r="B95" s="676"/>
      <c r="C95" s="50" t="s">
        <v>487</v>
      </c>
      <c r="D95" s="51"/>
      <c r="E95" s="51"/>
      <c r="F95" s="51"/>
      <c r="G95" s="51"/>
      <c r="H95" s="51"/>
      <c r="I95" s="51" t="s">
        <v>140</v>
      </c>
      <c r="J95" s="524" t="s">
        <v>553</v>
      </c>
      <c r="K95" s="444">
        <f>'Comp Group'!W462*BO8</f>
        <v>390901.77491199999</v>
      </c>
      <c r="L95" s="444">
        <f>'Comp Group'!X462*BP8</f>
        <v>357200.311391</v>
      </c>
      <c r="M95" s="444">
        <f>'Comp Group'!Y462*BQ8</f>
        <v>403242.81349199999</v>
      </c>
      <c r="N95" s="444">
        <f>'Comp Group'!Z462*BR8</f>
        <v>468868.27777500002</v>
      </c>
      <c r="O95" s="444">
        <f>'Comp Group'!AA462*BS8</f>
        <v>374070.46938800003</v>
      </c>
      <c r="P95" s="444">
        <f>'Comp Group'!W466*BO8</f>
        <v>48565.504833999999</v>
      </c>
      <c r="Q95" s="444">
        <f>'Comp Group'!X466*BP8</f>
        <v>35821.619063999999</v>
      </c>
      <c r="R95" s="444">
        <f>'Comp Group'!Y466*BQ8</f>
        <v>34703.77536</v>
      </c>
      <c r="S95" s="444">
        <f>'Comp Group'!Z466*BR8</f>
        <v>40519.903350000001</v>
      </c>
      <c r="T95" s="444">
        <f>'Comp Group'!AA466*BS8</f>
        <v>31598.149860000001</v>
      </c>
      <c r="U95" s="443">
        <f>'Comp Group'!W465*BO8</f>
        <v>422989.591816</v>
      </c>
      <c r="V95" s="443">
        <f>'Comp Group'!X465*BP8</f>
        <v>441625.91297</v>
      </c>
      <c r="W95" s="443">
        <f>'Comp Group'!Y465*BQ8</f>
        <v>459868.875298</v>
      </c>
      <c r="X95" s="443">
        <f>'Comp Group'!Z465*BR8</f>
        <v>598087.01847000001</v>
      </c>
      <c r="Y95" s="443">
        <f>'Comp Group'!AA465*BS8</f>
        <v>631837.51042099996</v>
      </c>
      <c r="Z95" s="443">
        <f>'Comp Group'!W460*BO8</f>
        <v>769013.411188</v>
      </c>
      <c r="AA95" s="443">
        <f>'Comp Group'!X460*BP8</f>
        <v>762970.43708599999</v>
      </c>
      <c r="AB95" s="443">
        <f>'Comp Group'!Y460*BQ8</f>
        <v>776544.80069000006</v>
      </c>
      <c r="AC95" s="443">
        <f>'Comp Group'!Z460*BR8</f>
        <v>989276.57357999997</v>
      </c>
      <c r="AD95" s="443">
        <f>'Comp Group'!AA460*BS8</f>
        <v>1016468.2796830001</v>
      </c>
      <c r="AE95" s="61">
        <f t="shared" si="28"/>
        <v>3.1086213403387589E-2</v>
      </c>
      <c r="AF95" s="61">
        <f t="shared" si="29"/>
        <v>4.0959125518727622E-2</v>
      </c>
      <c r="AG95" s="61">
        <f t="shared" si="30"/>
        <v>4.4689984826585545E-2</v>
      </c>
      <c r="AH95" s="61">
        <f t="shared" si="31"/>
        <v>8.2151903553187147E-2</v>
      </c>
      <c r="AI95" s="61">
        <f t="shared" si="32"/>
        <v>0.10358125062568724</v>
      </c>
      <c r="AJ95" s="61">
        <f t="shared" si="33"/>
        <v>0.10958766542496602</v>
      </c>
      <c r="AK95" s="434"/>
      <c r="AL95" s="434"/>
      <c r="AM95" s="443">
        <f>'Comp Group'!W470*BO8</f>
        <v>346023.819372</v>
      </c>
      <c r="AN95" s="443">
        <f>'Comp Group'!X470*BP8</f>
        <v>321344.52411600004</v>
      </c>
      <c r="AO95" s="443">
        <f>'Comp Group'!Y470*BQ8</f>
        <v>316675.925392</v>
      </c>
      <c r="AP95" s="443">
        <f>'Comp Group'!Z470*BR8</f>
        <v>391189.55511000002</v>
      </c>
      <c r="AQ95" s="443">
        <f>'Comp Group'!AA470*BS8</f>
        <v>384630.76926199999</v>
      </c>
      <c r="AR95" s="443">
        <f>'Long Term Debt'!C55*BO8</f>
        <v>240888.04685000001</v>
      </c>
      <c r="AS95" s="443">
        <f>'Long Term Debt'!D55*BP8</f>
        <v>262601.27380299999</v>
      </c>
      <c r="AT95" s="443">
        <f>'Long Term Debt'!E55*BQ8</f>
        <v>261981.702112</v>
      </c>
      <c r="AU95" s="443">
        <f>'Long Term Debt'!F55*BR8</f>
        <v>328124.45585999999</v>
      </c>
      <c r="AV95" s="443">
        <f>'Long Term Debt'!G55*BS8</f>
        <v>404265.44890100003</v>
      </c>
      <c r="AW95" s="553">
        <f t="shared" si="46"/>
        <v>7.8161885825018956E-2</v>
      </c>
      <c r="AX95" s="553">
        <f t="shared" si="47"/>
        <v>0.12348943404355243</v>
      </c>
      <c r="AY95" s="553">
        <f t="shared" si="48"/>
        <v>0.1324664092195407</v>
      </c>
      <c r="AZ95" s="538">
        <f t="shared" si="49"/>
        <v>7.9671705284051125E-2</v>
      </c>
      <c r="BA95" s="538">
        <f t="shared" si="50"/>
        <v>0.11561714269220649</v>
      </c>
      <c r="BB95" s="455">
        <f t="shared" si="51"/>
        <v>0.12313642934392281</v>
      </c>
    </row>
    <row r="96" spans="1:54" s="684" customFormat="1" ht="15" customHeight="1">
      <c r="A96" s="535">
        <v>2014</v>
      </c>
      <c r="B96" s="676"/>
      <c r="C96" s="411" t="s">
        <v>435</v>
      </c>
      <c r="D96" s="51"/>
      <c r="E96" s="51"/>
      <c r="F96" s="51"/>
      <c r="G96" s="51"/>
      <c r="H96" s="51"/>
      <c r="I96" s="536" t="s">
        <v>141</v>
      </c>
      <c r="J96" s="524" t="s">
        <v>540</v>
      </c>
      <c r="K96" s="444">
        <f>'More Comp Group'!D719</f>
        <v>3951035</v>
      </c>
      <c r="L96" s="444">
        <f>'More Comp Group'!E719</f>
        <v>3618097</v>
      </c>
      <c r="M96" s="444">
        <f>'More Comp Group'!F719</f>
        <v>3167310</v>
      </c>
      <c r="N96" s="444">
        <f>'More Comp Group'!G719</f>
        <v>3309341</v>
      </c>
      <c r="O96" s="444">
        <f>'More Comp Group'!H719</f>
        <v>3634178</v>
      </c>
      <c r="P96" s="444">
        <f>'More Comp Group'!D723</f>
        <v>66139</v>
      </c>
      <c r="Q96" s="444">
        <f>'More Comp Group'!E723</f>
        <v>59397</v>
      </c>
      <c r="R96" s="444">
        <f>'More Comp Group'!F723</f>
        <v>44608</v>
      </c>
      <c r="S96" s="444">
        <f>'More Comp Group'!G723</f>
        <v>57739</v>
      </c>
      <c r="T96" s="444">
        <f>'More Comp Group'!H723</f>
        <v>44671</v>
      </c>
      <c r="U96" s="443">
        <f>'More Comp Group'!D722</f>
        <v>1405846</v>
      </c>
      <c r="V96" s="443">
        <f>'More Comp Group'!E722</f>
        <v>1189792</v>
      </c>
      <c r="W96" s="443">
        <f>'More Comp Group'!F722</f>
        <v>265607</v>
      </c>
      <c r="X96" s="443">
        <f>'More Comp Group'!G722</f>
        <v>1221332</v>
      </c>
      <c r="Y96" s="443">
        <f>'More Comp Group'!H722</f>
        <v>1258981</v>
      </c>
      <c r="Z96" s="443">
        <f>'More Comp Group'!D724</f>
        <v>1816687</v>
      </c>
      <c r="AA96" s="443">
        <f>'More Comp Group'!E724</f>
        <v>1561021</v>
      </c>
      <c r="AB96" s="443">
        <f>'More Comp Group'!F724</f>
        <v>1558570</v>
      </c>
      <c r="AC96" s="443">
        <f>'More Comp Group'!G724</f>
        <v>1699018</v>
      </c>
      <c r="AD96" s="443">
        <f>'More Comp Group'!H724</f>
        <v>1840033</v>
      </c>
      <c r="AE96" s="61">
        <f t="shared" ref="AE96:AE99" si="52">T96/AD96</f>
        <v>2.4277281983529644E-2</v>
      </c>
      <c r="AF96" s="61">
        <f t="shared" ref="AF96:AF99" si="53">S96/AC96</f>
        <v>3.3983748259288599E-2</v>
      </c>
      <c r="AG96" s="61">
        <f t="shared" ref="AG96:AG99" si="54">R96/AB96</f>
        <v>2.8621107810364629E-2</v>
      </c>
      <c r="AH96" s="61">
        <f t="shared" ref="AH96:AH99" si="55">T96/AQ96</f>
        <v>7.6879389659807285E-2</v>
      </c>
      <c r="AI96" s="61">
        <f t="shared" ref="AI96:AI99" si="56">S96/AP96</f>
        <v>0.12087254152841308</v>
      </c>
      <c r="AJ96" s="61">
        <f t="shared" ref="AJ96:AJ99" si="57">R96/AO96</f>
        <v>0.11292993017827577</v>
      </c>
      <c r="AK96" s="434"/>
      <c r="AL96" s="434"/>
      <c r="AM96" s="443">
        <f>'More Comp Group'!D727</f>
        <v>41084</v>
      </c>
      <c r="AN96" s="443">
        <f>'More Comp Group'!E727</f>
        <v>37123</v>
      </c>
      <c r="AO96" s="443">
        <f>'More Comp Group'!F727</f>
        <v>395006</v>
      </c>
      <c r="AP96" s="443">
        <f>'More Comp Group'!G727</f>
        <v>477685</v>
      </c>
      <c r="AQ96" s="443">
        <f>'More Comp Group'!H727</f>
        <v>581053</v>
      </c>
      <c r="AR96" s="443">
        <f>'More Comp Group'!D720</f>
        <v>49695</v>
      </c>
      <c r="AS96" s="443">
        <f>'More Comp Group'!E720</f>
        <v>156381</v>
      </c>
      <c r="AT96" s="443">
        <f>'More Comp Group'!F720</f>
        <v>165834</v>
      </c>
      <c r="AU96" s="443">
        <f>'More Comp Group'!G720</f>
        <v>184522</v>
      </c>
      <c r="AV96" s="443">
        <f>'More Comp Group'!H720</f>
        <v>205461</v>
      </c>
      <c r="AW96" s="553">
        <f t="shared" ref="AW96:AW99" si="58">T96/AV96</f>
        <v>0.21741839083816394</v>
      </c>
      <c r="AX96" s="553">
        <f t="shared" ref="AX96:AX99" si="59">S96/AU96</f>
        <v>0.31291119758077629</v>
      </c>
      <c r="AY96" s="553">
        <f t="shared" ref="AY96:AY99" si="60">R96/AT96</f>
        <v>0.26899188344971475</v>
      </c>
      <c r="AZ96" s="538">
        <f t="shared" ref="AZ96:AZ99" si="61">((AQ96/(AQ96+Y96))*AH96)+(Y96/(AQ96+Y96))*AW96</f>
        <v>0.17303844554819231</v>
      </c>
      <c r="BA96" s="538">
        <f t="shared" ref="BA96:BA99" si="62">((AP96/(AP96+X96))*AI96)+(X96/(AP96+X96))*AX96</f>
        <v>0.25891880938432321</v>
      </c>
      <c r="BB96" s="455">
        <f t="shared" ref="BB96:BB99" si="63">((AO96/(AO96+W96))*AJ96)+(W96/(AO96+W96))*AY96</f>
        <v>0.17567642051765314</v>
      </c>
    </row>
    <row r="97" spans="1:54" s="684" customFormat="1" ht="15" customHeight="1">
      <c r="A97" s="535">
        <v>2014</v>
      </c>
      <c r="B97" s="676"/>
      <c r="C97" s="411" t="s">
        <v>435</v>
      </c>
      <c r="D97" s="51"/>
      <c r="E97" s="51"/>
      <c r="F97" s="51"/>
      <c r="G97" s="51"/>
      <c r="H97" s="51"/>
      <c r="I97" s="536" t="s">
        <v>141</v>
      </c>
      <c r="J97" s="524" t="s">
        <v>1047</v>
      </c>
      <c r="K97" s="444">
        <f>'More Comp Group'!D731</f>
        <v>19578</v>
      </c>
      <c r="L97" s="444">
        <f>'More Comp Group'!E731</f>
        <v>154386</v>
      </c>
      <c r="M97" s="444">
        <f>'More Comp Group'!F731</f>
        <v>140029</v>
      </c>
      <c r="N97" s="444">
        <f>'More Comp Group'!G731</f>
        <v>152552</v>
      </c>
      <c r="O97" s="444">
        <f>'More Comp Group'!H731</f>
        <v>183073</v>
      </c>
      <c r="P97" s="444">
        <f>'More Comp Group'!D735</f>
        <v>13475</v>
      </c>
      <c r="Q97" s="444">
        <f>'More Comp Group'!E735</f>
        <v>9152</v>
      </c>
      <c r="R97" s="444">
        <f>'More Comp Group'!F735</f>
        <v>8359</v>
      </c>
      <c r="S97" s="444">
        <f>'More Comp Group'!G735</f>
        <v>7502</v>
      </c>
      <c r="T97" s="444">
        <f>'More Comp Group'!H735</f>
        <v>11296</v>
      </c>
      <c r="U97" s="443">
        <f>'More Comp Group'!D734</f>
        <v>51606</v>
      </c>
      <c r="V97" s="443">
        <f>'More Comp Group'!E734</f>
        <v>41735</v>
      </c>
      <c r="W97" s="443">
        <f>'More Comp Group'!F734</f>
        <v>35368</v>
      </c>
      <c r="X97" s="443">
        <f>'More Comp Group'!G734</f>
        <v>39506</v>
      </c>
      <c r="Y97" s="443">
        <f>'More Comp Group'!H734</f>
        <v>46975</v>
      </c>
      <c r="Z97" s="443">
        <f>'More Comp Group'!D736</f>
        <v>78452</v>
      </c>
      <c r="AA97" s="443">
        <f>'More Comp Group'!E736</f>
        <v>62171</v>
      </c>
      <c r="AB97" s="443">
        <f>'More Comp Group'!F736</f>
        <v>55189</v>
      </c>
      <c r="AC97" s="443">
        <f>'More Comp Group'!G736</f>
        <v>6017</v>
      </c>
      <c r="AD97" s="443">
        <f>'More Comp Group'!H736</f>
        <v>73263</v>
      </c>
      <c r="AE97" s="61">
        <f t="shared" si="52"/>
        <v>0.15418424033959843</v>
      </c>
      <c r="AF97" s="61">
        <f t="shared" si="53"/>
        <v>1.246800731261426</v>
      </c>
      <c r="AG97" s="61">
        <f t="shared" si="54"/>
        <v>0.15146134193408106</v>
      </c>
      <c r="AH97" s="61">
        <f t="shared" si="55"/>
        <v>0.4297017650639075</v>
      </c>
      <c r="AI97" s="61">
        <f t="shared" si="56"/>
        <v>0.36304684475416182</v>
      </c>
      <c r="AJ97" s="61">
        <f t="shared" si="57"/>
        <v>4.217457114026236</v>
      </c>
      <c r="AK97" s="434"/>
      <c r="AL97" s="434"/>
      <c r="AM97" s="443">
        <f>'More Comp Group'!D739</f>
        <v>26846</v>
      </c>
      <c r="AN97" s="443">
        <f>'More Comp Group'!E739</f>
        <v>20436</v>
      </c>
      <c r="AO97" s="443">
        <f>'More Comp Group'!F739</f>
        <v>1982</v>
      </c>
      <c r="AP97" s="443">
        <f>'More Comp Group'!G739</f>
        <v>20664</v>
      </c>
      <c r="AQ97" s="443">
        <f>'More Comp Group'!H739</f>
        <v>26288</v>
      </c>
      <c r="AR97" s="443">
        <f>'More Comp Group'!D732</f>
        <v>27</v>
      </c>
      <c r="AS97" s="443">
        <f>'More Comp Group'!E732</f>
        <v>183</v>
      </c>
      <c r="AT97" s="443">
        <f>'More Comp Group'!F732</f>
        <v>32</v>
      </c>
      <c r="AU97" s="443">
        <f>'More Comp Group'!G732</f>
        <v>90</v>
      </c>
      <c r="AV97" s="443">
        <f>'More Comp Group'!H732</f>
        <v>0</v>
      </c>
      <c r="AW97" s="553" t="e">
        <f t="shared" si="58"/>
        <v>#DIV/0!</v>
      </c>
      <c r="AX97" s="553">
        <f t="shared" si="59"/>
        <v>83.355555555555554</v>
      </c>
      <c r="AY97" s="553">
        <f t="shared" si="60"/>
        <v>261.21875</v>
      </c>
      <c r="AZ97" s="538" t="e">
        <f t="shared" si="61"/>
        <v>#DIV/0!</v>
      </c>
      <c r="BA97" s="538">
        <f t="shared" si="62"/>
        <v>54.853690838919356</v>
      </c>
      <c r="BB97" s="455">
        <f t="shared" si="63"/>
        <v>247.58082329317267</v>
      </c>
    </row>
    <row r="98" spans="1:54" s="684" customFormat="1" ht="15" customHeight="1">
      <c r="A98" s="535">
        <v>2014</v>
      </c>
      <c r="B98" s="676"/>
      <c r="C98" s="411" t="s">
        <v>435</v>
      </c>
      <c r="D98" s="51"/>
      <c r="E98" s="51"/>
      <c r="F98" s="51"/>
      <c r="G98" s="51"/>
      <c r="H98" s="51"/>
      <c r="I98" s="536" t="s">
        <v>141</v>
      </c>
      <c r="J98" s="524" t="s">
        <v>1048</v>
      </c>
      <c r="K98" s="444">
        <f>'More Comp Group'!D743</f>
        <v>57859</v>
      </c>
      <c r="L98" s="444">
        <f>'More Comp Group'!E743</f>
        <v>49279</v>
      </c>
      <c r="M98" s="444">
        <f>'More Comp Group'!F743</f>
        <v>4942</v>
      </c>
      <c r="N98" s="444">
        <f>'More Comp Group'!G743</f>
        <v>59199</v>
      </c>
      <c r="O98" s="444">
        <f>'More Comp Group'!H743</f>
        <v>76512</v>
      </c>
      <c r="P98" s="444">
        <f>'More Comp Group'!D747</f>
        <v>3610</v>
      </c>
      <c r="Q98" s="444">
        <f>'More Comp Group'!E747</f>
        <v>2936</v>
      </c>
      <c r="R98" s="444">
        <f>'More Comp Group'!F747</f>
        <v>1483</v>
      </c>
      <c r="S98" s="444">
        <f>'More Comp Group'!G747</f>
        <v>-656</v>
      </c>
      <c r="T98" s="444">
        <f>'More Comp Group'!H747</f>
        <v>2599</v>
      </c>
      <c r="U98" s="443">
        <f>'More Comp Group'!D746</f>
        <v>19870</v>
      </c>
      <c r="V98" s="443">
        <f>'More Comp Group'!E746</f>
        <v>17956</v>
      </c>
      <c r="W98" s="443">
        <f>'More Comp Group'!F746</f>
        <v>18243</v>
      </c>
      <c r="X98" s="443">
        <f>'More Comp Group'!G746</f>
        <v>20593</v>
      </c>
      <c r="Y98" s="443">
        <f>'More Comp Group'!H746</f>
        <v>21901</v>
      </c>
      <c r="Z98" s="443">
        <f>'More Comp Group'!D748</f>
        <v>26038</v>
      </c>
      <c r="AA98" s="443">
        <f>'More Comp Group'!E748</f>
        <v>24257</v>
      </c>
      <c r="AB98" s="443">
        <f>'More Comp Group'!F748</f>
        <v>24417</v>
      </c>
      <c r="AC98" s="443">
        <f>'More Comp Group'!G748</f>
        <v>27843</v>
      </c>
      <c r="AD98" s="443">
        <f>'More Comp Group'!H748</f>
        <v>36199</v>
      </c>
      <c r="AE98" s="61">
        <f t="shared" si="52"/>
        <v>7.1797563468604109E-2</v>
      </c>
      <c r="AF98" s="61">
        <f t="shared" si="53"/>
        <v>-2.3560679524476529E-2</v>
      </c>
      <c r="AG98" s="61">
        <f t="shared" si="54"/>
        <v>6.0736372199696929E-2</v>
      </c>
      <c r="AH98" s="61">
        <f t="shared" si="55"/>
        <v>0.18176096230505628</v>
      </c>
      <c r="AI98" s="61">
        <f t="shared" si="56"/>
        <v>-9.0482758620689649E-2</v>
      </c>
      <c r="AJ98" s="61">
        <f t="shared" si="57"/>
        <v>0.24016194331983806</v>
      </c>
      <c r="AK98" s="434"/>
      <c r="AL98" s="434"/>
      <c r="AM98" s="443">
        <f>'More Comp Group'!D751</f>
        <v>6168</v>
      </c>
      <c r="AN98" s="443">
        <f>'More Comp Group'!E751</f>
        <v>6301</v>
      </c>
      <c r="AO98" s="443">
        <f>'More Comp Group'!F751</f>
        <v>6175</v>
      </c>
      <c r="AP98" s="443">
        <f>'More Comp Group'!G751</f>
        <v>7250</v>
      </c>
      <c r="AQ98" s="443">
        <f>'More Comp Group'!H751</f>
        <v>14299</v>
      </c>
      <c r="AR98" s="443">
        <f>'More Comp Group'!D744</f>
        <v>828</v>
      </c>
      <c r="AS98" s="443">
        <f>'More Comp Group'!E744</f>
        <v>2356</v>
      </c>
      <c r="AT98" s="443">
        <f>'More Comp Group'!F744</f>
        <v>2557</v>
      </c>
      <c r="AU98" s="443">
        <f>'More Comp Group'!G744</f>
        <v>2158</v>
      </c>
      <c r="AV98" s="443">
        <f>'More Comp Group'!H744</f>
        <v>2603</v>
      </c>
      <c r="AW98" s="553">
        <f t="shared" si="58"/>
        <v>0.99846331156358048</v>
      </c>
      <c r="AX98" s="553">
        <f t="shared" si="59"/>
        <v>-0.303985171455051</v>
      </c>
      <c r="AY98" s="553">
        <f t="shared" si="60"/>
        <v>0.57997653500195545</v>
      </c>
      <c r="AZ98" s="538">
        <f t="shared" si="61"/>
        <v>0.67586588360646338</v>
      </c>
      <c r="BA98" s="538">
        <f t="shared" si="62"/>
        <v>-0.24839157546865873</v>
      </c>
      <c r="BB98" s="455">
        <f t="shared" si="63"/>
        <v>0.49404176951595846</v>
      </c>
    </row>
    <row r="99" spans="1:54" s="684" customFormat="1" ht="15" customHeight="1">
      <c r="A99" s="535">
        <v>2014</v>
      </c>
      <c r="B99" s="676"/>
      <c r="C99" s="411" t="s">
        <v>435</v>
      </c>
      <c r="D99" s="51"/>
      <c r="E99" s="51"/>
      <c r="F99" s="51"/>
      <c r="G99" s="51"/>
      <c r="H99" s="51"/>
      <c r="I99" s="536" t="s">
        <v>141</v>
      </c>
      <c r="J99" s="524" t="s">
        <v>1049</v>
      </c>
      <c r="K99" s="444">
        <f>'More Comp Group'!D755</f>
        <v>2148</v>
      </c>
      <c r="L99" s="444">
        <f>'More Comp Group'!E755</f>
        <v>752</v>
      </c>
      <c r="M99" s="444">
        <f>'More Comp Group'!F755</f>
        <v>559</v>
      </c>
      <c r="N99" s="444">
        <f>'More Comp Group'!G755</f>
        <v>55487</v>
      </c>
      <c r="O99" s="444">
        <f>'More Comp Group'!H755</f>
        <v>6922</v>
      </c>
      <c r="P99" s="444">
        <f>'More Comp Group'!D759</f>
        <v>-5784</v>
      </c>
      <c r="Q99" s="444">
        <f>'More Comp Group'!E759</f>
        <v>-4870</v>
      </c>
      <c r="R99" s="444">
        <f>'More Comp Group'!F759</f>
        <v>-2097</v>
      </c>
      <c r="S99" s="444">
        <f>'More Comp Group'!G759</f>
        <v>-2311</v>
      </c>
      <c r="T99" s="444">
        <f>'More Comp Group'!H759</f>
        <v>-370</v>
      </c>
      <c r="U99" s="443">
        <f>'More Comp Group'!D758</f>
        <v>3031</v>
      </c>
      <c r="V99" s="443">
        <f>'More Comp Group'!E758</f>
        <v>543</v>
      </c>
      <c r="W99" s="443">
        <f>'More Comp Group'!F758</f>
        <v>656</v>
      </c>
      <c r="X99" s="443">
        <f>'More Comp Group'!G758</f>
        <v>22610</v>
      </c>
      <c r="Y99" s="443">
        <f>'More Comp Group'!H758</f>
        <v>25345</v>
      </c>
      <c r="Z99" s="443">
        <f>'More Comp Group'!D760</f>
        <v>5046</v>
      </c>
      <c r="AA99" s="443">
        <f>'More Comp Group'!E760</f>
        <v>1152</v>
      </c>
      <c r="AB99" s="443">
        <f>'More Comp Group'!F760</f>
        <v>646</v>
      </c>
      <c r="AC99" s="443">
        <f>'More Comp Group'!G760</f>
        <v>51572</v>
      </c>
      <c r="AD99" s="443">
        <f>'More Comp Group'!H760</f>
        <v>68875</v>
      </c>
      <c r="AE99" s="61">
        <f t="shared" si="52"/>
        <v>-5.3720508166969147E-3</v>
      </c>
      <c r="AF99" s="61">
        <f t="shared" si="53"/>
        <v>-4.481113782672768E-2</v>
      </c>
      <c r="AG99" s="61">
        <f t="shared" si="54"/>
        <v>-3.2461300309597525</v>
      </c>
      <c r="AH99" s="61">
        <f t="shared" si="55"/>
        <v>-9.7914681909600926E-3</v>
      </c>
      <c r="AI99" s="61">
        <f t="shared" si="56"/>
        <v>-7.9794213106829645E-2</v>
      </c>
      <c r="AJ99" s="61">
        <f t="shared" si="57"/>
        <v>209.7</v>
      </c>
      <c r="AK99" s="434"/>
      <c r="AL99" s="434"/>
      <c r="AM99" s="443">
        <f>'More Comp Group'!D763</f>
        <v>2014</v>
      </c>
      <c r="AN99" s="443">
        <f>'More Comp Group'!E763</f>
        <v>-2938</v>
      </c>
      <c r="AO99" s="443">
        <f>'More Comp Group'!F763</f>
        <v>-10</v>
      </c>
      <c r="AP99" s="443">
        <f>'More Comp Group'!G763</f>
        <v>28962</v>
      </c>
      <c r="AQ99" s="443">
        <f>'More Comp Group'!H763</f>
        <v>37788</v>
      </c>
      <c r="AR99" s="443">
        <f>'More Comp Group'!D756</f>
        <v>110</v>
      </c>
      <c r="AS99" s="443">
        <f>'More Comp Group'!E756</f>
        <v>149</v>
      </c>
      <c r="AT99" s="443">
        <f>'More Comp Group'!F756</f>
        <v>0</v>
      </c>
      <c r="AU99" s="443">
        <f>'More Comp Group'!G756</f>
        <v>2513</v>
      </c>
      <c r="AV99" s="443">
        <f>'More Comp Group'!H756</f>
        <v>58</v>
      </c>
      <c r="AW99" s="553">
        <f t="shared" si="58"/>
        <v>-6.3793103448275863</v>
      </c>
      <c r="AX99" s="553">
        <f t="shared" si="59"/>
        <v>-0.9196179864703542</v>
      </c>
      <c r="AY99" s="553" t="e">
        <f t="shared" si="60"/>
        <v>#DIV/0!</v>
      </c>
      <c r="AZ99" s="538">
        <f t="shared" si="61"/>
        <v>-2.5668607652044919</v>
      </c>
      <c r="BA99" s="538">
        <f t="shared" si="62"/>
        <v>-0.44798655615633887</v>
      </c>
      <c r="BB99" s="455" t="e">
        <f t="shared" si="63"/>
        <v>#DIV/0!</v>
      </c>
    </row>
    <row r="100" spans="1:54" s="465" customFormat="1" ht="15" customHeight="1">
      <c r="A100" s="535">
        <v>2014</v>
      </c>
      <c r="B100" s="676"/>
      <c r="C100" s="411" t="s">
        <v>435</v>
      </c>
      <c r="D100" s="536"/>
      <c r="E100" s="536"/>
      <c r="F100" s="536"/>
      <c r="G100" s="536"/>
      <c r="H100" s="536"/>
      <c r="I100" s="536" t="s">
        <v>141</v>
      </c>
      <c r="J100" s="524" t="s">
        <v>524</v>
      </c>
      <c r="K100" s="534">
        <f>'Comp Group'!N477</f>
        <v>419000</v>
      </c>
      <c r="L100" s="534">
        <f>'Comp Group'!O477</f>
        <v>537000</v>
      </c>
      <c r="M100" s="534">
        <f>'Comp Group'!P477</f>
        <v>616000</v>
      </c>
      <c r="N100" s="534">
        <f>'Comp Group'!Q477</f>
        <v>481000</v>
      </c>
      <c r="O100" s="534">
        <f>'Comp Group'!R477</f>
        <v>300100</v>
      </c>
      <c r="P100" s="534">
        <f>'Comp Group'!N481</f>
        <v>-66900</v>
      </c>
      <c r="Q100" s="534">
        <f>'Comp Group'!O481</f>
        <v>-63000</v>
      </c>
      <c r="R100" s="534">
        <f>'Comp Group'!P481</f>
        <v>-50000</v>
      </c>
      <c r="S100" s="534">
        <f>'Comp Group'!Q481</f>
        <v>-59000</v>
      </c>
      <c r="T100" s="534">
        <f>'Comp Group'!R481</f>
        <v>60300</v>
      </c>
      <c r="U100" s="534">
        <f>'Comp Group'!N480</f>
        <v>168600</v>
      </c>
      <c r="V100" s="534">
        <f>'Comp Group'!O480</f>
        <v>317000</v>
      </c>
      <c r="W100" s="534">
        <f>'Comp Group'!P480</f>
        <v>552000</v>
      </c>
      <c r="X100" s="534">
        <f>'Comp Group'!Q480</f>
        <v>443000</v>
      </c>
      <c r="Y100" s="534">
        <f>'Comp Group'!R480</f>
        <v>219000</v>
      </c>
      <c r="Z100" s="534">
        <f>'Comp Group'!N475</f>
        <v>636600</v>
      </c>
      <c r="AA100" s="534">
        <f>'Comp Group'!O475</f>
        <v>837000</v>
      </c>
      <c r="AB100" s="534">
        <f>'Comp Group'!P475</f>
        <v>907000</v>
      </c>
      <c r="AC100" s="534">
        <f>'Comp Group'!Q475</f>
        <v>810000</v>
      </c>
      <c r="AD100" s="534">
        <f>'Comp Group'!R475</f>
        <v>533100</v>
      </c>
      <c r="AE100" s="538">
        <f t="shared" si="28"/>
        <v>0.11311198649409117</v>
      </c>
      <c r="AF100" s="538">
        <f t="shared" si="29"/>
        <v>-7.2839506172839505E-2</v>
      </c>
      <c r="AG100" s="538">
        <f t="shared" si="30"/>
        <v>-5.5126791620727672E-2</v>
      </c>
      <c r="AH100" s="538">
        <f t="shared" si="31"/>
        <v>0.19209939471169163</v>
      </c>
      <c r="AI100" s="538">
        <f t="shared" si="32"/>
        <v>-0.16076294277929154</v>
      </c>
      <c r="AJ100" s="538">
        <f t="shared" si="33"/>
        <v>-0.14084507042253522</v>
      </c>
      <c r="AK100" s="434"/>
      <c r="AL100" s="434"/>
      <c r="AM100" s="534">
        <f>'Comp Group'!N485</f>
        <v>468000</v>
      </c>
      <c r="AN100" s="534">
        <f>'Comp Group'!O485</f>
        <v>520000</v>
      </c>
      <c r="AO100" s="534">
        <f>'Comp Group'!P485</f>
        <v>355000</v>
      </c>
      <c r="AP100" s="534">
        <f>'Comp Group'!Q485</f>
        <v>367000</v>
      </c>
      <c r="AQ100" s="534">
        <f>'Comp Group'!R485</f>
        <v>313900</v>
      </c>
      <c r="AR100" s="534">
        <f>'Long Term Debt'!C56</f>
        <v>38800</v>
      </c>
      <c r="AS100" s="534">
        <f>'Long Term Debt'!D56</f>
        <v>166000</v>
      </c>
      <c r="AT100" s="534">
        <f>'Long Term Debt'!E56</f>
        <v>229000</v>
      </c>
      <c r="AU100" s="534">
        <f>'Long Term Debt'!F56</f>
        <v>203000</v>
      </c>
      <c r="AV100" s="534">
        <f>'Long Term Debt'!G56</f>
        <v>74900</v>
      </c>
      <c r="AW100" s="553">
        <f t="shared" si="46"/>
        <v>0.80507343124165553</v>
      </c>
      <c r="AX100" s="553">
        <f t="shared" si="47"/>
        <v>-0.29064039408866993</v>
      </c>
      <c r="AY100" s="553">
        <f t="shared" si="48"/>
        <v>-0.2183406113537118</v>
      </c>
      <c r="AZ100" s="538">
        <f t="shared" si="49"/>
        <v>0.44400653301167675</v>
      </c>
      <c r="BA100" s="538">
        <f t="shared" si="50"/>
        <v>-0.23179468466824787</v>
      </c>
      <c r="BB100" s="455">
        <f t="shared" si="51"/>
        <v>-0.18800883954492714</v>
      </c>
    </row>
    <row r="101" spans="1:54" ht="15" customHeight="1">
      <c r="A101" s="449">
        <v>2014</v>
      </c>
      <c r="B101" s="676"/>
      <c r="C101" s="50" t="s">
        <v>487</v>
      </c>
      <c r="D101" s="51"/>
      <c r="E101" s="51"/>
      <c r="F101" s="51"/>
      <c r="G101" s="51"/>
      <c r="H101" s="51"/>
      <c r="I101" s="51" t="s">
        <v>141</v>
      </c>
      <c r="J101" s="524" t="s">
        <v>522</v>
      </c>
      <c r="K101" s="444">
        <f>'Comp Group'!X477*BO8</f>
        <v>115191.63554800001</v>
      </c>
      <c r="L101" s="444">
        <f>'Comp Group'!Y477*BP8</f>
        <v>133359.122798</v>
      </c>
      <c r="M101" s="444">
        <f>'Comp Group'!Z477*BQ8</f>
        <v>142369.08307399999</v>
      </c>
      <c r="N101" s="444">
        <f>'Comp Group'!AA477*BR8</f>
        <v>131895.28623</v>
      </c>
      <c r="O101" s="444">
        <f>'Comp Group'!AB477*BS8</f>
        <v>122400.349091</v>
      </c>
      <c r="P101" s="444">
        <f>'Comp Group'!X481*BO8</f>
        <v>1214.8973100000001</v>
      </c>
      <c r="Q101" s="444">
        <f>'Comp Group'!Y481*BP8</f>
        <v>8833.6135470000008</v>
      </c>
      <c r="R101" s="444">
        <f>'Comp Group'!Z481*BQ8</f>
        <v>4527.1681180000005</v>
      </c>
      <c r="S101" s="444">
        <f>'Comp Group'!AA481*BR8</f>
        <v>-289.73489999999998</v>
      </c>
      <c r="T101" s="444">
        <f>'Comp Group'!AB481*BS8</f>
        <v>8712.3921229999996</v>
      </c>
      <c r="U101" s="443">
        <f>'Comp Group'!X480*BO8</f>
        <v>50193.479336000004</v>
      </c>
      <c r="V101" s="443">
        <f>'Comp Group'!Y480*BP8</f>
        <v>40280.630126000004</v>
      </c>
      <c r="W101" s="443">
        <f>'Comp Group'!Z480*BQ8</f>
        <v>46970.347503999998</v>
      </c>
      <c r="X101" s="443">
        <f>'Comp Group'!AA480*BR8</f>
        <v>57998.718375000004</v>
      </c>
      <c r="Y101" s="443">
        <f>'Comp Group'!AB480*BS8</f>
        <v>41450.309281000002</v>
      </c>
      <c r="Z101" s="443">
        <f>'Comp Group'!X475*BO8</f>
        <v>84214.478128000002</v>
      </c>
      <c r="AA101" s="443">
        <f>'Comp Group'!Y475*BP8</f>
        <v>78494.500172</v>
      </c>
      <c r="AB101" s="443">
        <f>'Comp Group'!Z475*BQ8</f>
        <v>83896.277552</v>
      </c>
      <c r="AC101" s="443">
        <f>'Comp Group'!AA475*BR8</f>
        <v>97243.788165000005</v>
      </c>
      <c r="AD101" s="443">
        <f>'Comp Group'!AB475*BS8</f>
        <v>84153.272880999997</v>
      </c>
      <c r="AE101" s="61">
        <f t="shared" si="28"/>
        <v>0.10353004493740933</v>
      </c>
      <c r="AF101" s="61">
        <f t="shared" si="29"/>
        <v>-2.9794694907235358E-3</v>
      </c>
      <c r="AG101" s="61">
        <f t="shared" si="30"/>
        <v>5.3961489712031657E-2</v>
      </c>
      <c r="AH101" s="61">
        <f t="shared" si="31"/>
        <v>0.20402475298846082</v>
      </c>
      <c r="AI101" s="61">
        <f t="shared" si="32"/>
        <v>-7.38276813240305E-3</v>
      </c>
      <c r="AJ101" s="61">
        <f t="shared" si="33"/>
        <v>0.12260174198562139</v>
      </c>
      <c r="AK101" s="434"/>
      <c r="AL101" s="434"/>
      <c r="AM101" s="443">
        <f>'Comp Group'!X485*BO8</f>
        <v>34020.998791999999</v>
      </c>
      <c r="AN101" s="443">
        <f>'Comp Group'!Y485*BP8</f>
        <v>38213.750993000001</v>
      </c>
      <c r="AO101" s="443">
        <f>'Comp Group'!Z485*BQ8</f>
        <v>36925.805822000002</v>
      </c>
      <c r="AP101" s="443">
        <f>'Comp Group'!AA485*BR8</f>
        <v>39244.751400000001</v>
      </c>
      <c r="AQ101" s="443">
        <f>'Comp Group'!AB485*BS8</f>
        <v>42702.623066</v>
      </c>
      <c r="AR101" s="443">
        <f>'Long Term Debt'!C57*BO8</f>
        <v>6300.87997</v>
      </c>
      <c r="AS101" s="443">
        <f>'Long Term Debt'!D57*BP8</f>
        <v>4532.9429749999999</v>
      </c>
      <c r="AT101" s="443">
        <f>'Long Term Debt'!E57*BQ8</f>
        <v>4619.4680360000002</v>
      </c>
      <c r="AU101" s="443">
        <f>'Long Term Debt'!F57*BR8</f>
        <v>10852.641540000001</v>
      </c>
      <c r="AV101" s="443">
        <f>'Long Term Debt'!G57*BS8</f>
        <v>9086.6389890000009</v>
      </c>
      <c r="AW101" s="553">
        <f t="shared" si="46"/>
        <v>0.95881349897876955</v>
      </c>
      <c r="AX101" s="553">
        <f t="shared" si="47"/>
        <v>-2.6697177726926008E-2</v>
      </c>
      <c r="AY101" s="553">
        <f t="shared" si="48"/>
        <v>0.9800193621255312</v>
      </c>
      <c r="AZ101" s="538">
        <f t="shared" si="49"/>
        <v>0.57580296784744411</v>
      </c>
      <c r="BA101" s="538">
        <f t="shared" si="50"/>
        <v>-1.8902420868407401E-2</v>
      </c>
      <c r="BB101" s="455">
        <f t="shared" si="51"/>
        <v>0.60263809618570463</v>
      </c>
    </row>
    <row r="102" spans="1:54" ht="15" customHeight="1">
      <c r="A102" s="449">
        <v>2014</v>
      </c>
      <c r="B102" s="676"/>
      <c r="C102" s="50" t="s">
        <v>487</v>
      </c>
      <c r="D102" s="51"/>
      <c r="E102" s="51"/>
      <c r="F102" s="51"/>
      <c r="G102" s="51"/>
      <c r="H102" s="51"/>
      <c r="I102" s="51" t="s">
        <v>142</v>
      </c>
      <c r="J102" s="524" t="s">
        <v>515</v>
      </c>
      <c r="K102" s="444">
        <f>'Comp Group'!N494*BO8</f>
        <v>11487.105278000001</v>
      </c>
      <c r="L102" s="444">
        <f>'Comp Group'!O494*BP8</f>
        <v>9324.588119</v>
      </c>
      <c r="M102" s="444">
        <f>'Comp Group'!P494*BQ8</f>
        <v>1297.2921180000001</v>
      </c>
      <c r="N102" s="444">
        <f>'Comp Group'!Q494*BR8</f>
        <v>614.17430999999999</v>
      </c>
      <c r="O102" s="444">
        <f>'Comp Group'!R494*BS8</f>
        <v>707.459385</v>
      </c>
      <c r="P102" s="444">
        <f>'Comp Group'!N498*BO8</f>
        <v>5327.9935940000005</v>
      </c>
      <c r="Q102" s="444">
        <f>'Comp Group'!O498*BP8</f>
        <v>-17122.440566000001</v>
      </c>
      <c r="R102" s="444">
        <f>'Comp Group'!P498*BQ8</f>
        <v>-4486.0493120000001</v>
      </c>
      <c r="S102" s="444">
        <f>'Comp Group'!Q498*BR8</f>
        <v>-1663.1101650000001</v>
      </c>
      <c r="T102" s="444">
        <f>'Comp Group'!R498*BS8</f>
        <v>-1539.2136800000001</v>
      </c>
      <c r="U102" s="443">
        <f>'Comp Group'!N497*BO8</f>
        <v>50403.044582000002</v>
      </c>
      <c r="V102" s="443">
        <f>'Comp Group'!O497*BP8</f>
        <v>51098.976236000002</v>
      </c>
      <c r="W102" s="443">
        <f>'Comp Group'!P497*BQ8</f>
        <v>27501.773010000001</v>
      </c>
      <c r="X102" s="443">
        <f>'Comp Group'!Q497*BR8</f>
        <v>7492.1942850000005</v>
      </c>
      <c r="Y102" s="443">
        <f>'Comp Group'!R497*BS8</f>
        <v>3213.278824</v>
      </c>
      <c r="Z102" s="443">
        <f>'Comp Group'!N492*BO8</f>
        <v>77099.792505999998</v>
      </c>
      <c r="AA102" s="443">
        <f>'Comp Group'!O492*BP8</f>
        <v>72117.902438999998</v>
      </c>
      <c r="AB102" s="443">
        <f>'Comp Group'!P492*BQ8</f>
        <v>67309.497805999999</v>
      </c>
      <c r="AC102" s="443">
        <f>'Comp Group'!Q492*BR8</f>
        <v>64251.420389999999</v>
      </c>
      <c r="AD102" s="443">
        <f>'Comp Group'!R492*BS8</f>
        <v>65496.436623000001</v>
      </c>
      <c r="AE102" s="61">
        <f t="shared" si="28"/>
        <v>-2.3500723999074529E-2</v>
      </c>
      <c r="AF102" s="61">
        <f t="shared" si="29"/>
        <v>-2.5884410880025372E-2</v>
      </c>
      <c r="AG102" s="61">
        <f t="shared" si="30"/>
        <v>-6.664808768785839E-2</v>
      </c>
      <c r="AH102" s="61">
        <f t="shared" si="31"/>
        <v>-2.4713160578134868E-2</v>
      </c>
      <c r="AI102" s="61">
        <f t="shared" si="32"/>
        <v>-2.930114237152177E-2</v>
      </c>
      <c r="AJ102" s="61">
        <f t="shared" si="33"/>
        <v>-0.11269258254875221</v>
      </c>
      <c r="AK102" s="434"/>
      <c r="AL102" s="434"/>
      <c r="AM102" s="443">
        <f>'Comp Group'!N502*BO8</f>
        <v>26696.747924000003</v>
      </c>
      <c r="AN102" s="443">
        <f>'Comp Group'!O502*BP8</f>
        <v>21018.926203000003</v>
      </c>
      <c r="AO102" s="443">
        <f>'Comp Group'!P502*BQ8</f>
        <v>39807.849022000002</v>
      </c>
      <c r="AP102" s="443">
        <f>'Comp Group'!Q502*BR8</f>
        <v>56759.226105000002</v>
      </c>
      <c r="AQ102" s="443">
        <f>'Comp Group'!R502*BS8</f>
        <v>62283.157799000001</v>
      </c>
      <c r="AR102" s="443">
        <f>'Long Term Debt'!C58*BO8</f>
        <v>43949.016122000001</v>
      </c>
      <c r="AS102" s="443">
        <f>'Long Term Debt'!D58*BP8</f>
        <v>49392.827692999999</v>
      </c>
      <c r="AT102" s="443">
        <f>'Long Term Debt'!E58*BQ8</f>
        <v>26313.302867999999</v>
      </c>
      <c r="AU102" s="443">
        <f>'Long Term Debt'!F58*BR8</f>
        <v>2228.0932200000002</v>
      </c>
      <c r="AV102" s="443">
        <f>'Long Term Debt'!G58*BS8</f>
        <v>1702.4997330000001</v>
      </c>
      <c r="AW102" s="553">
        <f t="shared" si="46"/>
        <v>-0.9040904090409041</v>
      </c>
      <c r="AX102" s="553">
        <f t="shared" si="47"/>
        <v>-0.74642755072877964</v>
      </c>
      <c r="AY102" s="553">
        <f t="shared" si="48"/>
        <v>-0.17048598324977104</v>
      </c>
      <c r="AZ102" s="538">
        <f t="shared" si="49"/>
        <v>-6.7855725830311103E-2</v>
      </c>
      <c r="BA102" s="538">
        <f t="shared" si="50"/>
        <v>-0.11292342411570944</v>
      </c>
      <c r="BB102" s="455">
        <f t="shared" si="51"/>
        <v>-0.13630616021525227</v>
      </c>
    </row>
    <row r="103" spans="1:54" s="684" customFormat="1" ht="15" customHeight="1">
      <c r="A103" s="449">
        <v>2014</v>
      </c>
      <c r="B103" s="676"/>
      <c r="C103" s="50" t="s">
        <v>435</v>
      </c>
      <c r="D103" s="51"/>
      <c r="E103" s="51"/>
      <c r="F103" s="51"/>
      <c r="G103" s="51"/>
      <c r="H103" s="51"/>
      <c r="I103" s="51" t="s">
        <v>554</v>
      </c>
      <c r="J103" s="524" t="s">
        <v>1050</v>
      </c>
      <c r="K103" s="444">
        <f>'More Comp Group'!D772</f>
        <v>660479</v>
      </c>
      <c r="L103" s="444">
        <f>'More Comp Group'!E772</f>
        <v>589931</v>
      </c>
      <c r="M103" s="444">
        <f>'More Comp Group'!F772</f>
        <v>525452</v>
      </c>
      <c r="N103" s="444">
        <f>'More Comp Group'!G772</f>
        <v>573195</v>
      </c>
      <c r="O103" s="444">
        <f>'More Comp Group'!H772</f>
        <v>617926</v>
      </c>
      <c r="P103" s="444">
        <f>'More Comp Group'!D776</f>
        <v>47479</v>
      </c>
      <c r="Q103" s="444">
        <f>'More Comp Group'!E776</f>
        <v>47989</v>
      </c>
      <c r="R103" s="444">
        <f>'More Comp Group'!F776</f>
        <v>31508</v>
      </c>
      <c r="S103" s="444">
        <f>'More Comp Group'!G776</f>
        <v>20093</v>
      </c>
      <c r="T103" s="444">
        <f>'More Comp Group'!H776</f>
        <v>16311</v>
      </c>
      <c r="U103" s="443">
        <f>'More Comp Group'!D775</f>
        <v>220163</v>
      </c>
      <c r="V103" s="443">
        <f>'More Comp Group'!E775</f>
        <v>316484</v>
      </c>
      <c r="W103" s="443">
        <f>'More Comp Group'!F775</f>
        <v>291207</v>
      </c>
      <c r="X103" s="443">
        <f>'More Comp Group'!G775</f>
        <v>344992</v>
      </c>
      <c r="Y103" s="443">
        <f>'More Comp Group'!H775</f>
        <v>446166</v>
      </c>
      <c r="Z103" s="443">
        <f>'More Comp Group'!D777</f>
        <v>554005</v>
      </c>
      <c r="AA103" s="443">
        <f>'More Comp Group'!E777</f>
        <v>514671</v>
      </c>
      <c r="AB103" s="443">
        <f>'More Comp Group'!F777</f>
        <v>464699</v>
      </c>
      <c r="AC103" s="443">
        <f>'More Comp Group'!G777</f>
        <v>507119</v>
      </c>
      <c r="AD103" s="443">
        <f>'More Comp Group'!H777</f>
        <v>605885</v>
      </c>
      <c r="AE103" s="61">
        <f t="shared" ref="AE103:AE104" si="64">T103/AD103</f>
        <v>2.6920950345362567E-2</v>
      </c>
      <c r="AF103" s="61">
        <f t="shared" ref="AF103:AF104" si="65">S103/AC103</f>
        <v>3.9621863901766648E-2</v>
      </c>
      <c r="AG103" s="61">
        <f t="shared" ref="AG103:AG104" si="66">R103/AB103</f>
        <v>6.7803029487905078E-2</v>
      </c>
      <c r="AH103" s="61">
        <f t="shared" ref="AH103:AH104" si="67">T103/AQ103</f>
        <v>0.10212310370087466</v>
      </c>
      <c r="AI103" s="61">
        <f t="shared" ref="AI103:AI104" si="68">S103/AP103</f>
        <v>0.12393370629198097</v>
      </c>
      <c r="AJ103" s="61">
        <f t="shared" ref="AJ103:AJ104" si="69">R103/AO103</f>
        <v>0.18161067945496046</v>
      </c>
      <c r="AK103" s="434"/>
      <c r="AL103" s="434"/>
      <c r="AM103" s="443">
        <f>'More Comp Group'!D780</f>
        <v>214888</v>
      </c>
      <c r="AN103" s="443">
        <f>'More Comp Group'!E780</f>
        <v>198187</v>
      </c>
      <c r="AO103" s="443">
        <f>'More Comp Group'!F780</f>
        <v>173492</v>
      </c>
      <c r="AP103" s="443">
        <f>'More Comp Group'!G780</f>
        <v>162127</v>
      </c>
      <c r="AQ103" s="443">
        <f>'More Comp Group'!H780</f>
        <v>159719</v>
      </c>
      <c r="AR103" s="443">
        <f>'More Comp Group'!D773</f>
        <v>206946</v>
      </c>
      <c r="AS103" s="443">
        <f>'More Comp Group'!E773</f>
        <v>196487</v>
      </c>
      <c r="AT103" s="443">
        <f>'More Comp Group'!F773</f>
        <v>194163</v>
      </c>
      <c r="AU103" s="443">
        <f>'More Comp Group'!G773</f>
        <v>214823</v>
      </c>
      <c r="AV103" s="443">
        <f>'More Comp Group'!H773</f>
        <v>303115</v>
      </c>
      <c r="AW103" s="553">
        <f t="shared" ref="AW103:AW104" si="70">T103/AV103</f>
        <v>5.3811259752899063E-2</v>
      </c>
      <c r="AX103" s="553">
        <f t="shared" ref="AX103:AX104" si="71">S103/AU103</f>
        <v>9.3532815387551607E-2</v>
      </c>
      <c r="AY103" s="553">
        <f t="shared" ref="AY103:AY104" si="72">R103/AT103</f>
        <v>0.16227602581336301</v>
      </c>
      <c r="AZ103" s="538">
        <f t="shared" ref="AZ103:AZ104" si="73">((AQ103/(AQ103+Y103))*AH103)+(Y103/(AQ103+Y103))*AW103</f>
        <v>6.6546876913790506E-2</v>
      </c>
      <c r="BA103" s="538">
        <f t="shared" ref="BA103:BA104" si="74">((AP103/(AP103+X103))*AI103)+(X103/(AP103+X103))*AX103</f>
        <v>0.10325204349705336</v>
      </c>
      <c r="BB103" s="455">
        <f t="shared" ref="BB103:BB104" si="75">((AO103/(AO103+W103))*AJ103)+(W103/(AO103+W103))*AY103</f>
        <v>0.16949447846677529</v>
      </c>
    </row>
    <row r="104" spans="1:54" s="684" customFormat="1" ht="15" customHeight="1">
      <c r="A104" s="449">
        <v>2014</v>
      </c>
      <c r="B104" s="676"/>
      <c r="C104" s="50" t="s">
        <v>487</v>
      </c>
      <c r="D104" s="51"/>
      <c r="E104" s="51"/>
      <c r="F104" s="51"/>
      <c r="G104" s="789"/>
      <c r="H104" s="51"/>
      <c r="I104" s="51" t="s">
        <v>554</v>
      </c>
      <c r="J104" s="524" t="s">
        <v>653</v>
      </c>
      <c r="K104" s="444">
        <f>'More Comp Group'!D784*BO8</f>
        <v>1054363.794</v>
      </c>
      <c r="L104" s="444">
        <f>'More Comp Group'!E784*BP8</f>
        <v>930161.08900000004</v>
      </c>
      <c r="M104" s="444">
        <f>'More Comp Group'!F784*BQ8</f>
        <v>805729.83600000001</v>
      </c>
      <c r="N104" s="444">
        <f>'More Comp Group'!G784*BR8</f>
        <v>829724.34</v>
      </c>
      <c r="O104" s="444">
        <f>'More Comp Group'!H784*BS8</f>
        <v>682501.81840700004</v>
      </c>
      <c r="P104" s="444">
        <f>'More Comp Group'!D788*BO8</f>
        <v>61985.792000000001</v>
      </c>
      <c r="Q104" s="444">
        <f>'More Comp Group'!E788*BP8</f>
        <v>61431.348000000005</v>
      </c>
      <c r="R104" s="444">
        <f>'More Comp Group'!F788*BQ8</f>
        <v>53044.502</v>
      </c>
      <c r="S104" s="444">
        <f>'More Comp Group'!G788*BR8</f>
        <v>41868.285000000003</v>
      </c>
      <c r="T104" s="444">
        <f>'More Comp Group'!H788*BS8</f>
        <v>21450.406927</v>
      </c>
      <c r="U104" s="443">
        <f>'More Comp Group'!D787*BO8</f>
        <v>465983.03400000004</v>
      </c>
      <c r="V104" s="443">
        <f>'More Comp Group'!E787*BP8</f>
        <v>364897.44500000001</v>
      </c>
      <c r="W104" s="443">
        <f>'More Comp Group'!F787*BQ8</f>
        <v>307210.89799999999</v>
      </c>
      <c r="X104" s="443">
        <f>'More Comp Group'!G787*BR8</f>
        <v>336538.23</v>
      </c>
      <c r="Y104" s="443">
        <f>'More Comp Group'!H787*BS8</f>
        <v>623282.95580700005</v>
      </c>
      <c r="Z104" s="443">
        <f>'More Comp Group'!D789*BO8</f>
        <v>931602.87</v>
      </c>
      <c r="AA104" s="443">
        <f>'More Comp Group'!E789*BP8</f>
        <v>794440.66899999999</v>
      </c>
      <c r="AB104" s="443">
        <f>'More Comp Group'!F789*BQ8</f>
        <v>725355.61400000006</v>
      </c>
      <c r="AC104" s="443">
        <f>'More Comp Group'!G789*BR8</f>
        <v>848986.93500000006</v>
      </c>
      <c r="AD104" s="443">
        <f>'More Comp Group'!H789*BS8</f>
        <v>823088.04523399996</v>
      </c>
      <c r="AE104" s="61">
        <f t="shared" si="64"/>
        <v>2.6060889902612731E-2</v>
      </c>
      <c r="AF104" s="61">
        <f t="shared" si="65"/>
        <v>4.9315582223888994E-2</v>
      </c>
      <c r="AG104" s="61">
        <f t="shared" si="66"/>
        <v>7.3128960438431229E-2</v>
      </c>
      <c r="AH104" s="61">
        <f t="shared" si="67"/>
        <v>0.1073566593749707</v>
      </c>
      <c r="AI104" s="61">
        <f t="shared" si="68"/>
        <v>8.1702392047219644E-2</v>
      </c>
      <c r="AJ104" s="61">
        <f t="shared" si="69"/>
        <v>0.12685680332739155</v>
      </c>
      <c r="AK104" s="434"/>
      <c r="AL104" s="434"/>
      <c r="AM104" s="443">
        <f>'More Comp Group'!D792*BO8</f>
        <v>465619.83600000001</v>
      </c>
      <c r="AN104" s="443">
        <f>'More Comp Group'!E792*BP8</f>
        <v>429543.22400000005</v>
      </c>
      <c r="AO104" s="443">
        <f>'More Comp Group'!F792*BQ8</f>
        <v>418144.71600000001</v>
      </c>
      <c r="AP104" s="443">
        <f>'More Comp Group'!G792*BR8</f>
        <v>512448.70500000002</v>
      </c>
      <c r="AQ104" s="443">
        <f>'More Comp Group'!H792*BS8</f>
        <v>199805.089427</v>
      </c>
      <c r="AR104" s="443">
        <f>'More Comp Group'!D785*BO8</f>
        <v>136925.64600000001</v>
      </c>
      <c r="AS104" s="443">
        <f>'More Comp Group'!E785*BP8</f>
        <v>131196.40600000002</v>
      </c>
      <c r="AT104" s="443">
        <f>'More Comp Group'!F785*BQ8</f>
        <v>146214.00200000001</v>
      </c>
      <c r="AU104" s="443">
        <f>'More Comp Group'!G785*BR8</f>
        <v>182915.05499999999</v>
      </c>
      <c r="AV104" s="443">
        <f>'More Comp Group'!H785*BS8</f>
        <v>467772.996697</v>
      </c>
      <c r="AW104" s="553">
        <f t="shared" si="70"/>
        <v>4.5856445494852932E-2</v>
      </c>
      <c r="AX104" s="553">
        <f t="shared" si="71"/>
        <v>0.22889469103568322</v>
      </c>
      <c r="AY104" s="553">
        <f t="shared" si="72"/>
        <v>0.36278674596431604</v>
      </c>
      <c r="AZ104" s="538">
        <f t="shared" si="73"/>
        <v>6.0785657266605883E-2</v>
      </c>
      <c r="BA104" s="538">
        <f t="shared" si="74"/>
        <v>0.14004938624590929</v>
      </c>
      <c r="BB104" s="455">
        <f t="shared" si="75"/>
        <v>0.22678054851340185</v>
      </c>
    </row>
    <row r="105" spans="1:54" ht="15" customHeight="1">
      <c r="A105" s="449">
        <v>2014</v>
      </c>
      <c r="B105" s="676"/>
      <c r="C105" s="50" t="s">
        <v>487</v>
      </c>
      <c r="D105" s="51"/>
      <c r="E105" s="51"/>
      <c r="F105" s="51"/>
      <c r="G105" s="51"/>
      <c r="H105" s="51"/>
      <c r="I105" s="51" t="s">
        <v>554</v>
      </c>
      <c r="J105" s="524" t="s">
        <v>517</v>
      </c>
      <c r="K105" s="444">
        <f>'Comp Group'!M539*BO8</f>
        <v>72015.867968000006</v>
      </c>
      <c r="L105" s="444">
        <f>'Comp Group'!N539*BP8</f>
        <v>130212.43295500001</v>
      </c>
      <c r="M105" s="444">
        <f>'Comp Group'!O539*BQ8</f>
        <v>194634.19115</v>
      </c>
      <c r="N105" s="444">
        <f>'Comp Group'!P539*BR8</f>
        <v>269166.26922000002</v>
      </c>
      <c r="O105" s="444">
        <f>'Comp Group'!Q539*BS8</f>
        <v>248461.268415</v>
      </c>
      <c r="P105" s="444">
        <f>'Comp Group'!M543*BO8</f>
        <v>93781.355580000003</v>
      </c>
      <c r="Q105" s="444">
        <f>'Comp Group'!N543*BP8</f>
        <v>-143138.61243000001</v>
      </c>
      <c r="R105" s="444">
        <f>'Comp Group'!O543*BQ8</f>
        <v>-189650.989386</v>
      </c>
      <c r="S105" s="444">
        <f>'Comp Group'!P543*BR8</f>
        <v>571.82844</v>
      </c>
      <c r="T105" s="444">
        <f>'Comp Group'!Q543*BS8</f>
        <v>2295.1991600000001</v>
      </c>
      <c r="U105" s="443">
        <f>'Comp Group'!M542*BO8</f>
        <v>529464.11216600006</v>
      </c>
      <c r="V105" s="443">
        <f>'Comp Group'!N542*BP8</f>
        <v>734721.42219300009</v>
      </c>
      <c r="W105" s="443">
        <f>'Comp Group'!O542*BQ8</f>
        <v>749309.24399800005</v>
      </c>
      <c r="X105" s="443">
        <f>'Comp Group'!P542*BR8</f>
        <v>1011150.92175</v>
      </c>
      <c r="Y105" s="443">
        <f>'Comp Group'!Q542*BS8</f>
        <v>1076391.8773960001</v>
      </c>
      <c r="Z105" s="443">
        <f>'Comp Group'!M537*BO8</f>
        <v>580691.49514200003</v>
      </c>
      <c r="AA105" s="443">
        <f>'Comp Group'!N537*BP8</f>
        <v>651391.70347900002</v>
      </c>
      <c r="AB105" s="443">
        <f>'Comp Group'!O537*BQ8</f>
        <v>811721.00752800005</v>
      </c>
      <c r="AC105" s="443">
        <f>'Comp Group'!P537*BR8</f>
        <v>1333059.7680299999</v>
      </c>
      <c r="AD105" s="443">
        <f>'Comp Group'!Q537*BS8</f>
        <v>1420604.495931</v>
      </c>
      <c r="AE105" s="61">
        <f t="shared" si="28"/>
        <v>1.6156496523656505E-3</v>
      </c>
      <c r="AF105" s="61">
        <f t="shared" si="29"/>
        <v>4.2895934129423915E-4</v>
      </c>
      <c r="AG105" s="61">
        <f t="shared" si="30"/>
        <v>-0.23364060758210456</v>
      </c>
      <c r="AH105" s="61">
        <f t="shared" si="31"/>
        <v>6.6679692620467404E-3</v>
      </c>
      <c r="AI105" s="61">
        <f t="shared" si="32"/>
        <v>1.7763684639209773E-3</v>
      </c>
      <c r="AJ105" s="61">
        <f t="shared" si="33"/>
        <v>-3.0387058249818373</v>
      </c>
      <c r="AK105" s="434"/>
      <c r="AL105" s="434"/>
      <c r="AM105" s="443">
        <f>'Comp Group'!M547*BO8</f>
        <v>51227.504042</v>
      </c>
      <c r="AN105" s="443">
        <f>'Comp Group'!N547*BP8</f>
        <v>-83329.837767000005</v>
      </c>
      <c r="AO105" s="443">
        <f>'Comp Group'!O547*BQ8</f>
        <v>62411.763530000004</v>
      </c>
      <c r="AP105" s="443">
        <f>'Comp Group'!P547*BR8</f>
        <v>321908.68708499998</v>
      </c>
      <c r="AQ105" s="443">
        <f>'Comp Group'!Q547*BS8</f>
        <v>344212.61853500002</v>
      </c>
      <c r="AR105" s="443">
        <f>'Long Term Debt'!C59*BO8</f>
        <v>500328.36860600003</v>
      </c>
      <c r="AS105" s="443">
        <f>'Long Term Debt'!D59*BP8</f>
        <v>7995.5994800000008</v>
      </c>
      <c r="AT105" s="443">
        <f>'Long Term Debt'!E59*BQ8</f>
        <v>16365.781692</v>
      </c>
      <c r="AU105" s="443">
        <f>'Long Term Debt'!F59*BR8</f>
        <v>818322.63490499998</v>
      </c>
      <c r="AV105" s="443">
        <f>'Long Term Debt'!G59*BS8</f>
        <v>844157.05408100004</v>
      </c>
      <c r="AW105" s="553">
        <f t="shared" si="46"/>
        <v>2.7189243386690543E-3</v>
      </c>
      <c r="AX105" s="553">
        <f t="shared" si="47"/>
        <v>6.9878115991058249E-4</v>
      </c>
      <c r="AY105" s="553">
        <f t="shared" si="48"/>
        <v>-11.588263423965023</v>
      </c>
      <c r="AZ105" s="538">
        <f t="shared" si="49"/>
        <v>3.6757783382738852E-3</v>
      </c>
      <c r="BA105" s="538">
        <f t="shared" si="50"/>
        <v>9.5899811641757889E-4</v>
      </c>
      <c r="BB105" s="455">
        <f t="shared" si="51"/>
        <v>-10.930903367732345</v>
      </c>
    </row>
    <row r="106" spans="1:54" ht="15" customHeight="1">
      <c r="A106" s="449">
        <v>2014</v>
      </c>
      <c r="B106" s="676"/>
      <c r="C106" s="50" t="s">
        <v>487</v>
      </c>
      <c r="D106" s="51"/>
      <c r="E106" s="51"/>
      <c r="F106" s="51"/>
      <c r="G106" s="51"/>
      <c r="H106" s="51"/>
      <c r="I106" s="51" t="s">
        <v>554</v>
      </c>
      <c r="J106" s="524" t="s">
        <v>555</v>
      </c>
      <c r="K106" s="444">
        <f>'Comp Group'!V539*BO8</f>
        <v>43602.525229999999</v>
      </c>
      <c r="L106" s="444">
        <f>'Comp Group'!W539*BP8</f>
        <v>38989.024129000005</v>
      </c>
      <c r="M106" s="444">
        <f>'Comp Group'!X539*BQ8</f>
        <v>78805.123393999995</v>
      </c>
      <c r="N106" s="444">
        <f>'Comp Group'!Y539*BR8</f>
        <v>49533.524250000002</v>
      </c>
      <c r="O106" s="444">
        <f>'Comp Group'!Z539*BS8</f>
        <v>10603.547692</v>
      </c>
      <c r="P106" s="444">
        <f>'Comp Group'!V543*BO8</f>
        <v>-3724.5954900000002</v>
      </c>
      <c r="Q106" s="444">
        <f>'Comp Group'!W543*BP8</f>
        <v>-2763.4582359999999</v>
      </c>
      <c r="R106" s="444">
        <f>'Comp Group'!X543*BQ8</f>
        <v>330.68961200000001</v>
      </c>
      <c r="S106" s="444">
        <f>'Comp Group'!Y543*BR8</f>
        <v>3952.9710450000002</v>
      </c>
      <c r="T106" s="444">
        <f>'Comp Group'!Z543*BS8</f>
        <v>-2681.1944490000001</v>
      </c>
      <c r="U106" s="443">
        <f>'Comp Group'!V542*BO8</f>
        <v>20712.939808000003</v>
      </c>
      <c r="V106" s="443">
        <f>'Comp Group'!W542*BP8</f>
        <v>16148.467973000001</v>
      </c>
      <c r="W106" s="443">
        <f>'Comp Group'!X542*BQ8</f>
        <v>22585.404834000001</v>
      </c>
      <c r="X106" s="443">
        <f>'Comp Group'!Y542*BR8</f>
        <v>17317.868880000002</v>
      </c>
      <c r="Y106" s="443">
        <f>'Comp Group'!Z542*BS8</f>
        <v>14016.038906</v>
      </c>
      <c r="Z106" s="443">
        <f>'Comp Group'!V537*BO8</f>
        <v>47114.528824000001</v>
      </c>
      <c r="AA106" s="443">
        <f>'Comp Group'!W537*BP8</f>
        <v>35548.03527</v>
      </c>
      <c r="AB106" s="443">
        <f>'Comp Group'!X537*BQ8</f>
        <v>42144.043178</v>
      </c>
      <c r="AC106" s="443">
        <f>'Comp Group'!Y537*BR8</f>
        <v>41862.235590000004</v>
      </c>
      <c r="AD106" s="443">
        <f>'Comp Group'!Z537*BS8</f>
        <v>35962.603870999999</v>
      </c>
      <c r="AE106" s="61">
        <f t="shared" si="28"/>
        <v>-7.4555070000426119E-2</v>
      </c>
      <c r="AF106" s="61">
        <f t="shared" si="29"/>
        <v>9.4428092271887185E-2</v>
      </c>
      <c r="AG106" s="61">
        <f t="shared" si="30"/>
        <v>7.8466513192219384E-3</v>
      </c>
      <c r="AH106" s="61">
        <f t="shared" si="31"/>
        <v>-0.12216920749447224</v>
      </c>
      <c r="AI106" s="61">
        <f t="shared" si="32"/>
        <v>0.16105515089799385</v>
      </c>
      <c r="AJ106" s="61">
        <f t="shared" si="33"/>
        <v>1.6907598892304566E-2</v>
      </c>
      <c r="AK106" s="434"/>
      <c r="AL106" s="434"/>
      <c r="AM106" s="443">
        <f>'Comp Group'!V547*BO8</f>
        <v>26401.831148000001</v>
      </c>
      <c r="AN106" s="443">
        <f>'Comp Group'!W547*BP8</f>
        <v>19399.567297000001</v>
      </c>
      <c r="AO106" s="443">
        <f>'Comp Group'!X547*BQ8</f>
        <v>19558.638343999999</v>
      </c>
      <c r="AP106" s="443">
        <f>'Comp Group'!Y547*BR8</f>
        <v>24544.207515000002</v>
      </c>
      <c r="AQ106" s="443">
        <f>'Comp Group'!Z547*BS8</f>
        <v>21946.564965000001</v>
      </c>
      <c r="AR106" s="443">
        <f>'Long Term Debt'!C60*BO8</f>
        <v>5196.0316540000003</v>
      </c>
      <c r="AS106" s="443">
        <f>'Long Term Debt'!D60*BP8</f>
        <v>7646.417031</v>
      </c>
      <c r="AT106" s="443">
        <f>'Long Term Debt'!E60*BQ8</f>
        <v>11751.903826</v>
      </c>
      <c r="AU106" s="443">
        <f>'Long Term Debt'!F60*BR8</f>
        <v>9474.9680100000005</v>
      </c>
      <c r="AV106" s="443">
        <f>'Long Term Debt'!G60*BS8</f>
        <v>11412.826743</v>
      </c>
      <c r="AW106" s="553">
        <f t="shared" si="46"/>
        <v>-0.23492816542093722</v>
      </c>
      <c r="AX106" s="553">
        <f t="shared" si="47"/>
        <v>0.41720151886824153</v>
      </c>
      <c r="AY106" s="553">
        <f t="shared" si="48"/>
        <v>2.8139237428779825E-2</v>
      </c>
      <c r="AZ106" s="538">
        <f t="shared" si="49"/>
        <v>-0.16611580121072431</v>
      </c>
      <c r="BA106" s="538">
        <f t="shared" si="50"/>
        <v>0.26702001448337503</v>
      </c>
      <c r="BB106" s="455">
        <f t="shared" si="51"/>
        <v>2.2926743809749746E-2</v>
      </c>
    </row>
    <row r="107" spans="1:54" ht="15" customHeight="1">
      <c r="A107" s="449">
        <v>2013</v>
      </c>
      <c r="B107" s="676"/>
      <c r="C107" s="50" t="s">
        <v>487</v>
      </c>
      <c r="D107" s="51"/>
      <c r="E107" s="51"/>
      <c r="F107" s="51"/>
      <c r="G107" s="51"/>
      <c r="H107" s="51"/>
      <c r="I107" s="51" t="s">
        <v>144</v>
      </c>
      <c r="J107" s="524" t="s">
        <v>518</v>
      </c>
      <c r="K107" s="444">
        <f>'Comp Group'!M571*BP8</f>
        <v>776592.36229299998</v>
      </c>
      <c r="L107" s="444">
        <f>'Comp Group'!N571*BQ8</f>
        <v>755991.11208600004</v>
      </c>
      <c r="M107" s="444">
        <f>'Comp Group'!O571*BR8</f>
        <v>803948.44076999999</v>
      </c>
      <c r="N107" s="444">
        <f>'Comp Group'!P571*BS8</f>
        <v>783158.73106400005</v>
      </c>
      <c r="O107" s="444">
        <f>'Comp Group'!Q571*BT8</f>
        <v>460306.73874</v>
      </c>
      <c r="P107" s="444">
        <f>'Comp Group'!M575*BP8</f>
        <v>56627.440397000006</v>
      </c>
      <c r="Q107" s="444">
        <f>'Comp Group'!N575*BQ8</f>
        <v>61040.432716000003</v>
      </c>
      <c r="R107" s="444">
        <f>'Comp Group'!O575*BR8</f>
        <v>35804.388254999998</v>
      </c>
      <c r="S107" s="444">
        <f>'Comp Group'!P575*BS8</f>
        <v>13498.256959</v>
      </c>
      <c r="T107" s="444">
        <f>'Comp Group'!Q575*BT8</f>
        <v>56178.058163999995</v>
      </c>
      <c r="U107" s="443">
        <f>'Comp Group'!M574*BP8</f>
        <v>546809.35752299998</v>
      </c>
      <c r="V107" s="443">
        <f>'Comp Group'!N574*BQ8</f>
        <v>585861.24479200004</v>
      </c>
      <c r="W107" s="443">
        <f>'Comp Group'!O574*BR8</f>
        <v>701742.06686999998</v>
      </c>
      <c r="X107" s="443">
        <f>'Comp Group'!P574*BS8</f>
        <v>668955.88668800006</v>
      </c>
      <c r="Y107" s="443">
        <f>'Comp Group'!Q574*BT8</f>
        <v>609414.36085199995</v>
      </c>
      <c r="Z107" s="443">
        <f>'Comp Group'!M569*BP8</f>
        <v>925472.18659500009</v>
      </c>
      <c r="AA107" s="443">
        <f>'Comp Group'!N569*BQ8</f>
        <v>975826.28650000005</v>
      </c>
      <c r="AB107" s="443">
        <f>'Comp Group'!O569*BR8</f>
        <v>1097639.01813</v>
      </c>
      <c r="AC107" s="443">
        <f>'Comp Group'!P569*BS8</f>
        <v>1174247.3871019999</v>
      </c>
      <c r="AD107" s="443">
        <f>'Comp Group'!Q569*BT8</f>
        <v>1119556.7094719999</v>
      </c>
      <c r="AE107" s="61">
        <f t="shared" si="28"/>
        <v>5.0178841043697041E-2</v>
      </c>
      <c r="AF107" s="61">
        <f t="shared" si="29"/>
        <v>1.1495241213449246E-2</v>
      </c>
      <c r="AG107" s="61">
        <f t="shared" si="30"/>
        <v>3.2619456545921972E-2</v>
      </c>
      <c r="AH107" s="61">
        <f t="shared" si="31"/>
        <v>0.11012231843909606</v>
      </c>
      <c r="AI107" s="61">
        <f t="shared" si="32"/>
        <v>2.6713801732149631E-2</v>
      </c>
      <c r="AJ107" s="61">
        <f t="shared" si="33"/>
        <v>9.0438656173146295E-2</v>
      </c>
      <c r="AK107" s="434"/>
      <c r="AL107" s="434"/>
      <c r="AM107" s="443">
        <f>'Comp Group'!M579*BP8</f>
        <v>378662.82907199999</v>
      </c>
      <c r="AN107" s="443">
        <f>'Comp Group'!N579*BQ8</f>
        <v>389965.041708</v>
      </c>
      <c r="AO107" s="443">
        <f>'Comp Group'!O579*BR8</f>
        <v>395896.95126</v>
      </c>
      <c r="AP107" s="443">
        <f>'Comp Group'!P579*BS8</f>
        <v>505291.50041400001</v>
      </c>
      <c r="AQ107" s="443">
        <f>'Comp Group'!Q579*BT8</f>
        <v>510142.34862</v>
      </c>
      <c r="AR107" s="443">
        <f>'Long Term Debt'!C61*BP8</f>
        <v>274649.19929700001</v>
      </c>
      <c r="AS107" s="443">
        <f>'Long Term Debt'!D61*BQ8</f>
        <v>262181.58174599998</v>
      </c>
      <c r="AT107" s="443">
        <f>'Long Term Debt'!E61*BR8</f>
        <v>371044.06464</v>
      </c>
      <c r="AU107" s="443">
        <f>'Long Term Debt'!F61*BS8</f>
        <v>432618.820542</v>
      </c>
      <c r="AV107" s="443">
        <f>'Long Term Debt'!G61*BT8</f>
        <v>403964.14930799999</v>
      </c>
      <c r="AW107" s="553">
        <f t="shared" si="46"/>
        <v>0.13906694012385584</v>
      </c>
      <c r="AX107" s="553">
        <f t="shared" si="47"/>
        <v>3.120127076785266E-2</v>
      </c>
      <c r="AY107" s="553">
        <f t="shared" si="48"/>
        <v>9.649632393321983E-2</v>
      </c>
      <c r="AZ107" s="538">
        <f t="shared" si="49"/>
        <v>0.1258779009610746</v>
      </c>
      <c r="BA107" s="538">
        <f t="shared" si="50"/>
        <v>2.9270263735588525E-2</v>
      </c>
      <c r="BB107" s="455">
        <f t="shared" si="51"/>
        <v>9.4311441509811772E-2</v>
      </c>
    </row>
    <row r="108" spans="1:54" ht="15" customHeight="1">
      <c r="A108" s="680">
        <v>2013</v>
      </c>
      <c r="B108" s="681"/>
      <c r="C108" s="53" t="s">
        <v>487</v>
      </c>
      <c r="D108" s="751"/>
      <c r="E108" s="751"/>
      <c r="F108" s="751"/>
      <c r="G108" s="751"/>
      <c r="H108" s="751"/>
      <c r="I108" s="751" t="s">
        <v>144</v>
      </c>
      <c r="J108" s="740" t="s">
        <v>556</v>
      </c>
      <c r="K108" s="756">
        <f>'Comp Group'!U571*BP8</f>
        <v>257.27353299999999</v>
      </c>
      <c r="L108" s="756">
        <f>'Comp Group'!V571*BQ8</f>
        <v>165.469032</v>
      </c>
      <c r="M108" s="756">
        <f>'Comp Group'!W571*BR8</f>
        <v>205.99833000000001</v>
      </c>
      <c r="N108" s="756">
        <f>'Comp Group'!X571*BS8</f>
        <v>12.599758</v>
      </c>
      <c r="O108" s="756">
        <f>'Comp Group'!Y571*BT8</f>
        <v>34.384799999999998</v>
      </c>
      <c r="P108" s="756">
        <f>'Comp Group'!U575*BP8</f>
        <v>-9574.1232070000005</v>
      </c>
      <c r="Q108" s="756">
        <f>'Comp Group'!V575*BQ8</f>
        <v>-17855.251432000001</v>
      </c>
      <c r="R108" s="756">
        <f>'Comp Group'!W575*BR8</f>
        <v>1331.6661750000001</v>
      </c>
      <c r="S108" s="756">
        <f>'Comp Group'!X575*BS8</f>
        <v>3428.8368460000002</v>
      </c>
      <c r="T108" s="756">
        <f>'Comp Group'!Y575*BT8</f>
        <v>-2252.892096</v>
      </c>
      <c r="U108" s="756">
        <f>'Comp Group'!U574*BP8</f>
        <v>8329.4240920000011</v>
      </c>
      <c r="V108" s="756">
        <f>'Comp Group'!V574*BQ8</f>
        <v>14782.894</v>
      </c>
      <c r="W108" s="756">
        <f>'Comp Group'!W574*BR8</f>
        <v>15581.36982</v>
      </c>
      <c r="X108" s="756">
        <f>'Comp Group'!X574*BS8</f>
        <v>277.70547700000003</v>
      </c>
      <c r="Y108" s="756">
        <f>'Comp Group'!Y574*BT8</f>
        <v>7787.2975799999995</v>
      </c>
      <c r="Z108" s="756">
        <f>'Comp Group'!U569*BP8</f>
        <v>31686.313109000002</v>
      </c>
      <c r="AA108" s="756">
        <f>'Comp Group'!V569*BQ8</f>
        <v>49144.799407999999</v>
      </c>
      <c r="AB108" s="756">
        <f>'Comp Group'!W569*BR8</f>
        <v>82497.396120000005</v>
      </c>
      <c r="AC108" s="756">
        <f>'Comp Group'!X569*BS8</f>
        <v>37102.200901999997</v>
      </c>
      <c r="AD108" s="756">
        <f>'Comp Group'!Y569*BT8</f>
        <v>25612.549823999998</v>
      </c>
      <c r="AE108" s="766">
        <f t="shared" si="28"/>
        <v>-8.7960476855332412E-2</v>
      </c>
      <c r="AF108" s="766">
        <f t="shared" si="29"/>
        <v>9.2415995888135261E-2</v>
      </c>
      <c r="AG108" s="766">
        <f t="shared" si="30"/>
        <v>1.6141917655958134E-2</v>
      </c>
      <c r="AH108" s="766">
        <f t="shared" si="31"/>
        <v>-0.12638766987201128</v>
      </c>
      <c r="AI108" s="766">
        <f t="shared" si="32"/>
        <v>9.3113365453082672E-2</v>
      </c>
      <c r="AJ108" s="766">
        <f t="shared" si="33"/>
        <v>1.9900556692201553E-2</v>
      </c>
      <c r="AK108" s="751"/>
      <c r="AL108" s="751"/>
      <c r="AM108" s="756">
        <f>'Comp Group'!U579*BP8</f>
        <v>23356.889017000001</v>
      </c>
      <c r="AN108" s="756">
        <f>'Comp Group'!V579*BQ8</f>
        <v>34362.029633999999</v>
      </c>
      <c r="AO108" s="756">
        <f>'Comp Group'!W579*BR8</f>
        <v>66916.026299999998</v>
      </c>
      <c r="AP108" s="756">
        <f>'Comp Group'!X579*BS8</f>
        <v>36824.325158</v>
      </c>
      <c r="AQ108" s="756">
        <f>'Comp Group'!Y579*BT8</f>
        <v>17825.252243999999</v>
      </c>
      <c r="AR108" s="756">
        <f>'Long Term Debt'!C62*BP8</f>
        <v>0</v>
      </c>
      <c r="AS108" s="756">
        <f>'Long Term Debt'!D62*BQ8</f>
        <v>9044.1497039999995</v>
      </c>
      <c r="AT108" s="756">
        <f>'Long Term Debt'!E62*BR8</f>
        <v>0</v>
      </c>
      <c r="AU108" s="756">
        <f>'Long Term Debt'!F62*BS8</f>
        <v>0</v>
      </c>
      <c r="AV108" s="756">
        <f>'Long Term Debt'!G62*BT8</f>
        <v>0</v>
      </c>
      <c r="AW108" s="743" t="e">
        <f t="shared" si="46"/>
        <v>#DIV/0!</v>
      </c>
      <c r="AX108" s="743" t="e">
        <f t="shared" si="47"/>
        <v>#DIV/0!</v>
      </c>
      <c r="AY108" s="743" t="e">
        <f t="shared" si="48"/>
        <v>#DIV/0!</v>
      </c>
      <c r="AZ108" s="766" t="e">
        <f t="shared" si="49"/>
        <v>#DIV/0!</v>
      </c>
      <c r="BA108" s="766" t="e">
        <f t="shared" si="50"/>
        <v>#DIV/0!</v>
      </c>
      <c r="BB108" s="760" t="e">
        <f t="shared" si="51"/>
        <v>#DIV/0!</v>
      </c>
    </row>
    <row r="109" spans="1:54" s="800" customFormat="1" ht="15" customHeight="1">
      <c r="A109" s="449">
        <v>2012</v>
      </c>
      <c r="B109" s="792"/>
      <c r="C109" s="50" t="s">
        <v>435</v>
      </c>
      <c r="D109" s="794"/>
      <c r="E109" s="794"/>
      <c r="F109" s="794"/>
      <c r="G109" s="794"/>
      <c r="H109" s="794"/>
      <c r="I109" s="51" t="s">
        <v>145</v>
      </c>
      <c r="J109" s="524" t="s">
        <v>1069</v>
      </c>
      <c r="K109" s="795">
        <f>'More Comp Group'!D1133</f>
        <v>87788</v>
      </c>
      <c r="L109" s="795">
        <f>'More Comp Group'!E1133</f>
        <v>87641</v>
      </c>
      <c r="M109" s="795">
        <f>'More Comp Group'!F1133</f>
        <v>87353</v>
      </c>
      <c r="N109" s="795">
        <f>'More Comp Group'!G1133</f>
        <v>87791</v>
      </c>
      <c r="O109" s="795">
        <f>'More Comp Group'!H1133</f>
        <v>83866</v>
      </c>
      <c r="P109" s="795">
        <f>'More Comp Group'!D1137</f>
        <v>14710</v>
      </c>
      <c r="Q109" s="795">
        <f>'More Comp Group'!E1137</f>
        <v>22982</v>
      </c>
      <c r="R109" s="795">
        <f>'More Comp Group'!F1137</f>
        <v>30909</v>
      </c>
      <c r="S109" s="795">
        <f>'More Comp Group'!G1137</f>
        <v>-8880</v>
      </c>
      <c r="T109" s="795">
        <f>'More Comp Group'!H1137</f>
        <v>-7464</v>
      </c>
      <c r="U109" s="795">
        <f>'More Comp Group'!D1136</f>
        <v>682747</v>
      </c>
      <c r="V109" s="795">
        <f>'More Comp Group'!E1136</f>
        <v>765131</v>
      </c>
      <c r="W109" s="795">
        <f>'More Comp Group'!F1136</f>
        <v>860084</v>
      </c>
      <c r="X109" s="795">
        <f>'More Comp Group'!G1136</f>
        <v>919300</v>
      </c>
      <c r="Y109" s="795">
        <f>'More Comp Group'!H1136</f>
        <v>986891</v>
      </c>
      <c r="Z109" s="795">
        <f>'More Comp Group'!D1131</f>
        <v>906984</v>
      </c>
      <c r="AA109" s="795">
        <f>'More Comp Group'!E1131</f>
        <v>999676</v>
      </c>
      <c r="AB109" s="795">
        <f>'More Comp Group'!F1131</f>
        <v>932882</v>
      </c>
      <c r="AC109" s="795">
        <f>'More Comp Group'!G1131</f>
        <v>961189</v>
      </c>
      <c r="AD109" s="795">
        <f>'More Comp Group'!H1131</f>
        <v>1037660</v>
      </c>
      <c r="AE109" s="796">
        <f t="shared" ref="AE109" si="76">T109/AD109</f>
        <v>-7.193107568953222E-3</v>
      </c>
      <c r="AF109" s="796">
        <f t="shared" ref="AF109" si="77">S109/AC109</f>
        <v>-9.2385576613964581E-3</v>
      </c>
      <c r="AG109" s="796">
        <f t="shared" ref="AG109" si="78">R109/AB109</f>
        <v>3.3132807793482995E-2</v>
      </c>
      <c r="AH109" s="796">
        <f t="shared" ref="AH109" si="79">T109/AQ109</f>
        <v>-0.14701885008568222</v>
      </c>
      <c r="AI109" s="796">
        <f t="shared" ref="AI109" si="80">S109/AP109</f>
        <v>-0.21198882761584187</v>
      </c>
      <c r="AJ109" s="796">
        <f t="shared" ref="AJ109" si="81">R109/AO109</f>
        <v>0.42458584027033708</v>
      </c>
      <c r="AK109" s="434"/>
      <c r="AL109" s="434"/>
      <c r="AM109" s="795">
        <f>'More Comp Group'!D1141</f>
        <v>224237</v>
      </c>
      <c r="AN109" s="795">
        <f>'More Comp Group'!E1141</f>
        <v>234545</v>
      </c>
      <c r="AO109" s="795">
        <f>'More Comp Group'!F1141</f>
        <v>72798</v>
      </c>
      <c r="AP109" s="795">
        <f>'More Comp Group'!G1141</f>
        <v>41889</v>
      </c>
      <c r="AQ109" s="795">
        <f>'More Comp Group'!H1141</f>
        <v>50769</v>
      </c>
      <c r="AR109" s="795">
        <f>'More Comp Group'!D1139</f>
        <v>660783</v>
      </c>
      <c r="AS109" s="795">
        <f>'More Comp Group'!E1139</f>
        <v>683671</v>
      </c>
      <c r="AT109" s="795">
        <f>'More Comp Group'!F1139</f>
        <v>778390</v>
      </c>
      <c r="AU109" s="795">
        <f>'More Comp Group'!G1139</f>
        <v>861360</v>
      </c>
      <c r="AV109" s="795">
        <f>'More Comp Group'!H1139</f>
        <v>919849</v>
      </c>
      <c r="AW109" s="798">
        <f t="shared" ref="AW109" si="82">T109/AV109</f>
        <v>-8.1143752942058976E-3</v>
      </c>
      <c r="AX109" s="798">
        <f t="shared" ref="AX109" si="83">S109/AU109</f>
        <v>-1.0309278350515464E-2</v>
      </c>
      <c r="AY109" s="798">
        <f t="shared" ref="AY109" si="84">R109/AT109</f>
        <v>3.9708886290933852E-2</v>
      </c>
      <c r="AZ109" s="796">
        <f t="shared" ref="AZ109" si="85">((AQ109/(AQ109+Y109))*AH109)+(Y109/(AQ109+Y109))*AW109</f>
        <v>-1.4910475443280219E-2</v>
      </c>
      <c r="BA109" s="796">
        <f t="shared" ref="BA109" si="86">((AP109/(AP109+X109))*AI109)+(X109/(AP109+X109))*AX109</f>
        <v>-1.9098553549436029E-2</v>
      </c>
      <c r="BB109" s="799">
        <f t="shared" ref="BB109" si="87">((AO109/(AO109+W109))*AJ109)+(W109/(AO109+W109))*AY109</f>
        <v>6.9742987598272396E-2</v>
      </c>
    </row>
    <row r="110" spans="1:54" s="800" customFormat="1" ht="15" customHeight="1">
      <c r="A110" s="449">
        <v>2012</v>
      </c>
      <c r="B110" s="792"/>
      <c r="C110" s="50" t="s">
        <v>487</v>
      </c>
      <c r="D110" s="794"/>
      <c r="E110" s="794"/>
      <c r="F110" s="794"/>
      <c r="G110" s="794"/>
      <c r="H110" s="794"/>
      <c r="I110" s="51" t="s">
        <v>145</v>
      </c>
      <c r="J110" s="524" t="s">
        <v>515</v>
      </c>
      <c r="K110" s="795">
        <f>'More Comp Group'!D1118*BQ8</f>
        <v>1297.2921180000001</v>
      </c>
      <c r="L110" s="795">
        <f>'More Comp Group'!E1118*BR8</f>
        <v>614.17430999999999</v>
      </c>
      <c r="M110" s="795">
        <f>'More Comp Group'!F1118*BS8</f>
        <v>707.459385</v>
      </c>
      <c r="N110" s="795">
        <f>'More Comp Group'!G1118*BT8</f>
        <v>760.07600400000001</v>
      </c>
      <c r="O110" s="795">
        <f>'More Comp Group'!H1118*BU8</f>
        <v>5888.6673120000005</v>
      </c>
      <c r="P110" s="795">
        <f>'More Comp Group'!D1122*BQ8</f>
        <v>-4486.0493120000001</v>
      </c>
      <c r="Q110" s="795">
        <f>'More Comp Group'!E1122*BR8</f>
        <v>-1663.1101650000001</v>
      </c>
      <c r="R110" s="795">
        <f>'More Comp Group'!F1122*BS8</f>
        <v>-1539.2136800000001</v>
      </c>
      <c r="S110" s="795">
        <f>'More Comp Group'!G1122*BT8</f>
        <v>-4632.8360279999997</v>
      </c>
      <c r="T110" s="795">
        <f>'More Comp Group'!H1122*BU8</f>
        <v>3800.3442840000002</v>
      </c>
      <c r="U110" s="795">
        <f>'More Comp Group'!D1121*BQ8</f>
        <v>27501.773010000001</v>
      </c>
      <c r="V110" s="795">
        <f>'More Comp Group'!E1121*BR8</f>
        <v>7492.1942850000005</v>
      </c>
      <c r="W110" s="795">
        <f>'More Comp Group'!F1121*BS8</f>
        <v>3213.278824</v>
      </c>
      <c r="X110" s="795">
        <f>'More Comp Group'!G1121*BT8</f>
        <v>16401.893447999999</v>
      </c>
      <c r="Y110" s="795">
        <f>'More Comp Group'!H1121*BU8</f>
        <v>20146.164588</v>
      </c>
      <c r="Z110" s="795">
        <f>'More Comp Group'!D1116*BQ8</f>
        <v>67309.497805999999</v>
      </c>
      <c r="AA110" s="795">
        <f>'More Comp Group'!E1116*BR8</f>
        <v>64251.420389999999</v>
      </c>
      <c r="AB110" s="795">
        <f>'More Comp Group'!F1116*BS8</f>
        <v>65496.436623000001</v>
      </c>
      <c r="AC110" s="795">
        <f>'More Comp Group'!G1116*BT8</f>
        <v>66385.014119999993</v>
      </c>
      <c r="AD110" s="795">
        <f>'More Comp Group'!H1116*BU8</f>
        <v>76874.147855999996</v>
      </c>
      <c r="AE110" s="796">
        <f t="shared" ref="AE110" si="88">T110/AD110</f>
        <v>4.9435920787294751E-2</v>
      </c>
      <c r="AF110" s="796">
        <f t="shared" ref="AF110" si="89">S110/AC110</f>
        <v>-6.9787377308160467E-2</v>
      </c>
      <c r="AG110" s="796">
        <f t="shared" ref="AG110" si="90">R110/AB110</f>
        <v>-2.3500723999074529E-2</v>
      </c>
      <c r="AH110" s="796">
        <f t="shared" ref="AH110" si="91">T110/AQ110</f>
        <v>6.6992620390892613E-2</v>
      </c>
      <c r="AI110" s="796">
        <f t="shared" ref="AI110" si="92">S110/AP110</f>
        <v>-9.2688010786714722E-2</v>
      </c>
      <c r="AJ110" s="796">
        <f t="shared" ref="AJ110" si="93">R110/AO110</f>
        <v>-2.4713160578134868E-2</v>
      </c>
      <c r="AK110" s="434"/>
      <c r="AL110" s="434"/>
      <c r="AM110" s="795">
        <f>'More Comp Group'!D1126*BQ8</f>
        <v>39807.849022000002</v>
      </c>
      <c r="AN110" s="795">
        <f>'More Comp Group'!E1126*BR8</f>
        <v>56759.226105000002</v>
      </c>
      <c r="AO110" s="795">
        <f>'More Comp Group'!F1126*BS8</f>
        <v>62283.157799000001</v>
      </c>
      <c r="AP110" s="795">
        <f>'More Comp Group'!G1126*BT8</f>
        <v>49983.120671999997</v>
      </c>
      <c r="AQ110" s="795">
        <f>'More Comp Group'!H1126*BU8</f>
        <v>56727.804671999998</v>
      </c>
      <c r="AR110" s="795">
        <f>'More Comp Group'!D1124*BQ8</f>
        <v>26313.302867999999</v>
      </c>
      <c r="AS110" s="795">
        <f>'More Comp Group'!E1124*BR8</f>
        <v>2228.0932200000002</v>
      </c>
      <c r="AT110" s="795">
        <f>'More Comp Group'!F1124*BS8</f>
        <v>1702.4997330000001</v>
      </c>
      <c r="AU110" s="795">
        <f>'More Comp Group'!G1124*BT8</f>
        <v>2291.4030720000001</v>
      </c>
      <c r="AV110" s="795">
        <f>'More Comp Group'!H1124*BU8</f>
        <v>15846.82308</v>
      </c>
      <c r="AW110" s="798">
        <f t="shared" ref="AW110" si="94">T110/AV110</f>
        <v>0.23981742364476502</v>
      </c>
      <c r="AX110" s="798">
        <f t="shared" ref="AX110" si="95">S110/AU110</f>
        <v>-2.0218337334933971</v>
      </c>
      <c r="AY110" s="798">
        <f t="shared" ref="AY110" si="96">R110/AT110</f>
        <v>-0.9040904090409041</v>
      </c>
      <c r="AZ110" s="796">
        <f t="shared" ref="AZ110" si="97">((AQ110/(AQ110+Y110))*AH110)+(Y110/(AQ110+Y110))*AW110</f>
        <v>0.11228437473579153</v>
      </c>
      <c r="BA110" s="796">
        <f t="shared" ref="BA110" si="98">((AP110/(AP110+X110))*AI110)+(X110/(AP110+X110))*AX110</f>
        <v>-0.56932634564197826</v>
      </c>
      <c r="BB110" s="799">
        <f t="shared" ref="BB110" si="99">((AO110/(AO110+W110))*AJ110)+(W110/(AO110+W110))*AY110</f>
        <v>-6.7855725830311103E-2</v>
      </c>
    </row>
    <row r="111" spans="1:54" ht="15" customHeight="1">
      <c r="A111" s="449">
        <v>2012</v>
      </c>
      <c r="B111" s="676"/>
      <c r="C111" s="50" t="s">
        <v>487</v>
      </c>
      <c r="D111" s="51"/>
      <c r="E111" s="51"/>
      <c r="F111" s="51"/>
      <c r="G111" s="51"/>
      <c r="H111" s="51"/>
      <c r="I111" s="51" t="s">
        <v>145</v>
      </c>
      <c r="J111" s="524" t="s">
        <v>557</v>
      </c>
      <c r="K111" s="444">
        <f>'Comp Group'!M588*BQ8</f>
        <v>42904.803202000003</v>
      </c>
      <c r="L111" s="444">
        <f>'Comp Group'!N588*BR8</f>
        <v>47304.794249999999</v>
      </c>
      <c r="M111" s="444">
        <f>'Comp Group'!O588*BS8</f>
        <v>40544.488840999999</v>
      </c>
      <c r="N111" s="444">
        <f>'Comp Group'!P588*BT8</f>
        <v>30331.004003999999</v>
      </c>
      <c r="O111" s="444">
        <f>'Comp Group'!Q588*BU8</f>
        <v>26068.050756000001</v>
      </c>
      <c r="P111" s="444">
        <f>'Comp Group'!M592*BQ8</f>
        <v>20672.821338000002</v>
      </c>
      <c r="Q111" s="444">
        <f>'Comp Group'!N592*BR8</f>
        <v>24550.734510000002</v>
      </c>
      <c r="R111" s="444">
        <f>'Comp Group'!O592*BS8</f>
        <v>18683.908711</v>
      </c>
      <c r="S111" s="444">
        <f>'Comp Group'!P592*BT8</f>
        <v>11631.862068</v>
      </c>
      <c r="T111" s="444">
        <f>'Comp Group'!Q592*BU8</f>
        <v>8509.2064200000004</v>
      </c>
      <c r="U111" s="443">
        <f>'Comp Group'!M591*BQ8</f>
        <v>1235904.7220660001</v>
      </c>
      <c r="V111" s="443">
        <f>'Comp Group'!N591*BR8</f>
        <v>1638074.681715</v>
      </c>
      <c r="W111" s="443">
        <f>'Comp Group'!O591*BS8</f>
        <v>1357230.437463</v>
      </c>
      <c r="X111" s="443">
        <f>'Comp Group'!P591*BT8</f>
        <v>1284550.2811079999</v>
      </c>
      <c r="Y111" s="443">
        <f>'Comp Group'!Q591*BU8</f>
        <v>1227669.6183840001</v>
      </c>
      <c r="Z111" s="443">
        <f>'Comp Group'!M586*BQ8</f>
        <v>1383878.633808</v>
      </c>
      <c r="AA111" s="443">
        <f>'Comp Group'!N586*BR8</f>
        <v>1805270.0264399999</v>
      </c>
      <c r="AB111" s="443">
        <f>'Comp Group'!O586*BS8</f>
        <v>1513640.2576679999</v>
      </c>
      <c r="AC111" s="443">
        <f>'Comp Group'!P586*BT8</f>
        <v>1424118.872004</v>
      </c>
      <c r="AD111" s="443">
        <f>'Comp Group'!Q586*BU8</f>
        <v>1365134.423796</v>
      </c>
      <c r="AE111" s="61">
        <f t="shared" si="28"/>
        <v>6.2332370143730114E-3</v>
      </c>
      <c r="AF111" s="61">
        <f t="shared" si="29"/>
        <v>8.1677606389920308E-3</v>
      </c>
      <c r="AG111" s="61">
        <f t="shared" si="30"/>
        <v>1.2343691716937742E-2</v>
      </c>
      <c r="AH111" s="61">
        <f t="shared" si="31"/>
        <v>6.1900981814921971E-2</v>
      </c>
      <c r="AI111" s="61">
        <f t="shared" si="32"/>
        <v>8.3341545496203512E-2</v>
      </c>
      <c r="AJ111" s="61">
        <f t="shared" si="33"/>
        <v>0.11945496149634123</v>
      </c>
      <c r="AK111" s="434"/>
      <c r="AL111" s="434"/>
      <c r="AM111" s="443">
        <f>'Comp Group'!M596*BQ8</f>
        <v>147973.911742</v>
      </c>
      <c r="AN111" s="443">
        <f>'Comp Group'!N596*BR8</f>
        <v>167195.344725</v>
      </c>
      <c r="AO111" s="443">
        <f>'Comp Group'!O596*BS8</f>
        <v>156409.64993799999</v>
      </c>
      <c r="AP111" s="443">
        <f>'Comp Group'!P596*BT8</f>
        <v>139568.59089600001</v>
      </c>
      <c r="AQ111" s="443">
        <f>'Comp Group'!Q596*BU8</f>
        <v>137464.80541200002</v>
      </c>
      <c r="AR111" s="443">
        <f>'Long Term Debt'!C63*BQ8</f>
        <v>38429.064648</v>
      </c>
      <c r="AS111" s="443">
        <f>'Long Term Debt'!D63*BR8</f>
        <v>49176.927450000003</v>
      </c>
      <c r="AT111" s="443">
        <f>'Long Term Debt'!E63*BS8</f>
        <v>39812.681275000003</v>
      </c>
      <c r="AU111" s="443">
        <f>'Long Term Debt'!F63*BT8</f>
        <v>40070.670527999995</v>
      </c>
      <c r="AV111" s="443">
        <f>'Long Term Debt'!G63*BU8</f>
        <v>22202.16174</v>
      </c>
      <c r="AW111" s="553">
        <f t="shared" si="46"/>
        <v>0.38326026625909987</v>
      </c>
      <c r="AX111" s="553">
        <f t="shared" si="47"/>
        <v>0.29028368916043118</v>
      </c>
      <c r="AY111" s="553">
        <f t="shared" si="48"/>
        <v>0.46929541323639473</v>
      </c>
      <c r="AZ111" s="538">
        <f t="shared" si="49"/>
        <v>0.35090038232868048</v>
      </c>
      <c r="BA111" s="538">
        <f t="shared" si="50"/>
        <v>0.27000264102884469</v>
      </c>
      <c r="BB111" s="455">
        <f t="shared" si="51"/>
        <v>0.43314519295201526</v>
      </c>
    </row>
    <row r="112" spans="1:54" ht="15" customHeight="1">
      <c r="A112" s="449">
        <v>2006</v>
      </c>
      <c r="B112" s="676"/>
      <c r="C112" s="50" t="s">
        <v>487</v>
      </c>
      <c r="D112" s="51"/>
      <c r="E112" s="51"/>
      <c r="F112" s="51"/>
      <c r="G112" s="51"/>
      <c r="H112" s="51"/>
      <c r="I112" s="51" t="s">
        <v>558</v>
      </c>
      <c r="J112" s="524" t="s">
        <v>522</v>
      </c>
      <c r="K112" s="444">
        <f>'Comp Group'!M620*BW8</f>
        <v>90366.071769999995</v>
      </c>
      <c r="L112" s="444">
        <f>'Comp Group'!N620*BX8</f>
        <v>99473.256582000002</v>
      </c>
      <c r="M112" s="444">
        <f>'Comp Group'!O620*BY8</f>
        <v>79202.953664000001</v>
      </c>
      <c r="N112" s="444">
        <f>'Comp Group'!P620*BZ8</f>
        <v>59012.570591999996</v>
      </c>
      <c r="O112" s="444">
        <f>'Comp Group'!Q620*CA8</f>
        <v>60736.646712999995</v>
      </c>
      <c r="P112" s="444">
        <f>'Comp Group'!M624*BW8</f>
        <v>-1384.72659</v>
      </c>
      <c r="Q112" s="444">
        <f>'Comp Group'!N624*BX8</f>
        <v>2396.7271660000001</v>
      </c>
      <c r="R112" s="444">
        <f>'Comp Group'!O624*BY8</f>
        <v>6116.3984399999999</v>
      </c>
      <c r="S112" s="444">
        <f>'Comp Group'!P624*BZ8</f>
        <v>3026.6219040000001</v>
      </c>
      <c r="T112" s="444">
        <f>'Comp Group'!Q624*CA8</f>
        <v>90.183619999999991</v>
      </c>
      <c r="U112" s="443">
        <f>'Comp Group'!M623*BW8</f>
        <v>58931.643810000001</v>
      </c>
      <c r="V112" s="443">
        <f>'Comp Group'!N623*BX8</f>
        <v>80449.560563999999</v>
      </c>
      <c r="W112" s="443">
        <f>'Comp Group'!O623*BY8</f>
        <v>40233.222335999999</v>
      </c>
      <c r="X112" s="443">
        <f>'Comp Group'!P623*BZ8</f>
        <v>28397.762387999999</v>
      </c>
      <c r="Y112" s="443">
        <f>'Comp Group'!Q623*CA8</f>
        <v>33051.830262999996</v>
      </c>
      <c r="Z112" s="443">
        <f>'Comp Group'!M618*BW8</f>
        <v>117111.09045999999</v>
      </c>
      <c r="AA112" s="443">
        <f>'Comp Group'!N618*BX8</f>
        <v>156195.02043800001</v>
      </c>
      <c r="AB112" s="443">
        <f>'Comp Group'!O618*BY8</f>
        <v>60849.993879999995</v>
      </c>
      <c r="AC112" s="443">
        <f>'Comp Group'!P618*BZ8</f>
        <v>42404.084364000002</v>
      </c>
      <c r="AD112" s="443">
        <f>'Comp Group'!Q618*CA8</f>
        <v>56505.324555999992</v>
      </c>
      <c r="AE112" s="61">
        <f t="shared" si="28"/>
        <v>1.5960198566884239E-3</v>
      </c>
      <c r="AF112" s="61">
        <f t="shared" si="29"/>
        <v>7.1375716499836178E-2</v>
      </c>
      <c r="AG112" s="61">
        <f t="shared" si="30"/>
        <v>0.10051600747999945</v>
      </c>
      <c r="AH112" s="61">
        <f t="shared" si="31"/>
        <v>3.8452358853324139E-3</v>
      </c>
      <c r="AI112" s="61">
        <f t="shared" si="32"/>
        <v>0.21608488252864341</v>
      </c>
      <c r="AJ112" s="61">
        <f t="shared" si="33"/>
        <v>0.29667101015047265</v>
      </c>
      <c r="AK112" s="434"/>
      <c r="AL112" s="434"/>
      <c r="AM112" s="443">
        <f>'Comp Group'!M628*BW8</f>
        <v>58179.446649999998</v>
      </c>
      <c r="AN112" s="443">
        <f>'Comp Group'!N628*BX8</f>
        <v>75745.819445999994</v>
      </c>
      <c r="AO112" s="443">
        <f>'Comp Group'!O628*BY8</f>
        <v>20616.771543999999</v>
      </c>
      <c r="AP112" s="443">
        <f>'Comp Group'!P628*BZ8</f>
        <v>14006.634192</v>
      </c>
      <c r="AQ112" s="443">
        <f>'Comp Group'!Q628*CA8</f>
        <v>23453.338803999999</v>
      </c>
      <c r="AR112" s="443">
        <f>'Long Term Debt'!C64*BW8</f>
        <v>15668.484129999999</v>
      </c>
      <c r="AS112" s="443">
        <f>'Long Term Debt'!D64*BX8</f>
        <v>22688.813414</v>
      </c>
      <c r="AT112" s="443">
        <f>'Long Term Debt'!E64*BY8</f>
        <v>17163.389159999999</v>
      </c>
      <c r="AU112" s="443">
        <f>'Long Term Debt'!F64*BZ8</f>
        <v>10742.728128000001</v>
      </c>
      <c r="AV112" s="443">
        <f>'Long Term Debt'!G64*CA8</f>
        <v>8973.7366569999995</v>
      </c>
      <c r="AW112" s="553">
        <f t="shared" si="46"/>
        <v>1.004972883059276E-2</v>
      </c>
      <c r="AX112" s="553">
        <f t="shared" si="47"/>
        <v>0.2817368053940944</v>
      </c>
      <c r="AY112" s="553">
        <f t="shared" si="48"/>
        <v>0.35636309256766863</v>
      </c>
      <c r="AZ112" s="538">
        <f t="shared" si="49"/>
        <v>7.4744586817737102E-3</v>
      </c>
      <c r="BA112" s="538">
        <f t="shared" si="50"/>
        <v>0.26005125998507228</v>
      </c>
      <c r="BB112" s="455">
        <f t="shared" si="51"/>
        <v>0.33613863652897319</v>
      </c>
    </row>
    <row r="113" spans="1:54" ht="15" customHeight="1">
      <c r="A113" s="449">
        <v>2006</v>
      </c>
      <c r="B113" s="676"/>
      <c r="C113" s="50" t="s">
        <v>487</v>
      </c>
      <c r="D113" s="51"/>
      <c r="E113" s="51"/>
      <c r="F113" s="51"/>
      <c r="G113" s="51"/>
      <c r="H113" s="51"/>
      <c r="I113" s="51" t="s">
        <v>558</v>
      </c>
      <c r="J113" s="524" t="s">
        <v>523</v>
      </c>
      <c r="K113" s="444">
        <f>'Comp Group'!V620*BW8</f>
        <v>2330724.7599999998</v>
      </c>
      <c r="L113" s="444">
        <f>'Comp Group'!W620*BX8</f>
        <v>2655043.6908</v>
      </c>
      <c r="M113" s="444">
        <f>'Comp Group'!X620*BY8</f>
        <v>2260440.8536</v>
      </c>
      <c r="N113" s="444">
        <f>'Comp Group'!Y620*BZ8</f>
        <v>1365476.676</v>
      </c>
      <c r="O113" s="444">
        <f>'Comp Group'!Z620*CA8</f>
        <v>541490.4425</v>
      </c>
      <c r="P113" s="444">
        <f>'Comp Group'!V624*BW8</f>
        <v>61191.909999999996</v>
      </c>
      <c r="Q113" s="444">
        <f>'Comp Group'!W624*BX8</f>
        <v>77505.744600000005</v>
      </c>
      <c r="R113" s="444">
        <f>'Comp Group'!X624*BY8</f>
        <v>72414.598399999988</v>
      </c>
      <c r="S113" s="444">
        <f>'Comp Group'!Y624*BZ8</f>
        <v>-6775.0871999999999</v>
      </c>
      <c r="T113" s="444">
        <f>'Comp Group'!Z624*CA8</f>
        <v>-23789.816999999999</v>
      </c>
      <c r="U113" s="443">
        <f>'Comp Group'!V623*BW8</f>
        <v>693881.11</v>
      </c>
      <c r="V113" s="443">
        <f>'Comp Group'!W623*BX8</f>
        <v>975123.30680000002</v>
      </c>
      <c r="W113" s="443">
        <f>'Comp Group'!X623*BY8</f>
        <v>791256.11039999989</v>
      </c>
      <c r="X113" s="443">
        <f>'Comp Group'!Y623*BZ8</f>
        <v>732365.07120000001</v>
      </c>
      <c r="Y113" s="443">
        <f>'Comp Group'!Z623*CA8</f>
        <v>255110.80229999998</v>
      </c>
      <c r="Z113" s="443">
        <f>'Comp Group'!V618*BW8</f>
        <v>1143314.1199999999</v>
      </c>
      <c r="AA113" s="443">
        <f>'Comp Group'!W618*BX8</f>
        <v>1489005.6306</v>
      </c>
      <c r="AB113" s="443">
        <f>'Comp Group'!X618*BY8</f>
        <v>1150659.7552</v>
      </c>
      <c r="AC113" s="443">
        <f>'Comp Group'!Y618*BZ8</f>
        <v>1006178.5032</v>
      </c>
      <c r="AD113" s="443">
        <f>'Comp Group'!Z618*CA8</f>
        <v>268560.60079999996</v>
      </c>
      <c r="AE113" s="61">
        <f t="shared" si="28"/>
        <v>-8.858267716535434E-2</v>
      </c>
      <c r="AF113" s="61">
        <f t="shared" si="29"/>
        <v>-6.7334843454246434E-3</v>
      </c>
      <c r="AG113" s="61">
        <f t="shared" si="30"/>
        <v>6.293311126312344E-2</v>
      </c>
      <c r="AH113" s="61">
        <f t="shared" si="31"/>
        <v>-1.7687861271676302</v>
      </c>
      <c r="AI113" s="61">
        <f t="shared" si="32"/>
        <v>-2.4743443557582671E-2</v>
      </c>
      <c r="AJ113" s="61">
        <f t="shared" si="33"/>
        <v>0.2014854313464102</v>
      </c>
      <c r="AK113" s="434"/>
      <c r="AL113" s="434"/>
      <c r="AM113" s="443">
        <f>'Comp Group'!V628*BW8</f>
        <v>449433.01</v>
      </c>
      <c r="AN113" s="443">
        <f>'Comp Group'!W628*BX8</f>
        <v>513882.32380000001</v>
      </c>
      <c r="AO113" s="443">
        <f>'Comp Group'!X628*BY8</f>
        <v>359403.64479999995</v>
      </c>
      <c r="AP113" s="443">
        <f>'Comp Group'!Y628*BZ8</f>
        <v>273813.43199999997</v>
      </c>
      <c r="AQ113" s="443">
        <f>'Comp Group'!Z628*CA8</f>
        <v>13449.798499999999</v>
      </c>
      <c r="AR113" s="443">
        <f>'Long Term Debt'!C65*BW8</f>
        <v>17574.7</v>
      </c>
      <c r="AS113" s="443">
        <f>'Long Term Debt'!D65*BX8</f>
        <v>28136.509000000002</v>
      </c>
      <c r="AT113" s="443">
        <f>'Long Term Debt'!E65*BY8</f>
        <v>19369.878399999998</v>
      </c>
      <c r="AU113" s="443">
        <f>'Long Term Debt'!F65*BZ8</f>
        <v>10100.187599999999</v>
      </c>
      <c r="AV113" s="443">
        <f>'Long Term Debt'!G65*CA8</f>
        <v>4509.1809999999996</v>
      </c>
      <c r="AW113" s="553">
        <f t="shared" si="46"/>
        <v>-5.2758620689655178</v>
      </c>
      <c r="AX113" s="553">
        <f t="shared" si="47"/>
        <v>-0.67078825347758886</v>
      </c>
      <c r="AY113" s="553">
        <f t="shared" si="48"/>
        <v>3.7385159010600706</v>
      </c>
      <c r="AZ113" s="538">
        <f t="shared" si="49"/>
        <v>-5.1002240021721432</v>
      </c>
      <c r="BA113" s="538">
        <f t="shared" si="50"/>
        <v>-0.49497874644936862</v>
      </c>
      <c r="BB113" s="455">
        <f t="shared" si="51"/>
        <v>2.6337395874374652</v>
      </c>
    </row>
    <row r="114" spans="1:54" ht="15" customHeight="1">
      <c r="A114" s="680">
        <v>2006</v>
      </c>
      <c r="B114" s="681"/>
      <c r="C114" s="53" t="s">
        <v>487</v>
      </c>
      <c r="D114" s="751"/>
      <c r="E114" s="751"/>
      <c r="F114" s="751"/>
      <c r="G114" s="751"/>
      <c r="H114" s="751"/>
      <c r="I114" s="751" t="s">
        <v>558</v>
      </c>
      <c r="J114" s="740" t="s">
        <v>524</v>
      </c>
      <c r="K114" s="756">
        <f>'Comp Group'!AE620*BW8</f>
        <v>97897.150259999995</v>
      </c>
      <c r="L114" s="756">
        <f>'Comp Group'!AF620*BX8</f>
        <v>89372.699315999998</v>
      </c>
      <c r="M114" s="756">
        <f>'Comp Group'!AG620*BY8</f>
        <v>53980.018191999996</v>
      </c>
      <c r="N114" s="756">
        <f>'Comp Group'!AH620*BZ8</f>
        <v>33373.392672000002</v>
      </c>
      <c r="O114" s="756">
        <f>'Comp Group'!AI620*CA8</f>
        <v>23938.153505999999</v>
      </c>
      <c r="P114" s="756">
        <f>'Comp Group'!AE624*BW8</f>
        <v>4546.5748899999999</v>
      </c>
      <c r="Q114" s="756">
        <f>'Comp Group'!AF624*BX8</f>
        <v>15767.951344000001</v>
      </c>
      <c r="R114" s="756">
        <f>'Comp Group'!AG624*BY8</f>
        <v>2133.4244159999998</v>
      </c>
      <c r="S114" s="756">
        <f>'Comp Group'!AH624*BZ8</f>
        <v>-2839.760628</v>
      </c>
      <c r="T114" s="756">
        <f>'Comp Group'!AI624*CA8</f>
        <v>435.21371099999999</v>
      </c>
      <c r="U114" s="756">
        <f>'Comp Group'!AE623*BW8</f>
        <v>34955.758759999997</v>
      </c>
      <c r="V114" s="756">
        <f>'Comp Group'!AF623*BX8</f>
        <v>36870.692666000003</v>
      </c>
      <c r="W114" s="756">
        <f>'Comp Group'!AG623*BY8</f>
        <v>13956.236943999998</v>
      </c>
      <c r="X114" s="756">
        <f>'Comp Group'!AH623*BZ8</f>
        <v>9804.8312640000004</v>
      </c>
      <c r="Y114" s="756">
        <f>'Comp Group'!AI623*CA8</f>
        <v>5528.4113949999992</v>
      </c>
      <c r="Z114" s="756">
        <f>'Comp Group'!AE618*BW8</f>
        <v>131285.56531999999</v>
      </c>
      <c r="AA114" s="756">
        <f>'Comp Group'!AF618*BX8</f>
        <v>144421.01508400001</v>
      </c>
      <c r="AB114" s="756">
        <f>'Comp Group'!AG618*BY8</f>
        <v>105016.56775999999</v>
      </c>
      <c r="AC114" s="756">
        <f>'Comp Group'!AH618*BZ8</f>
        <v>87776.094024000005</v>
      </c>
      <c r="AD114" s="756">
        <f>'Comp Group'!AI618*CA8</f>
        <v>50612.446944999996</v>
      </c>
      <c r="AE114" s="766">
        <f t="shared" si="28"/>
        <v>8.5989462527457337E-3</v>
      </c>
      <c r="AF114" s="766">
        <f t="shared" si="29"/>
        <v>-3.235232393940364E-2</v>
      </c>
      <c r="AG114" s="766">
        <f t="shared" si="30"/>
        <v>2.0315122285043914E-2</v>
      </c>
      <c r="AH114" s="766">
        <f t="shared" si="31"/>
        <v>9.6533885152612527E-3</v>
      </c>
      <c r="AI114" s="766">
        <f t="shared" si="32"/>
        <v>-3.6420605842192727E-2</v>
      </c>
      <c r="AJ114" s="766">
        <f t="shared" si="33"/>
        <v>2.3428691691345593E-2</v>
      </c>
      <c r="AK114" s="751"/>
      <c r="AL114" s="751"/>
      <c r="AM114" s="756">
        <f>'Comp Group'!AE628*BW8</f>
        <v>96329.646789999999</v>
      </c>
      <c r="AN114" s="756">
        <f>'Comp Group'!AF628*BX8</f>
        <v>107550.322418</v>
      </c>
      <c r="AO114" s="756">
        <f>'Comp Group'!AG628*BY8</f>
        <v>91060.330815999987</v>
      </c>
      <c r="AP114" s="756">
        <f>'Comp Group'!AH628*BZ8</f>
        <v>77971.262759999998</v>
      </c>
      <c r="AQ114" s="756">
        <f>'Comp Group'!AI628*CA8</f>
        <v>45084.035549999993</v>
      </c>
      <c r="AR114" s="756"/>
      <c r="AS114" s="756"/>
      <c r="AT114" s="756"/>
      <c r="AU114" s="756"/>
      <c r="AV114" s="756"/>
      <c r="AW114" s="743" t="e">
        <f t="shared" si="46"/>
        <v>#DIV/0!</v>
      </c>
      <c r="AX114" s="743" t="e">
        <f t="shared" si="47"/>
        <v>#DIV/0!</v>
      </c>
      <c r="AY114" s="743" t="e">
        <f t="shared" si="48"/>
        <v>#DIV/0!</v>
      </c>
      <c r="AZ114" s="766" t="e">
        <f t="shared" si="49"/>
        <v>#DIV/0!</v>
      </c>
      <c r="BA114" s="766" t="e">
        <f t="shared" si="50"/>
        <v>#DIV/0!</v>
      </c>
      <c r="BB114" s="760" t="e">
        <f t="shared" si="51"/>
        <v>#DIV/0!</v>
      </c>
    </row>
    <row r="115" spans="1:54" s="200" customFormat="1" ht="15" customHeight="1">
      <c r="A115" s="535">
        <v>2015</v>
      </c>
      <c r="B115" s="676"/>
      <c r="C115" s="411" t="s">
        <v>487</v>
      </c>
      <c r="D115" s="536"/>
      <c r="E115" s="536"/>
      <c r="F115" s="536"/>
      <c r="G115" s="414"/>
      <c r="H115" s="536"/>
      <c r="I115" s="536" t="s">
        <v>146</v>
      </c>
      <c r="J115" s="524" t="s">
        <v>642</v>
      </c>
      <c r="K115" s="534">
        <f>'More Comp Group'!M6*BN8</f>
        <v>4298.8068899999998</v>
      </c>
      <c r="L115" s="534">
        <f>'More Comp Group'!N6*BO8</f>
        <v>4484.0425080000005</v>
      </c>
      <c r="M115" s="534">
        <f>'More Comp Group'!O6*BP8</f>
        <v>5076.6580260000001</v>
      </c>
      <c r="N115" s="534">
        <f>'More Comp Group'!P6*BQ8</f>
        <v>6628.9478120000003</v>
      </c>
      <c r="O115" s="534">
        <f>'More Comp Group'!Q6*BR8</f>
        <v>5891.8069500000001</v>
      </c>
      <c r="P115" s="534">
        <f>'More Comp Group'!M10*BN8</f>
        <v>-2760.75243</v>
      </c>
      <c r="Q115" s="534">
        <f>'More Comp Group'!N10*BO8</f>
        <v>-10896.908528</v>
      </c>
      <c r="R115" s="534">
        <f>'More Comp Group'!O10*BP8</f>
        <v>-1757.4603860000002</v>
      </c>
      <c r="S115" s="534">
        <f>'More Comp Group'!P10*BQ8</f>
        <v>575.66328399999998</v>
      </c>
      <c r="T115" s="534">
        <f>'More Comp Group'!Q10*BR8</f>
        <v>-6409.1907000000001</v>
      </c>
      <c r="U115" s="534">
        <f>'More Comp Group'!M9*BN8</f>
        <v>142962.83825999999</v>
      </c>
      <c r="V115" s="534">
        <f>'More Comp Group'!N9*BO8</f>
        <v>133460.13175</v>
      </c>
      <c r="W115" s="534">
        <f>'More Comp Group'!O9*BP8</f>
        <v>129386.562294</v>
      </c>
      <c r="X115" s="534">
        <f>'More Comp Group'!P9*BQ8</f>
        <v>94947.670964000004</v>
      </c>
      <c r="Y115" s="534">
        <f>'More Comp Group'!Q9*BR8</f>
        <v>99903.299834999998</v>
      </c>
      <c r="Z115" s="534">
        <f>'More Comp Group'!M4*BN8</f>
        <v>154155.22737000001</v>
      </c>
      <c r="AA115" s="534">
        <f>'More Comp Group'!N4*BO8</f>
        <v>150971.72332000002</v>
      </c>
      <c r="AB115" s="534">
        <f>'More Comp Group'!O4*BP8</f>
        <v>157322.824956</v>
      </c>
      <c r="AC115" s="534">
        <f>'More Comp Group'!P4*BQ8</f>
        <v>125931.62298</v>
      </c>
      <c r="AD115" s="534">
        <f>'More Comp Group'!Q4*BR8</f>
        <v>138871.52952000001</v>
      </c>
      <c r="AE115" s="538">
        <f t="shared" ref="AE115:AE116" si="100">T115/AD115</f>
        <v>-4.615194145375176E-2</v>
      </c>
      <c r="AF115" s="538">
        <f t="shared" ref="AF115:AF116" si="101">S115/AC115</f>
        <v>4.5712369171278348E-3</v>
      </c>
      <c r="AG115" s="538">
        <f t="shared" ref="AG115:AG116" si="102">R115/AB115</f>
        <v>-1.117104518363134E-2</v>
      </c>
      <c r="AH115" s="538">
        <f t="shared" ref="AH115:AH116" si="103">T115/AQ115</f>
        <v>-0.1644728779076893</v>
      </c>
      <c r="AI115" s="538">
        <f t="shared" ref="AI115:AI116" si="104">S115/AP115</f>
        <v>1.8579401481861629E-2</v>
      </c>
      <c r="AJ115" s="538">
        <f t="shared" ref="AJ115:AJ116" si="105">R115/AO115</f>
        <v>-6.2909913787592739E-2</v>
      </c>
      <c r="AK115" s="434"/>
      <c r="AL115" s="434"/>
      <c r="AM115" s="534">
        <f>'More Comp Group'!M14*BN8</f>
        <v>11192.38911</v>
      </c>
      <c r="AN115" s="534">
        <f>'More Comp Group'!N14*BO8</f>
        <v>17511.591570000001</v>
      </c>
      <c r="AO115" s="534">
        <f>'More Comp Group'!O14*BP8</f>
        <v>27936.143609000002</v>
      </c>
      <c r="AP115" s="534">
        <f>'More Comp Group'!P14*BQ8</f>
        <v>30983.952015999999</v>
      </c>
      <c r="AQ115" s="534">
        <f>'More Comp Group'!Q14*BR8</f>
        <v>38968.070489999998</v>
      </c>
      <c r="AR115" s="719">
        <f>'Long Term Debt'!C82*BN8</f>
        <v>137722.87974</v>
      </c>
      <c r="AS115" s="719">
        <f>'Long Term Debt'!D82*BO8</f>
        <v>131745.59505800001</v>
      </c>
      <c r="AT115" s="719">
        <f>'Long Term Debt'!E82*BP8</f>
        <v>127459.927595</v>
      </c>
      <c r="AU115" s="719">
        <f>'Long Term Debt'!F82*BQ8</f>
        <v>92058.174203999995</v>
      </c>
      <c r="AV115" s="719">
        <f>'Long Term Debt'!G82*BR8</f>
        <v>92987.709839999996</v>
      </c>
      <c r="AW115" s="553">
        <f t="shared" ref="AW115:AW172" si="106">T115/AV115</f>
        <v>-6.8925137644835238E-2</v>
      </c>
      <c r="AX115" s="553">
        <f t="shared" ref="AX115:AX172" si="107">S115/AU115</f>
        <v>6.2532554982497905E-3</v>
      </c>
      <c r="AY115" s="553">
        <f t="shared" ref="AY115:AY172" si="108">R115/AT115</f>
        <v>-1.3788336610266063E-2</v>
      </c>
      <c r="AZ115" s="538">
        <f t="shared" ref="AZ115:AZ172" si="109">((AQ115/(AQ115+Y115))*AH115)+(Y115/(AQ115+Y115))*AW115</f>
        <v>-9.5736359201945676E-2</v>
      </c>
      <c r="BA115" s="538">
        <f t="shared" ref="BA115:BA172" si="110">((AP115/(AP115+X115))*AI115)+(X115/(AP115+X115))*AX115</f>
        <v>9.2859545666886551E-3</v>
      </c>
      <c r="BB115" s="455">
        <f t="shared" ref="BB115:BB172" si="111">((AO115/(AO115+W115))*AJ115)+(W115/(AO115+W115))*AY115</f>
        <v>-2.2510964577092861E-2</v>
      </c>
    </row>
    <row r="116" spans="1:54" s="200" customFormat="1" ht="15" customHeight="1">
      <c r="A116" s="535">
        <v>2015</v>
      </c>
      <c r="B116" s="676"/>
      <c r="C116" s="411" t="s">
        <v>487</v>
      </c>
      <c r="D116" s="536"/>
      <c r="E116" s="536"/>
      <c r="F116" s="536"/>
      <c r="G116" s="536"/>
      <c r="H116" s="536"/>
      <c r="I116" s="536" t="s">
        <v>146</v>
      </c>
      <c r="J116" s="524" t="s">
        <v>643</v>
      </c>
      <c r="K116" s="534">
        <f>'More Comp Group'!V6*BN8</f>
        <v>603676.53986999998</v>
      </c>
      <c r="L116" s="534">
        <f>'More Comp Group'!W6*BO8</f>
        <v>457235.28910400002</v>
      </c>
      <c r="M116" s="534">
        <f>'More Comp Group'!X6*BP8</f>
        <v>307316.50912599999</v>
      </c>
      <c r="N116" s="534">
        <f>'More Comp Group'!Y6*BQ8</f>
        <v>454165.28696</v>
      </c>
      <c r="O116" s="534">
        <f>'More Comp Group'!Z6*BR8</f>
        <v>617704.14073500002</v>
      </c>
      <c r="P116" s="534">
        <f>'More Comp Group'!V10*BN8</f>
        <v>-723872.97552600002</v>
      </c>
      <c r="Q116" s="534">
        <f>'More Comp Group'!W10*BO8</f>
        <v>-41769.707055999999</v>
      </c>
      <c r="R116" s="534">
        <f>'More Comp Group'!X10*BP8</f>
        <v>-98398.375977000003</v>
      </c>
      <c r="S116" s="534">
        <f>'More Comp Group'!Y10*BQ8</f>
        <v>-199280.98890600001</v>
      </c>
      <c r="T116" s="534">
        <f>'More Comp Group'!Z10*BR8</f>
        <v>18045.390029999999</v>
      </c>
      <c r="U116" s="534">
        <f>'More Comp Group'!V9*BN8</f>
        <v>3991475.2083660001</v>
      </c>
      <c r="V116" s="534">
        <f>'More Comp Group'!W9*BO8</f>
        <v>3771009.4098820002</v>
      </c>
      <c r="W116" s="534">
        <f>'More Comp Group'!X9*BP8</f>
        <v>2241667.6283209999</v>
      </c>
      <c r="X116" s="534">
        <f>'More Comp Group'!Y9*BQ8</f>
        <v>1561347.897408</v>
      </c>
      <c r="Y116" s="534">
        <f>'More Comp Group'!Z9*BR8</f>
        <v>2019938.7529200001</v>
      </c>
      <c r="Z116" s="534">
        <f>'More Comp Group'!V4*BN8</f>
        <v>3886888.4886540002</v>
      </c>
      <c r="AA116" s="534">
        <f>'More Comp Group'!W4*BO8</f>
        <v>4371787.6914800005</v>
      </c>
      <c r="AB116" s="534">
        <f>'More Comp Group'!X4*BP8</f>
        <v>2653082.2948520002</v>
      </c>
      <c r="AC116" s="534">
        <f>'More Comp Group'!Y4*BQ8</f>
        <v>2016956.0693580001</v>
      </c>
      <c r="AD116" s="534">
        <f>'More Comp Group'!Z4*BR8</f>
        <v>2825072.5596600003</v>
      </c>
      <c r="AE116" s="538">
        <f t="shared" si="100"/>
        <v>6.3875846191263049E-3</v>
      </c>
      <c r="AF116" s="538">
        <f t="shared" si="101"/>
        <v>-9.88028405444802E-2</v>
      </c>
      <c r="AG116" s="538">
        <f t="shared" si="102"/>
        <v>-3.708832408551016E-2</v>
      </c>
      <c r="AH116" s="538">
        <f t="shared" si="103"/>
        <v>2.2412908114076192E-2</v>
      </c>
      <c r="AI116" s="538">
        <f t="shared" si="104"/>
        <v>-0.43739555428314353</v>
      </c>
      <c r="AJ116" s="538">
        <f t="shared" si="105"/>
        <v>-0.23917080255471571</v>
      </c>
      <c r="AK116" s="434"/>
      <c r="AL116" s="434"/>
      <c r="AM116" s="534">
        <f>'More Comp Group'!V14*BN8</f>
        <v>-104586.71971200001</v>
      </c>
      <c r="AN116" s="534">
        <f>'More Comp Group'!W14*BO8</f>
        <v>600778.40266400005</v>
      </c>
      <c r="AO116" s="534">
        <f>'More Comp Group'!X14*BP8</f>
        <v>411414.666531</v>
      </c>
      <c r="AP116" s="534">
        <f>'More Comp Group'!Y14*BQ8</f>
        <v>455608.17194999999</v>
      </c>
      <c r="AQ116" s="534">
        <f>'More Comp Group'!Z14*BR8</f>
        <v>805133.80674000003</v>
      </c>
      <c r="AR116" s="719">
        <f>'Long Term Debt'!C83*BN8</f>
        <v>589636.10667000001</v>
      </c>
      <c r="AS116" s="719">
        <f>'Long Term Debt'!D83*BO8</f>
        <v>3526361.1741380002</v>
      </c>
      <c r="AT116" s="719">
        <f>'Long Term Debt'!E83*BP8</f>
        <v>2121877.928357</v>
      </c>
      <c r="AU116" s="719">
        <f>'Long Term Debt'!F83*BQ8</f>
        <v>1171196.7651520001</v>
      </c>
      <c r="AV116" s="719">
        <f>'Long Term Debt'!G83*BR8</f>
        <v>1687584.48591</v>
      </c>
      <c r="AW116" s="553">
        <f t="shared" si="106"/>
        <v>1.0693029107973425E-2</v>
      </c>
      <c r="AX116" s="553">
        <f t="shared" si="107"/>
        <v>-0.17015158753459925</v>
      </c>
      <c r="AY116" s="553">
        <f t="shared" si="108"/>
        <v>-4.6373250158264878E-2</v>
      </c>
      <c r="AZ116" s="538">
        <f t="shared" si="109"/>
        <v>1.4033145370279752E-2</v>
      </c>
      <c r="BA116" s="538">
        <f t="shared" si="110"/>
        <v>-0.23051905760732458</v>
      </c>
      <c r="BB116" s="455">
        <f t="shared" si="111"/>
        <v>-7.6270453453122944E-2</v>
      </c>
    </row>
    <row r="117" spans="1:54" s="684" customFormat="1" ht="15" customHeight="1">
      <c r="A117" s="535">
        <v>2016</v>
      </c>
      <c r="B117" s="676"/>
      <c r="C117" s="411" t="s">
        <v>435</v>
      </c>
      <c r="D117" s="536"/>
      <c r="E117" s="536"/>
      <c r="F117" s="536"/>
      <c r="G117" s="536"/>
      <c r="H117" s="536"/>
      <c r="I117" s="536" t="s">
        <v>147</v>
      </c>
      <c r="J117" s="524" t="s">
        <v>1044</v>
      </c>
      <c r="K117" s="534">
        <f>'More Comp Group'!D1103</f>
        <v>12404</v>
      </c>
      <c r="L117" s="534">
        <f>'More Comp Group'!E1103</f>
        <v>1632</v>
      </c>
      <c r="M117" s="534">
        <f>'More Comp Group'!F1103</f>
        <v>5346</v>
      </c>
      <c r="N117" s="534">
        <f>'More Comp Group'!G1103</f>
        <v>8</v>
      </c>
      <c r="O117" s="534">
        <f>'More Comp Group'!H1103</f>
        <v>0</v>
      </c>
      <c r="P117" s="534">
        <f>'More Comp Group'!D1107</f>
        <v>15953</v>
      </c>
      <c r="Q117" s="534">
        <f>'More Comp Group'!E1107</f>
        <v>577</v>
      </c>
      <c r="R117" s="534">
        <f>'More Comp Group'!F1107</f>
        <v>-11045</v>
      </c>
      <c r="S117" s="534">
        <f>'More Comp Group'!G1107</f>
        <v>-819</v>
      </c>
      <c r="T117" s="534">
        <f>'More Comp Group'!H1107</f>
        <v>-1505</v>
      </c>
      <c r="U117" s="534">
        <f>'More Comp Group'!D1106</f>
        <v>183567</v>
      </c>
      <c r="V117" s="534">
        <f>'More Comp Group'!E1106</f>
        <v>182</v>
      </c>
      <c r="W117" s="534">
        <f>'More Comp Group'!F1106</f>
        <v>4130</v>
      </c>
      <c r="X117" s="534">
        <f>'More Comp Group'!G1106</f>
        <v>10681</v>
      </c>
      <c r="Y117" s="534">
        <f>'More Comp Group'!H1106</f>
        <v>9792</v>
      </c>
      <c r="Z117" s="534">
        <f>'More Comp Group'!D1101</f>
        <v>394771</v>
      </c>
      <c r="AA117" s="534">
        <f>'More Comp Group'!E1101</f>
        <v>116661</v>
      </c>
      <c r="AB117" s="534">
        <f>'More Comp Group'!F1101</f>
        <v>54695</v>
      </c>
      <c r="AC117" s="534">
        <f>'More Comp Group'!G1101</f>
        <v>17515</v>
      </c>
      <c r="AD117" s="534">
        <f>'More Comp Group'!H1101</f>
        <v>17307</v>
      </c>
      <c r="AE117" s="538">
        <f t="shared" ref="AE117" si="112">T117/AD117</f>
        <v>-8.6959033916912232E-2</v>
      </c>
      <c r="AF117" s="538">
        <f t="shared" ref="AF117" si="113">S117/AC117</f>
        <v>-4.6759920068512706E-2</v>
      </c>
      <c r="AG117" s="538">
        <f t="shared" ref="AG117" si="114">R117/AB117</f>
        <v>-0.20193801992869551</v>
      </c>
      <c r="AH117" s="538">
        <f t="shared" ref="AH117" si="115">T117/AQ117</f>
        <v>-0.20026613439787092</v>
      </c>
      <c r="AI117" s="538">
        <f t="shared" ref="AI117" si="116">S117/AP117</f>
        <v>-0.11982443306510607</v>
      </c>
      <c r="AJ117" s="538">
        <f t="shared" ref="AJ117" si="117">R117/AO117</f>
        <v>-0.21843172154652427</v>
      </c>
      <c r="AK117" s="434"/>
      <c r="AL117" s="434"/>
      <c r="AM117" s="534">
        <f>'More Comp Group'!D1111</f>
        <v>211204</v>
      </c>
      <c r="AN117" s="534">
        <f>'More Comp Group'!E1111</f>
        <v>116479</v>
      </c>
      <c r="AO117" s="534">
        <f>'More Comp Group'!F1111</f>
        <v>50565</v>
      </c>
      <c r="AP117" s="534">
        <f>'More Comp Group'!G1111</f>
        <v>6835</v>
      </c>
      <c r="AQ117" s="534">
        <f>'More Comp Group'!H1111</f>
        <v>7515</v>
      </c>
      <c r="AR117" s="719">
        <f>'More Comp Group'!D1104</f>
        <v>174494</v>
      </c>
      <c r="AS117" s="719">
        <f>'More Comp Group'!E1104</f>
        <v>0</v>
      </c>
      <c r="AT117" s="719">
        <f>'More Comp Group'!F1104</f>
        <v>1425</v>
      </c>
      <c r="AU117" s="719">
        <f>'More Comp Group'!G1104</f>
        <v>9455</v>
      </c>
      <c r="AV117" s="719">
        <f>'More Comp Group'!H1104</f>
        <v>8513</v>
      </c>
      <c r="AW117" s="553">
        <f t="shared" ref="AW117:AW118" si="118">T117/AV117</f>
        <v>-0.1767884412075649</v>
      </c>
      <c r="AX117" s="553">
        <f t="shared" ref="AX117:AX118" si="119">S117/AU117</f>
        <v>-8.6620835536753038E-2</v>
      </c>
      <c r="AY117" s="553">
        <f t="shared" ref="AY117:AY118" si="120">R117/AT117</f>
        <v>-7.7508771929824558</v>
      </c>
      <c r="AZ117" s="538">
        <f t="shared" ref="AZ117:AZ118" si="121">((AQ117/(AQ117+Y117))*AH117)+(Y117/(AQ117+Y117))*AW117</f>
        <v>-0.18698286336768216</v>
      </c>
      <c r="BA117" s="538">
        <f t="shared" ref="BA117:BA118" si="122">((AP117/(AP117+X117))*AI117)+(X117/(AP117+X117))*AX117</f>
        <v>-9.9577366086324448E-2</v>
      </c>
      <c r="BB117" s="455">
        <f t="shared" ref="BB117:BB118" si="123">((AO117/(AO117+W117))*AJ117)+(W117/(AO117+W117))*AY117</f>
        <v>-0.78720400049396733</v>
      </c>
    </row>
    <row r="118" spans="1:54" s="684" customFormat="1" ht="15" customHeight="1">
      <c r="A118" s="535">
        <v>2016</v>
      </c>
      <c r="B118" s="676"/>
      <c r="C118" s="411" t="s">
        <v>487</v>
      </c>
      <c r="D118" s="536"/>
      <c r="E118" s="536"/>
      <c r="F118" s="536"/>
      <c r="G118" s="536"/>
      <c r="H118" s="536"/>
      <c r="I118" s="536" t="s">
        <v>147</v>
      </c>
      <c r="J118" s="524" t="s">
        <v>1083</v>
      </c>
      <c r="K118" s="534">
        <f>'More Comp Group'!D1087*BM8</f>
        <v>64951.582548999999</v>
      </c>
      <c r="L118" s="534">
        <f>'More Comp Group'!E1087*BN8</f>
        <v>67179.907428000006</v>
      </c>
      <c r="M118" s="534">
        <f>'More Comp Group'!F1087*BO8</f>
        <v>65268.496590000002</v>
      </c>
      <c r="N118" s="534">
        <f>'More Comp Group'!G1087*BP8</f>
        <v>82044.303473000007</v>
      </c>
      <c r="O118" s="534">
        <f>'More Comp Group'!H1087*BQ8</f>
        <v>89543.218833999999</v>
      </c>
      <c r="P118" s="534">
        <f>'More Comp Group'!D1091*BM8</f>
        <v>8652.8735020000004</v>
      </c>
      <c r="Q118" s="534">
        <f>'More Comp Group'!E1091*BN8</f>
        <v>22940.002356000001</v>
      </c>
      <c r="R118" s="534">
        <f>'More Comp Group'!F1091*BO8</f>
        <v>15830.832292000001</v>
      </c>
      <c r="S118" s="534">
        <f>'More Comp Group'!G1091*BP8</f>
        <v>32331.342263000002</v>
      </c>
      <c r="T118" s="534">
        <f>'More Comp Group'!H1091*BQ8</f>
        <v>28082.156881999999</v>
      </c>
      <c r="U118" s="534">
        <f>'More Comp Group'!D1090*BM8</f>
        <v>49747.371127999999</v>
      </c>
      <c r="V118" s="534">
        <f>'More Comp Group'!E1090*BN8</f>
        <v>45282.610097999997</v>
      </c>
      <c r="W118" s="534">
        <f>'More Comp Group'!F1090*BO8</f>
        <v>67742.238168000011</v>
      </c>
      <c r="X118" s="534">
        <f>'More Comp Group'!G1090*BP8</f>
        <v>61530.757255000004</v>
      </c>
      <c r="Y118" s="534">
        <f>'More Comp Group'!H1090*BQ8</f>
        <v>89160.105850000007</v>
      </c>
      <c r="Z118" s="534">
        <f>'More Comp Group'!D1085*BM8</f>
        <v>57561.472352999997</v>
      </c>
      <c r="AA118" s="534">
        <f>'More Comp Group'!E1085*BN8</f>
        <v>55260.415674000003</v>
      </c>
      <c r="AB118" s="534">
        <f>'More Comp Group'!F1085*BO8</f>
        <v>75456.442622000002</v>
      </c>
      <c r="AC118" s="534">
        <f>'More Comp Group'!G1085*BP8</f>
        <v>148255.86752900001</v>
      </c>
      <c r="AD118" s="534">
        <f>'More Comp Group'!H1085*BQ8</f>
        <v>149113.064162</v>
      </c>
      <c r="AE118" s="538">
        <f t="shared" ref="AE118" si="124">T118/AD118</f>
        <v>0.18832794456890023</v>
      </c>
      <c r="AF118" s="538">
        <f t="shared" ref="AF118" si="125">S118/AC118</f>
        <v>0.21807799449607443</v>
      </c>
      <c r="AG118" s="538">
        <f t="shared" ref="AG118" si="126">R118/AB118</f>
        <v>0.20980093603543906</v>
      </c>
      <c r="AH118" s="538">
        <f t="shared" ref="AH118" si="127">T118/AQ118</f>
        <v>0.46840221875498583</v>
      </c>
      <c r="AI118" s="538">
        <f t="shared" ref="AI118" si="128">S118/AP118</f>
        <v>0.37280255004406571</v>
      </c>
      <c r="AJ118" s="538">
        <f t="shared" ref="AJ118" si="129">R118/AO118</f>
        <v>2.0521665437310692</v>
      </c>
      <c r="AK118" s="434"/>
      <c r="AL118" s="434"/>
      <c r="AM118" s="534">
        <f>'More Comp Group'!D1095*BM8</f>
        <v>7814.1012249999994</v>
      </c>
      <c r="AN118" s="534">
        <f>'More Comp Group'!E1095*BN8</f>
        <v>9977.8055760000007</v>
      </c>
      <c r="AO118" s="534">
        <f>'More Comp Group'!F1095*BO8</f>
        <v>7714.2044540000006</v>
      </c>
      <c r="AP118" s="534">
        <f>'More Comp Group'!G1095*BP8</f>
        <v>86725.110274000006</v>
      </c>
      <c r="AQ118" s="534">
        <f>'More Comp Group'!H1095*BQ8</f>
        <v>59953.082538000002</v>
      </c>
      <c r="AR118" s="719">
        <f>'More Comp Group'!D1093*BM8</f>
        <v>2036.839714</v>
      </c>
      <c r="AS118" s="719">
        <f>'More Comp Group'!E1093*BN8</f>
        <v>2575.8416459999999</v>
      </c>
      <c r="AT118" s="719">
        <f>'More Comp Group'!F1093*BO8</f>
        <v>11830.448454000001</v>
      </c>
      <c r="AU118" s="719">
        <f>'More Comp Group'!G1093*BP8</f>
        <v>8149.0587970000006</v>
      </c>
      <c r="AV118" s="719">
        <f>'More Comp Group'!H1093*BQ8</f>
        <v>10123.300966000001</v>
      </c>
      <c r="AW118" s="553">
        <f t="shared" si="118"/>
        <v>2.7740118540697742</v>
      </c>
      <c r="AX118" s="553">
        <f t="shared" si="119"/>
        <v>3.9674940466624786</v>
      </c>
      <c r="AY118" s="553">
        <f t="shared" si="120"/>
        <v>1.3381430428064143</v>
      </c>
      <c r="AZ118" s="538">
        <f t="shared" si="121"/>
        <v>1.8470086408680126</v>
      </c>
      <c r="BA118" s="538">
        <f t="shared" si="122"/>
        <v>1.8647103818995228</v>
      </c>
      <c r="BB118" s="455">
        <f t="shared" si="123"/>
        <v>1.4111404314944371</v>
      </c>
    </row>
    <row r="119" spans="1:54" s="200" customFormat="1" ht="15" customHeight="1">
      <c r="A119" s="535">
        <v>2016</v>
      </c>
      <c r="B119" s="676"/>
      <c r="C119" s="411" t="s">
        <v>435</v>
      </c>
      <c r="D119" s="536"/>
      <c r="E119" s="536"/>
      <c r="F119" s="536"/>
      <c r="G119" s="536"/>
      <c r="H119" s="536"/>
      <c r="I119" s="536" t="s">
        <v>147</v>
      </c>
      <c r="J119" s="524" t="s">
        <v>644</v>
      </c>
      <c r="K119" s="534">
        <f>'More Comp Group'!M21</f>
        <v>48702</v>
      </c>
      <c r="L119" s="534">
        <f>'More Comp Group'!N21</f>
        <v>43952</v>
      </c>
      <c r="M119" s="534">
        <f>'More Comp Group'!O21</f>
        <v>20437</v>
      </c>
      <c r="N119" s="534">
        <f>'More Comp Group'!P21</f>
        <v>34769</v>
      </c>
      <c r="O119" s="534">
        <f>'More Comp Group'!Q21</f>
        <v>37354</v>
      </c>
      <c r="P119" s="534">
        <f>'More Comp Group'!M25</f>
        <v>-8268</v>
      </c>
      <c r="Q119" s="534">
        <f>'More Comp Group'!N25</f>
        <v>-11435</v>
      </c>
      <c r="R119" s="534">
        <f>'More Comp Group'!O25</f>
        <v>-31803</v>
      </c>
      <c r="S119" s="534">
        <f>'More Comp Group'!P25</f>
        <v>-22798</v>
      </c>
      <c r="T119" s="534">
        <f>'More Comp Group'!Q25</f>
        <v>-36272</v>
      </c>
      <c r="U119" s="534">
        <f>'More Comp Group'!M24</f>
        <v>270033</v>
      </c>
      <c r="V119" s="534">
        <f>'More Comp Group'!N24</f>
        <v>277968</v>
      </c>
      <c r="W119" s="534">
        <f>'More Comp Group'!O24</f>
        <v>33003</v>
      </c>
      <c r="X119" s="534">
        <f>'More Comp Group'!P24</f>
        <v>275607</v>
      </c>
      <c r="Y119" s="534">
        <f>'More Comp Group'!Q24</f>
        <v>289891</v>
      </c>
      <c r="Z119" s="534">
        <f>'More Comp Group'!M19</f>
        <v>377357</v>
      </c>
      <c r="AA119" s="534">
        <f>'More Comp Group'!N19</f>
        <v>39356</v>
      </c>
      <c r="AB119" s="534">
        <f>'More Comp Group'!O19</f>
        <v>399584</v>
      </c>
      <c r="AC119" s="534">
        <f>'More Comp Group'!P19</f>
        <v>408371</v>
      </c>
      <c r="AD119" s="534">
        <f>'More Comp Group'!Q19</f>
        <v>445454</v>
      </c>
      <c r="AE119" s="538">
        <f t="shared" ref="AE119:AE172" si="130">T119/AD119</f>
        <v>-8.1427038482087932E-2</v>
      </c>
      <c r="AF119" s="538">
        <f t="shared" ref="AF119:AF172" si="131">S119/AC119</f>
        <v>-5.5826687007647459E-2</v>
      </c>
      <c r="AG119" s="538">
        <f t="shared" ref="AG119:AG172" si="132">R119/AB119</f>
        <v>-7.9590273884840232E-2</v>
      </c>
      <c r="AH119" s="538">
        <f t="shared" ref="AH119:AH172" si="133">T119/AQ119</f>
        <v>-0.2331659841993276</v>
      </c>
      <c r="AI119" s="538">
        <f t="shared" ref="AI119:AI172" si="134">S119/AP119</f>
        <v>-0.17171823687144105</v>
      </c>
      <c r="AJ119" s="538">
        <f t="shared" ref="AJ119:AJ172" si="135">R119/AO119</f>
        <v>-0.25036212488585191</v>
      </c>
      <c r="AK119" s="434"/>
      <c r="AL119" s="434"/>
      <c r="AM119" s="534">
        <f>'More Comp Group'!M29</f>
        <v>107324</v>
      </c>
      <c r="AN119" s="534">
        <f>'More Comp Group'!N29</f>
        <v>115592</v>
      </c>
      <c r="AO119" s="534">
        <f>'More Comp Group'!O29</f>
        <v>127028</v>
      </c>
      <c r="AP119" s="534">
        <f>'More Comp Group'!P29</f>
        <v>132764</v>
      </c>
      <c r="AQ119" s="534">
        <f>'More Comp Group'!Q29</f>
        <v>155563</v>
      </c>
      <c r="AR119" s="719">
        <f>'Long Term Debt'!C84</f>
        <v>397</v>
      </c>
      <c r="AS119" s="719">
        <f>'Long Term Debt'!D84</f>
        <v>322</v>
      </c>
      <c r="AT119" s="719">
        <f>'Long Term Debt'!E84</f>
        <v>26617</v>
      </c>
      <c r="AU119" s="719">
        <f>'Long Term Debt'!F84</f>
        <v>259285</v>
      </c>
      <c r="AV119" s="719">
        <f>'Long Term Debt'!G84</f>
        <v>273019</v>
      </c>
      <c r="AW119" s="553">
        <f t="shared" si="106"/>
        <v>-0.13285522253030008</v>
      </c>
      <c r="AX119" s="553">
        <f t="shared" si="107"/>
        <v>-8.7926413020421548E-2</v>
      </c>
      <c r="AY119" s="553">
        <f t="shared" si="108"/>
        <v>-1.1948378855618589</v>
      </c>
      <c r="AZ119" s="538">
        <f t="shared" si="109"/>
        <v>-0.16788609668906601</v>
      </c>
      <c r="BA119" s="538">
        <f t="shared" si="110"/>
        <v>-0.11516766595404503</v>
      </c>
      <c r="BB119" s="455">
        <f t="shared" si="111"/>
        <v>-0.44514022118963215</v>
      </c>
    </row>
    <row r="120" spans="1:54" s="200" customFormat="1" ht="15" customHeight="1">
      <c r="A120" s="535">
        <v>2017</v>
      </c>
      <c r="B120" s="676"/>
      <c r="C120" s="411" t="s">
        <v>435</v>
      </c>
      <c r="D120" s="536"/>
      <c r="E120" s="536"/>
      <c r="F120" s="536"/>
      <c r="G120" s="536"/>
      <c r="H120" s="536"/>
      <c r="I120" s="536" t="s">
        <v>150</v>
      </c>
      <c r="J120" s="524" t="s">
        <v>649</v>
      </c>
      <c r="K120" s="534">
        <f>'More Comp Group'!M50</f>
        <v>929739</v>
      </c>
      <c r="L120" s="534">
        <f>'More Comp Group'!N50</f>
        <v>823195</v>
      </c>
      <c r="M120" s="534">
        <f>'More Comp Group'!O50</f>
        <v>698476</v>
      </c>
      <c r="N120" s="534">
        <f>'More Comp Group'!P50</f>
        <v>662158</v>
      </c>
      <c r="O120" s="534">
        <f>'More Comp Group'!Q50</f>
        <v>657392</v>
      </c>
      <c r="P120" s="534">
        <f>'More Comp Group'!M54</f>
        <v>145643</v>
      </c>
      <c r="Q120" s="534">
        <f>'More Comp Group'!N54</f>
        <v>43805</v>
      </c>
      <c r="R120" s="534">
        <f>'More Comp Group'!O54</f>
        <v>31139</v>
      </c>
      <c r="S120" s="534">
        <f>'More Comp Group'!P54</f>
        <v>36688</v>
      </c>
      <c r="T120" s="534">
        <f>'More Comp Group'!Q54</f>
        <v>-38553</v>
      </c>
      <c r="U120" s="534">
        <f>'More Comp Group'!M53</f>
        <v>1441987</v>
      </c>
      <c r="V120" s="534">
        <f>'More Comp Group'!N53</f>
        <v>1624018</v>
      </c>
      <c r="W120" s="534">
        <f>'More Comp Group'!O53</f>
        <v>1252672</v>
      </c>
      <c r="X120" s="534">
        <f>'More Comp Group'!P53</f>
        <v>1371171</v>
      </c>
      <c r="Y120" s="534">
        <f>'More Comp Group'!Q53</f>
        <v>1541506</v>
      </c>
      <c r="Z120" s="534">
        <f>'More Comp Group'!M48</f>
        <v>2640491</v>
      </c>
      <c r="AA120" s="534">
        <f>'More Comp Group'!N48</f>
        <v>2686396</v>
      </c>
      <c r="AB120" s="534">
        <f>'More Comp Group'!O48</f>
        <v>2276345</v>
      </c>
      <c r="AC120" s="534">
        <f>'More Comp Group'!P48</f>
        <v>2138228</v>
      </c>
      <c r="AD120" s="534">
        <f>'More Comp Group'!Q48</f>
        <v>2263592</v>
      </c>
      <c r="AE120" s="538">
        <f t="shared" si="130"/>
        <v>-1.7031779578651984E-2</v>
      </c>
      <c r="AF120" s="538">
        <f t="shared" si="131"/>
        <v>1.7158132809036268E-2</v>
      </c>
      <c r="AG120" s="538">
        <f t="shared" si="132"/>
        <v>1.3679385154710731E-2</v>
      </c>
      <c r="AH120" s="538">
        <f t="shared" si="133"/>
        <v>-5.3391147314862775E-2</v>
      </c>
      <c r="AI120" s="538">
        <f t="shared" si="134"/>
        <v>4.7829561558006772E-2</v>
      </c>
      <c r="AJ120" s="538">
        <f t="shared" si="135"/>
        <v>3.0418893533384197E-2</v>
      </c>
      <c r="AK120" s="434"/>
      <c r="AL120" s="434"/>
      <c r="AM120" s="534">
        <f>'More Comp Group'!M58</f>
        <v>1198504</v>
      </c>
      <c r="AN120" s="534">
        <f>'More Comp Group'!N58</f>
        <v>1062378</v>
      </c>
      <c r="AO120" s="534">
        <f>'More Comp Group'!O58</f>
        <v>1023673</v>
      </c>
      <c r="AP120" s="534">
        <f>'More Comp Group'!P58</f>
        <v>767057</v>
      </c>
      <c r="AQ120" s="534">
        <f>'More Comp Group'!Q58</f>
        <v>722086</v>
      </c>
      <c r="AR120" s="719">
        <f>'Long Term Debt'!C85</f>
        <v>759924</v>
      </c>
      <c r="AS120" s="719">
        <f>'Long Term Debt'!D85</f>
        <v>1231730</v>
      </c>
      <c r="AT120" s="719">
        <f>'Long Term Debt'!E85</f>
        <v>322122</v>
      </c>
      <c r="AU120" s="719">
        <f>'Long Term Debt'!F85</f>
        <v>1099519</v>
      </c>
      <c r="AV120" s="719">
        <f>'Long Term Debt'!G85</f>
        <v>1227358</v>
      </c>
      <c r="AW120" s="553">
        <f t="shared" si="106"/>
        <v>-3.1411373046820894E-2</v>
      </c>
      <c r="AX120" s="553">
        <f t="shared" si="107"/>
        <v>3.3367317890823166E-2</v>
      </c>
      <c r="AY120" s="553">
        <f t="shared" si="108"/>
        <v>9.6668343050148695E-2</v>
      </c>
      <c r="AZ120" s="538">
        <f t="shared" si="109"/>
        <v>-3.8422922514266128E-2</v>
      </c>
      <c r="BA120" s="538">
        <f t="shared" si="110"/>
        <v>3.855542937407886E-2</v>
      </c>
      <c r="BB120" s="455">
        <f t="shared" si="111"/>
        <v>6.6875946583367582E-2</v>
      </c>
    </row>
    <row r="121" spans="1:54" s="200" customFormat="1" ht="15" customHeight="1">
      <c r="A121" s="535">
        <v>2017</v>
      </c>
      <c r="B121" s="676"/>
      <c r="C121" s="411" t="s">
        <v>487</v>
      </c>
      <c r="D121" s="536"/>
      <c r="E121" s="536"/>
      <c r="F121" s="536"/>
      <c r="G121" s="536"/>
      <c r="H121" s="536"/>
      <c r="I121" s="536" t="s">
        <v>150</v>
      </c>
      <c r="J121" s="524" t="s">
        <v>650</v>
      </c>
      <c r="K121" s="534">
        <f>'More Comp Group'!W51*BL8</f>
        <v>443429.59774499998</v>
      </c>
      <c r="L121" s="534">
        <f>'More Comp Group'!X51*BM8</f>
        <v>405301.54082599998</v>
      </c>
      <c r="M121" s="534">
        <f>'More Comp Group'!Y51*BN8</f>
        <v>304563.18360599998</v>
      </c>
      <c r="N121" s="534">
        <f>'More Comp Group'!Z51*BO8</f>
        <v>234673.85013600002</v>
      </c>
      <c r="O121" s="534">
        <f>'More Comp Group'!AA51*BP8</f>
        <v>198650.52621700001</v>
      </c>
      <c r="P121" s="534">
        <f>'More Comp Group'!W55*BL8</f>
        <v>19922.510414999997</v>
      </c>
      <c r="Q121" s="534">
        <f>'More Comp Group'!X55*BM8</f>
        <v>6516.4317119999996</v>
      </c>
      <c r="R121" s="534">
        <f>'More Comp Group'!Y55*BN8</f>
        <v>-2290.361034</v>
      </c>
      <c r="S121" s="534">
        <f>'More Comp Group'!Z55*BO8</f>
        <v>-10481.410016</v>
      </c>
      <c r="T121" s="534">
        <f>'More Comp Group'!AA55*BP8</f>
        <v>-6125.1577970000008</v>
      </c>
      <c r="U121" s="534">
        <f>'More Comp Group'!W54*BL8</f>
        <v>81096.344039999996</v>
      </c>
      <c r="V121" s="534">
        <f>'More Comp Group'!X54*BM8</f>
        <v>110244.03479599999</v>
      </c>
      <c r="W121" s="534">
        <f>'More Comp Group'!Y54*BN8</f>
        <v>108820.97995199999</v>
      </c>
      <c r="X121" s="534">
        <f>'More Comp Group'!Z54*BO8</f>
        <v>83559.147870000001</v>
      </c>
      <c r="Y121" s="534">
        <f>'More Comp Group'!AA54*BP8</f>
        <v>113732.75953600001</v>
      </c>
      <c r="Z121" s="534">
        <f>'More Comp Group'!W49*BL8</f>
        <v>111100.02072</v>
      </c>
      <c r="AA121" s="534">
        <f>'More Comp Group'!X49*BM8</f>
        <v>123936.250319</v>
      </c>
      <c r="AB121" s="534">
        <f>'More Comp Group'!Y49*BN8</f>
        <v>116576.413632</v>
      </c>
      <c r="AC121" s="534">
        <f>'More Comp Group'!Z49*BO8</f>
        <v>93451.329664000004</v>
      </c>
      <c r="AD121" s="534">
        <f>'More Comp Group'!AA49*BP8</f>
        <v>133756.64076500002</v>
      </c>
      <c r="AE121" s="538">
        <f t="shared" si="130"/>
        <v>-4.5793298650206274E-2</v>
      </c>
      <c r="AF121" s="538">
        <f t="shared" si="131"/>
        <v>-0.11215902495647126</v>
      </c>
      <c r="AG121" s="538">
        <f t="shared" si="132"/>
        <v>-1.9646864770004387E-2</v>
      </c>
      <c r="AH121" s="538">
        <f t="shared" si="133"/>
        <v>-0.30589263524641336</v>
      </c>
      <c r="AI121" s="538">
        <f t="shared" si="134"/>
        <v>-1.0595650417946616</v>
      </c>
      <c r="AJ121" s="538">
        <f t="shared" si="135"/>
        <v>-0.29531871720486358</v>
      </c>
      <c r="AK121" s="434"/>
      <c r="AL121" s="434"/>
      <c r="AM121" s="534">
        <f>'More Comp Group'!W59*BL8</f>
        <v>30003.676679999997</v>
      </c>
      <c r="AN121" s="534">
        <f>'More Comp Group'!X59*BM8</f>
        <v>13692.215522999999</v>
      </c>
      <c r="AO121" s="534">
        <f>'More Comp Group'!Y59*BN8</f>
        <v>7755.5566259999996</v>
      </c>
      <c r="AP121" s="534">
        <f>'More Comp Group'!Z59*BO8</f>
        <v>9892.1817940000001</v>
      </c>
      <c r="AQ121" s="534">
        <f>'More Comp Group'!AA59*BP8</f>
        <v>20023.881229000002</v>
      </c>
      <c r="AR121" s="719">
        <f>'Long Term Debt'!C86*BL8</f>
        <v>1760.97039</v>
      </c>
      <c r="AS121" s="719">
        <f>'Long Term Debt'!D86*BM8</f>
        <v>7505.2893089999998</v>
      </c>
      <c r="AT121" s="719">
        <f>'Long Term Debt'!E86*BN8</f>
        <v>14178.624503999999</v>
      </c>
      <c r="AU121" s="719">
        <f>'Long Term Debt'!F86*BO8</f>
        <v>17843.554542000002</v>
      </c>
      <c r="AV121" s="719">
        <f>'Long Term Debt'!G86*BP8</f>
        <v>31527.139248000003</v>
      </c>
      <c r="AW121" s="553">
        <f t="shared" si="106"/>
        <v>-0.1942820675487886</v>
      </c>
      <c r="AX121" s="553">
        <f t="shared" si="107"/>
        <v>-0.58740594489337583</v>
      </c>
      <c r="AY121" s="553">
        <f t="shared" si="108"/>
        <v>-0.16153619368041344</v>
      </c>
      <c r="AZ121" s="538">
        <f t="shared" si="109"/>
        <v>-0.21099059685018612</v>
      </c>
      <c r="BA121" s="538">
        <f t="shared" si="110"/>
        <v>-0.6373857968551575</v>
      </c>
      <c r="BB121" s="455">
        <f t="shared" si="111"/>
        <v>-0.17043642323963382</v>
      </c>
    </row>
    <row r="122" spans="1:54" s="200" customFormat="1" ht="15" customHeight="1">
      <c r="A122" s="535">
        <v>2019</v>
      </c>
      <c r="B122" s="676"/>
      <c r="C122" s="411" t="s">
        <v>487</v>
      </c>
      <c r="D122" s="536"/>
      <c r="E122" s="536"/>
      <c r="F122" s="536"/>
      <c r="G122" s="536"/>
      <c r="H122" s="536"/>
      <c r="I122" s="536" t="s">
        <v>157</v>
      </c>
      <c r="J122" s="524" t="s">
        <v>1028</v>
      </c>
      <c r="K122" s="534">
        <f>'More Comp Group'!M64*BJ8</f>
        <v>140006.51551</v>
      </c>
      <c r="L122" s="534">
        <f>'More Comp Group'!N64*BK8</f>
        <v>120991.09977</v>
      </c>
      <c r="M122" s="534">
        <f>'More Comp Group'!O64*BL8</f>
        <v>102754.65898499999</v>
      </c>
      <c r="N122" s="534">
        <f>'More Comp Group'!P64*BM8</f>
        <v>96557.845426</v>
      </c>
      <c r="O122" s="534">
        <f>'More Comp Group'!Q64*BN8</f>
        <v>98416.920593999996</v>
      </c>
      <c r="P122" s="534">
        <f>'More Comp Group'!M68*BJ8</f>
        <v>5144.2161150000002</v>
      </c>
      <c r="Q122" s="534">
        <f>'More Comp Group'!N68*BK8</f>
        <v>6169.134411</v>
      </c>
      <c r="R122" s="534">
        <f>'More Comp Group'!O68*BL8</f>
        <v>4957.354515</v>
      </c>
      <c r="S122" s="534">
        <f>'More Comp Group'!P68*BM8</f>
        <v>4639.114501</v>
      </c>
      <c r="T122" s="534">
        <f>'More Comp Group'!Q68*BN8</f>
        <v>3895.4210640000001</v>
      </c>
      <c r="U122" s="534">
        <f>'More Comp Group'!M67*BJ8</f>
        <v>89288.177259999997</v>
      </c>
      <c r="V122" s="534">
        <f>'More Comp Group'!N67*BK8</f>
        <v>58572.852425999998</v>
      </c>
      <c r="W122" s="534">
        <f>'More Comp Group'!O67*BL8</f>
        <v>22200.660554999999</v>
      </c>
      <c r="X122" s="534">
        <f>'More Comp Group'!P67*BM8</f>
        <v>19575.218964</v>
      </c>
      <c r="Y122" s="534">
        <f>'More Comp Group'!Q67*BN8</f>
        <v>22924.757052000001</v>
      </c>
      <c r="Z122" s="534">
        <f>'More Comp Group'!M62*BJ8</f>
        <v>128367.510925</v>
      </c>
      <c r="AA122" s="534">
        <f>'More Comp Group'!N62*BK8</f>
        <v>91483.553457000002</v>
      </c>
      <c r="AB122" s="534">
        <f>'More Comp Group'!O62*BL8</f>
        <v>54815.828384999993</v>
      </c>
      <c r="AC122" s="534">
        <f>'More Comp Group'!P62*BM8</f>
        <v>52336.570299999999</v>
      </c>
      <c r="AD122" s="534">
        <f>'More Comp Group'!Q62*BN8</f>
        <v>58728.845280000001</v>
      </c>
      <c r="AE122" s="538">
        <f t="shared" si="130"/>
        <v>6.632892312845419E-2</v>
      </c>
      <c r="AF122" s="538">
        <f t="shared" si="131"/>
        <v>8.8640017379969585E-2</v>
      </c>
      <c r="AG122" s="538">
        <f t="shared" si="132"/>
        <v>9.0436552015266972E-2</v>
      </c>
      <c r="AH122" s="538">
        <f t="shared" si="133"/>
        <v>0.10879821989025404</v>
      </c>
      <c r="AI122" s="538">
        <f t="shared" si="134"/>
        <v>0.14160327067773551</v>
      </c>
      <c r="AJ122" s="538">
        <f t="shared" si="135"/>
        <v>0.15199586734977458</v>
      </c>
      <c r="AK122" s="434"/>
      <c r="AL122" s="434"/>
      <c r="AM122" s="534">
        <f>'More Comp Group'!M72*BJ8</f>
        <v>39079.22092</v>
      </c>
      <c r="AN122" s="534">
        <f>'More Comp Group'!N72*BK8</f>
        <v>32910.701030999997</v>
      </c>
      <c r="AO122" s="534">
        <f>'More Comp Group'!O72*BL8</f>
        <v>32615.061194999998</v>
      </c>
      <c r="AP122" s="534">
        <f>'More Comp Group'!P72*BM8</f>
        <v>32761.351336</v>
      </c>
      <c r="AQ122" s="534">
        <f>'More Comp Group'!Q72*BN8</f>
        <v>35804.088228000001</v>
      </c>
      <c r="AR122" s="719">
        <f>'Long Term Debt'!C87*BJ8</f>
        <v>43687.109069999999</v>
      </c>
      <c r="AS122" s="719">
        <f>'Long Term Debt'!D87*BK8</f>
        <v>24137.586495</v>
      </c>
      <c r="AT122" s="719">
        <f>'Long Term Debt'!E87*BL8</f>
        <v>693.98057999999992</v>
      </c>
      <c r="AU122" s="719">
        <f>'Long Term Debt'!F87*BM8</f>
        <v>735.75917099999992</v>
      </c>
      <c r="AV122" s="719">
        <f>'Long Term Debt'!G87*BN8</f>
        <v>1043.1968099999999</v>
      </c>
      <c r="AW122" s="553">
        <f t="shared" si="106"/>
        <v>3.7341190335886862</v>
      </c>
      <c r="AX122" s="553">
        <f t="shared" si="107"/>
        <v>6.3052078504095199</v>
      </c>
      <c r="AY122" s="553">
        <f t="shared" si="108"/>
        <v>7.1433620159803324</v>
      </c>
      <c r="AZ122" s="538">
        <f t="shared" si="109"/>
        <v>1.5239392548170609</v>
      </c>
      <c r="BA122" s="538">
        <f t="shared" si="110"/>
        <v>2.446949390306115</v>
      </c>
      <c r="BB122" s="455">
        <f t="shared" si="111"/>
        <v>2.9835365590759522</v>
      </c>
    </row>
    <row r="123" spans="1:54" s="200" customFormat="1" ht="15" customHeight="1">
      <c r="A123" s="535">
        <v>2018</v>
      </c>
      <c r="B123" s="676"/>
      <c r="C123" s="411" t="s">
        <v>487</v>
      </c>
      <c r="D123" s="536"/>
      <c r="E123" s="536"/>
      <c r="F123" s="536"/>
      <c r="G123" s="536"/>
      <c r="H123" s="536"/>
      <c r="I123" s="536" t="s">
        <v>202</v>
      </c>
      <c r="J123" s="524" t="s">
        <v>653</v>
      </c>
      <c r="K123" s="534">
        <f>'More Comp Group'!M93*BK8</f>
        <v>1164488.274</v>
      </c>
      <c r="L123" s="534">
        <f>'More Comp Group'!N93*BL8</f>
        <v>1111456.605</v>
      </c>
      <c r="M123" s="534">
        <f>'More Comp Group'!O93*BM8</f>
        <v>1022399.392</v>
      </c>
      <c r="N123" s="534">
        <f>'More Comp Group'!P93*BN8</f>
        <v>1164913.3500000001</v>
      </c>
      <c r="O123" s="534">
        <f>'More Comp Group'!Q93*BO8</f>
        <v>1054363.794</v>
      </c>
      <c r="P123" s="534">
        <f>'More Comp Group'!M97*BK8</f>
        <v>22577.525999999998</v>
      </c>
      <c r="Q123" s="534">
        <f>'More Comp Group'!N97*BL8</f>
        <v>13436.009999999998</v>
      </c>
      <c r="R123" s="534">
        <f>'More Comp Group'!O97*BM8</f>
        <v>-37180.226999999999</v>
      </c>
      <c r="S123" s="534">
        <f>'More Comp Group'!P97*BN8</f>
        <v>29138.202000000001</v>
      </c>
      <c r="T123" s="534">
        <f>'More Comp Group'!Q97*BO8</f>
        <v>61985.792000000001</v>
      </c>
      <c r="U123" s="534">
        <f>'More Comp Group'!M96*BK8</f>
        <v>612386.29799999995</v>
      </c>
      <c r="V123" s="534">
        <f>'More Comp Group'!N96*BL8</f>
        <v>553435.65</v>
      </c>
      <c r="W123" s="534">
        <f>'More Comp Group'!O96*BM8</f>
        <v>729505.61599999992</v>
      </c>
      <c r="X123" s="534">
        <f>'More Comp Group'!P96*BN8</f>
        <v>486005.538</v>
      </c>
      <c r="Y123" s="534">
        <f>'More Comp Group'!Q96*BO8</f>
        <v>465983.03400000004</v>
      </c>
      <c r="Z123" s="534">
        <f>'More Comp Group'!M91*BK8</f>
        <v>1049156.6850000001</v>
      </c>
      <c r="AA123" s="534">
        <f>'More Comp Group'!N91*BL8</f>
        <v>999916.3949999999</v>
      </c>
      <c r="AB123" s="534">
        <f>'More Comp Group'!O91*BM8</f>
        <v>1164525.642</v>
      </c>
      <c r="AC123" s="534">
        <f>'More Comp Group'!P91*BN8</f>
        <v>941889.30599999998</v>
      </c>
      <c r="AD123" s="534">
        <f>'More Comp Group'!Q91*BO8</f>
        <v>931602.87</v>
      </c>
      <c r="AE123" s="538">
        <f t="shared" si="130"/>
        <v>6.6536712150747246E-2</v>
      </c>
      <c r="AF123" s="538">
        <f t="shared" si="131"/>
        <v>3.0935909150241483E-2</v>
      </c>
      <c r="AG123" s="538">
        <f t="shared" si="132"/>
        <v>-3.1927357937902752E-2</v>
      </c>
      <c r="AH123" s="538">
        <f t="shared" si="133"/>
        <v>0.13312532501300051</v>
      </c>
      <c r="AI123" s="538">
        <f t="shared" si="134"/>
        <v>6.3881401617250685E-2</v>
      </c>
      <c r="AJ123" s="538">
        <f t="shared" si="135"/>
        <v>-8.5467851542080503E-2</v>
      </c>
      <c r="AK123" s="434"/>
      <c r="AL123" s="434"/>
      <c r="AM123" s="534">
        <f>'More Comp Group'!M101*BK8</f>
        <v>436770.38699999999</v>
      </c>
      <c r="AN123" s="534">
        <f>'More Comp Group'!N101*BL8</f>
        <v>446267.47499999998</v>
      </c>
      <c r="AO123" s="534">
        <f>'More Comp Group'!O101*BM8</f>
        <v>435020.02600000001</v>
      </c>
      <c r="AP123" s="534">
        <f>'More Comp Group'!P101*BN8</f>
        <v>456129.66</v>
      </c>
      <c r="AQ123" s="534">
        <f>'More Comp Group'!Q101*BO8</f>
        <v>465619.83600000001</v>
      </c>
      <c r="AR123" s="719">
        <f>'Long Term Debt'!C88*BK8</f>
        <v>280473.39</v>
      </c>
      <c r="AS123" s="719">
        <f>'Long Term Debt'!D88*BL8</f>
        <v>284288.90999999997</v>
      </c>
      <c r="AT123" s="719">
        <f>'Long Term Debt'!E88*BM8</f>
        <v>364298.00400000002</v>
      </c>
      <c r="AU123" s="719">
        <f>'Long Term Debt'!F88*BN8</f>
        <v>137945.41200000001</v>
      </c>
      <c r="AV123" s="719">
        <f>'Long Term Debt'!G88*BO8</f>
        <v>136925.64600000001</v>
      </c>
      <c r="AW123" s="553">
        <f t="shared" si="106"/>
        <v>0.4526967285587975</v>
      </c>
      <c r="AX123" s="553">
        <f t="shared" si="107"/>
        <v>0.21122994652406415</v>
      </c>
      <c r="AY123" s="553">
        <f t="shared" si="108"/>
        <v>-0.10205992509363296</v>
      </c>
      <c r="AZ123" s="538">
        <f t="shared" si="109"/>
        <v>0.2929733214064732</v>
      </c>
      <c r="BA123" s="538">
        <f t="shared" si="110"/>
        <v>0.13989194553172724</v>
      </c>
      <c r="BB123" s="455">
        <f t="shared" si="111"/>
        <v>-9.5861792560120007E-2</v>
      </c>
    </row>
    <row r="124" spans="1:54" s="200" customFormat="1" ht="15" customHeight="1">
      <c r="A124" s="535">
        <v>2018</v>
      </c>
      <c r="B124" s="676"/>
      <c r="C124" s="411" t="s">
        <v>435</v>
      </c>
      <c r="D124" s="536"/>
      <c r="E124" s="536"/>
      <c r="F124" s="536"/>
      <c r="G124" s="536"/>
      <c r="H124" s="536"/>
      <c r="I124" s="536" t="s">
        <v>203</v>
      </c>
      <c r="J124" s="524" t="s">
        <v>654</v>
      </c>
      <c r="K124" s="534">
        <f>'More Comp Group'!M108</f>
        <v>317233.55011642003</v>
      </c>
      <c r="L124" s="534">
        <f>'More Comp Group'!N108</f>
        <v>323446.65060937399</v>
      </c>
      <c r="M124" s="534">
        <f>'More Comp Group'!O108</f>
        <v>306036.44295781897</v>
      </c>
      <c r="N124" s="534">
        <f>'More Comp Group'!P108</f>
        <v>276524.740710855</v>
      </c>
      <c r="O124" s="534">
        <f>'More Comp Group'!Q108</f>
        <v>270889.16075229598</v>
      </c>
      <c r="P124" s="534">
        <f>'More Comp Group'!M112</f>
        <v>330158.71977806097</v>
      </c>
      <c r="Q124" s="534">
        <f>'More Comp Group'!N112</f>
        <v>232004.68342006201</v>
      </c>
      <c r="R124" s="534">
        <f>'More Comp Group'!O112</f>
        <v>291913.436286151</v>
      </c>
      <c r="S124" s="534">
        <f>'More Comp Group'!P112</f>
        <v>240506.32879137999</v>
      </c>
      <c r="T124" s="534">
        <f>'More Comp Group'!Q112</f>
        <v>222533.49671512801</v>
      </c>
      <c r="U124" s="534">
        <f>'More Comp Group'!M111</f>
        <v>19909749.94090195</v>
      </c>
      <c r="V124" s="534">
        <f>'More Comp Group'!N111</f>
        <v>19531300.791889388</v>
      </c>
      <c r="W124" s="534">
        <f>'More Comp Group'!O111</f>
        <v>16656264.045789791</v>
      </c>
      <c r="X124" s="534">
        <f>'More Comp Group'!P111</f>
        <v>16342692.728370409</v>
      </c>
      <c r="Y124" s="534">
        <f>'More Comp Group'!Q111</f>
        <v>16533983.020305641</v>
      </c>
      <c r="Z124" s="534">
        <f>'More Comp Group'!M106</f>
        <v>22544783.871658102</v>
      </c>
      <c r="AA124" s="534">
        <f>'More Comp Group'!N106</f>
        <v>22029542.228817899</v>
      </c>
      <c r="AB124" s="534">
        <f>'More Comp Group'!O106</f>
        <v>18982004.338011101</v>
      </c>
      <c r="AC124" s="534">
        <f>'More Comp Group'!P106</f>
        <v>18492980.4124832</v>
      </c>
      <c r="AD124" s="534">
        <f>'More Comp Group'!Q106</f>
        <v>18666747.950509202</v>
      </c>
      <c r="AE124" s="538">
        <f t="shared" si="130"/>
        <v>1.1921385412452501E-2</v>
      </c>
      <c r="AF124" s="538">
        <f t="shared" si="131"/>
        <v>1.3005276782158516E-2</v>
      </c>
      <c r="AG124" s="538">
        <f t="shared" si="132"/>
        <v>1.5378430596056704E-2</v>
      </c>
      <c r="AH124" s="538">
        <f t="shared" si="133"/>
        <v>0.10497649362843675</v>
      </c>
      <c r="AI124" s="538">
        <f t="shared" si="134"/>
        <v>0.1046877246962242</v>
      </c>
      <c r="AJ124" s="538">
        <f t="shared" si="135"/>
        <v>0.12574091070429097</v>
      </c>
      <c r="AK124" s="434"/>
      <c r="AL124" s="434"/>
      <c r="AM124" s="534">
        <f>'More Comp Group'!M116*BK8</f>
        <v>2704764.3389999997</v>
      </c>
      <c r="AN124" s="534">
        <f>'More Comp Group'!N116*BL8</f>
        <v>2272391.85</v>
      </c>
      <c r="AO124" s="534">
        <f>'More Comp Group'!O116*BM8</f>
        <v>2321547.0180000002</v>
      </c>
      <c r="AP124" s="534">
        <f>'More Comp Group'!P116*BN8</f>
        <v>2297368.9559999998</v>
      </c>
      <c r="AQ124" s="534">
        <f>'More Comp Group'!Q116*BO8</f>
        <v>2119841.2046680003</v>
      </c>
      <c r="AR124" s="719">
        <f>'Long Term Debt'!C89</f>
        <v>4830272</v>
      </c>
      <c r="AS124" s="719">
        <f>'Long Term Debt'!D89</f>
        <v>5415357</v>
      </c>
      <c r="AT124" s="719">
        <f>'Long Term Debt'!E89</f>
        <v>5194647</v>
      </c>
      <c r="AU124" s="719">
        <f>'Long Term Debt'!F89</f>
        <v>5355121</v>
      </c>
      <c r="AV124" s="719">
        <f>'Long Term Debt'!G89</f>
        <v>5407430</v>
      </c>
      <c r="AW124" s="553">
        <f t="shared" si="106"/>
        <v>4.1153282930177185E-2</v>
      </c>
      <c r="AX124" s="553">
        <f t="shared" si="107"/>
        <v>4.4911464893394565E-2</v>
      </c>
      <c r="AY124" s="553">
        <f t="shared" si="108"/>
        <v>5.6195047764776122E-2</v>
      </c>
      <c r="AZ124" s="538">
        <f t="shared" si="109"/>
        <v>4.8406223143436289E-2</v>
      </c>
      <c r="BA124" s="538">
        <f t="shared" si="110"/>
        <v>5.2278829116870297E-2</v>
      </c>
      <c r="BB124" s="455">
        <f t="shared" si="111"/>
        <v>6.4702561628138699E-2</v>
      </c>
    </row>
    <row r="125" spans="1:54" s="200" customFormat="1" ht="15" customHeight="1">
      <c r="A125" s="535">
        <v>2018</v>
      </c>
      <c r="B125" s="676"/>
      <c r="C125" s="411" t="s">
        <v>435</v>
      </c>
      <c r="D125" s="536"/>
      <c r="E125" s="536"/>
      <c r="F125" s="536"/>
      <c r="G125" s="536"/>
      <c r="H125" s="536"/>
      <c r="I125" s="536" t="s">
        <v>203</v>
      </c>
      <c r="J125" s="524" t="s">
        <v>655</v>
      </c>
      <c r="K125" s="534">
        <f>'More Comp Group'!W108</f>
        <v>228344.664022326</v>
      </c>
      <c r="L125" s="534">
        <f>'More Comp Group'!X108</f>
        <v>242438.44634294501</v>
      </c>
      <c r="M125" s="534">
        <f>'More Comp Group'!Y108</f>
        <v>238838.26605230599</v>
      </c>
      <c r="N125" s="534">
        <f>'More Comp Group'!Z108</f>
        <v>218181.817889214</v>
      </c>
      <c r="O125" s="534">
        <f>'More Comp Group'!AA108</f>
        <v>215590.743944049</v>
      </c>
      <c r="P125" s="534">
        <f>'More Comp Group'!W112</f>
        <v>260204.073451459</v>
      </c>
      <c r="Q125" s="534">
        <f>'More Comp Group'!X112</f>
        <v>204220.39338946299</v>
      </c>
      <c r="R125" s="534">
        <f>'More Comp Group'!Y112</f>
        <v>234851.933524013</v>
      </c>
      <c r="S125" s="534">
        <f>'More Comp Group'!Z112</f>
        <v>177445.33923268301</v>
      </c>
      <c r="T125" s="534">
        <f>'More Comp Group'!AA112</f>
        <v>175395.859479904</v>
      </c>
      <c r="U125" s="534">
        <f>'More Comp Group'!W111</f>
        <v>11624376.051746311</v>
      </c>
      <c r="V125" s="534">
        <f>'More Comp Group'!X111</f>
        <v>11990152.09776167</v>
      </c>
      <c r="W125" s="534">
        <f>'More Comp Group'!Y111</f>
        <v>11087926.979839759</v>
      </c>
      <c r="X125" s="534">
        <f>'More Comp Group'!Z111</f>
        <v>10713233.58747367</v>
      </c>
      <c r="Y125" s="534">
        <f>'More Comp Group'!AA111</f>
        <v>10339464.113660149</v>
      </c>
      <c r="Z125" s="534">
        <f>'More Comp Group'!W106</f>
        <v>13512471.2304771</v>
      </c>
      <c r="AA125" s="534">
        <f>'More Comp Group'!X106</f>
        <v>13751230.5991948</v>
      </c>
      <c r="AB125" s="534">
        <f>'More Comp Group'!Y106</f>
        <v>12702049.968153199</v>
      </c>
      <c r="AC125" s="534">
        <f>'More Comp Group'!Z106</f>
        <v>12215880.305826699</v>
      </c>
      <c r="AD125" s="534">
        <f>'More Comp Group'!AA106</f>
        <v>11837515.277370799</v>
      </c>
      <c r="AE125" s="538">
        <f t="shared" si="130"/>
        <v>1.4816948943263433E-2</v>
      </c>
      <c r="AF125" s="538">
        <f t="shared" si="131"/>
        <v>1.4525792230302518E-2</v>
      </c>
      <c r="AG125" s="538">
        <f t="shared" si="132"/>
        <v>1.8489293784297641E-2</v>
      </c>
      <c r="AH125" s="538">
        <f t="shared" si="133"/>
        <v>0.117795131611547</v>
      </c>
      <c r="AI125" s="538">
        <f t="shared" si="134"/>
        <v>0.11052830976793113</v>
      </c>
      <c r="AJ125" s="538">
        <f t="shared" si="135"/>
        <v>0.14574669390450617</v>
      </c>
      <c r="AK125" s="434"/>
      <c r="AL125" s="434"/>
      <c r="AM125" s="534">
        <f>'More Comp Group'!W116*BK8</f>
        <v>1938059.487</v>
      </c>
      <c r="AN125" s="534">
        <f>'More Comp Group'!X116*BL8</f>
        <v>1601870.97</v>
      </c>
      <c r="AO125" s="534">
        <f>'More Comp Group'!Y116*BM8</f>
        <v>1611370.5719999999</v>
      </c>
      <c r="AP125" s="534">
        <f>'More Comp Group'!Z116*BN8</f>
        <v>1605428.868</v>
      </c>
      <c r="AQ125" s="534">
        <f>'More Comp Group'!AA116*BO8</f>
        <v>1488990.7340000002</v>
      </c>
      <c r="AR125" s="719">
        <f>'Long Term Debt'!C90</f>
        <v>2549206</v>
      </c>
      <c r="AS125" s="719">
        <f>'Long Term Debt'!D90</f>
        <v>2890973</v>
      </c>
      <c r="AT125" s="719">
        <f>'Long Term Debt'!E90</f>
        <v>2942597</v>
      </c>
      <c r="AU125" s="719">
        <f>'Long Term Debt'!F90</f>
        <v>3030495</v>
      </c>
      <c r="AV125" s="719">
        <f>'Long Term Debt'!G90</f>
        <v>2339829</v>
      </c>
      <c r="AW125" s="553">
        <f t="shared" si="106"/>
        <v>7.4960973421520971E-2</v>
      </c>
      <c r="AX125" s="553">
        <f t="shared" si="107"/>
        <v>5.8553252598233296E-2</v>
      </c>
      <c r="AY125" s="553">
        <f t="shared" si="108"/>
        <v>7.9811110228146437E-2</v>
      </c>
      <c r="AZ125" s="538">
        <f t="shared" si="109"/>
        <v>8.0353027199048424E-2</v>
      </c>
      <c r="BA125" s="538">
        <f t="shared" si="110"/>
        <v>6.5326898478846457E-2</v>
      </c>
      <c r="BB125" s="455">
        <f t="shared" si="111"/>
        <v>8.8177451653726924E-2</v>
      </c>
    </row>
    <row r="126" spans="1:54" s="684" customFormat="1" ht="15" customHeight="1">
      <c r="A126" s="535">
        <v>2012</v>
      </c>
      <c r="B126" s="676"/>
      <c r="C126" s="411" t="s">
        <v>487</v>
      </c>
      <c r="D126" s="536"/>
      <c r="E126" s="536"/>
      <c r="F126" s="536"/>
      <c r="G126" s="536"/>
      <c r="H126" s="536"/>
      <c r="I126" s="536" t="s">
        <v>1029</v>
      </c>
      <c r="J126" s="524" t="s">
        <v>1082</v>
      </c>
      <c r="K126" s="534">
        <f>'More Comp Group'!D1057*BQ8</f>
        <v>92829.369212000005</v>
      </c>
      <c r="L126" s="534">
        <f>'More Comp Group'!E1057*BR8</f>
        <v>116791.978995</v>
      </c>
      <c r="M126" s="534">
        <f>'More Comp Group'!F1057*BS8</f>
        <v>121262.45473</v>
      </c>
      <c r="N126" s="534">
        <f>'More Comp Group'!G1057*BT8</f>
        <v>1777.0064639999998</v>
      </c>
      <c r="O126" s="534">
        <f>'More Comp Group'!H1057*BU8</f>
        <v>1886.509548</v>
      </c>
      <c r="P126" s="534">
        <f>'More Comp Group'!D1061*BQ8</f>
        <v>-2169.1101859999999</v>
      </c>
      <c r="Q126" s="534">
        <f>'More Comp Group'!E1061*BR8</f>
        <v>-3781.1996400000003</v>
      </c>
      <c r="R126" s="534">
        <f>'More Comp Group'!F1061*BS8</f>
        <v>2253.483745</v>
      </c>
      <c r="S126" s="534">
        <f>'More Comp Group'!G1061*BT8</f>
        <v>-3448.2796679999997</v>
      </c>
      <c r="T126" s="534">
        <f>'More Comp Group'!H1061*BU8</f>
        <v>-7564.6121760000005</v>
      </c>
      <c r="U126" s="534">
        <f>'More Comp Group'!D1060*BQ8</f>
        <v>140892.03593400001</v>
      </c>
      <c r="V126" s="534">
        <f>'More Comp Group'!E1060*BR8</f>
        <v>168682.54441500001</v>
      </c>
      <c r="W126" s="534">
        <f>'More Comp Group'!F1060*BS8</f>
        <v>168229.24454400002</v>
      </c>
      <c r="X126" s="534">
        <f>'More Comp Group'!G1060*BT8</f>
        <v>46742.697119999997</v>
      </c>
      <c r="Y126" s="534">
        <f>'More Comp Group'!H1060*BU8</f>
        <v>45844.700219999999</v>
      </c>
      <c r="Z126" s="534">
        <f>'More Comp Group'!D1055*BQ8</f>
        <v>201131.58362799999</v>
      </c>
      <c r="AA126" s="534">
        <f>'More Comp Group'!E1055*BR8</f>
        <v>244160.87379000001</v>
      </c>
      <c r="AB126" s="534">
        <f>'More Comp Group'!F1055*BS8</f>
        <v>248765.365277</v>
      </c>
      <c r="AC126" s="534">
        <f>'More Comp Group'!G1055*BT8</f>
        <v>91051.81001999999</v>
      </c>
      <c r="AD126" s="534">
        <f>'More Comp Group'!H1055*BU8</f>
        <v>96258.064716000008</v>
      </c>
      <c r="AE126" s="538">
        <f t="shared" ref="AE126:AE127" si="136">T126/AD126</f>
        <v>-7.8586788528510809E-2</v>
      </c>
      <c r="AF126" s="538">
        <f t="shared" ref="AF126:AF127" si="137">S126/AC126</f>
        <v>-3.7871621302668974E-2</v>
      </c>
      <c r="AG126" s="538">
        <f t="shared" ref="AG126:AG127" si="138">R126/AB126</f>
        <v>9.0586715819171524E-3</v>
      </c>
      <c r="AH126" s="538">
        <f t="shared" ref="AH126:AH127" si="139">T126/AQ126</f>
        <v>-0.15005172242769488</v>
      </c>
      <c r="AI126" s="538">
        <f t="shared" ref="AI126:AI127" si="140">S126/AP126</f>
        <v>-7.782326122805315E-2</v>
      </c>
      <c r="AJ126" s="538">
        <f t="shared" ref="AJ126:AJ127" si="141">R126/AO126</f>
        <v>2.7981031672371398E-2</v>
      </c>
      <c r="AK126" s="434"/>
      <c r="AL126" s="434"/>
      <c r="AM126" s="534">
        <f>'More Comp Group'!D1065*BQ8</f>
        <v>60239.547694000001</v>
      </c>
      <c r="AN126" s="534">
        <f>'More Comp Group'!E1065*BR8</f>
        <v>75478.329375000001</v>
      </c>
      <c r="AO126" s="534">
        <f>'More Comp Group'!F1065*BS8</f>
        <v>80536.120733000003</v>
      </c>
      <c r="AP126" s="534">
        <f>'More Comp Group'!G1065*BT8</f>
        <v>44309.1129</v>
      </c>
      <c r="AQ126" s="534">
        <f>'More Comp Group'!H1065*BU8</f>
        <v>50413.364496000002</v>
      </c>
      <c r="AR126" s="719">
        <f>'More Comp Group'!D1063</f>
        <v>366322</v>
      </c>
      <c r="AS126" s="719">
        <f>'More Comp Group'!E1063</f>
        <v>827959</v>
      </c>
      <c r="AT126" s="719">
        <f>'More Comp Group'!F1063</f>
        <v>622526</v>
      </c>
      <c r="AU126" s="719">
        <f>'More Comp Group'!G1063</f>
        <v>221087</v>
      </c>
      <c r="AV126" s="719">
        <f>'More Comp Group'!H1063</f>
        <v>149905</v>
      </c>
      <c r="AW126" s="553">
        <f t="shared" ref="AW126:AW127" si="142">T126/AV126</f>
        <v>-5.04627075547847E-2</v>
      </c>
      <c r="AX126" s="553">
        <f t="shared" ref="AX126:AX127" si="143">S126/AU126</f>
        <v>-1.5596935450750155E-2</v>
      </c>
      <c r="AY126" s="553">
        <f t="shared" ref="AY126:AY127" si="144">R126/AT126</f>
        <v>3.6199030160989258E-3</v>
      </c>
      <c r="AZ126" s="538">
        <f t="shared" ref="AZ126:AZ127" si="145">((AQ126/(AQ126+Y126))*AH126)+(Y126/(AQ126+Y126))*AW126</f>
        <v>-0.10262059501489962</v>
      </c>
      <c r="BA126" s="538">
        <f t="shared" ref="BA126:BA127" si="146">((AP126/(AP126+X126))*AI126)+(X126/(AP126+X126))*AX126</f>
        <v>-4.5878522314460685E-2</v>
      </c>
      <c r="BB126" s="455">
        <f t="shared" ref="BB126:BB127" si="147">((AO126/(AO126+W126))*AJ126)+(W126/(AO126+W126))*AY126</f>
        <v>1.1506655243319446E-2</v>
      </c>
    </row>
    <row r="127" spans="1:54" s="684" customFormat="1" ht="15" customHeight="1">
      <c r="A127" s="535">
        <v>2012</v>
      </c>
      <c r="B127" s="676"/>
      <c r="C127" s="411" t="s">
        <v>487</v>
      </c>
      <c r="D127" s="536"/>
      <c r="E127" s="536"/>
      <c r="F127" s="536"/>
      <c r="G127" s="536"/>
      <c r="H127" s="536"/>
      <c r="I127" s="536" t="s">
        <v>1029</v>
      </c>
      <c r="J127" s="524" t="s">
        <v>919</v>
      </c>
      <c r="K127" s="534">
        <f>'More Comp Group'!D1072*BQ8</f>
        <v>177064.03838800002</v>
      </c>
      <c r="L127" s="534">
        <f>'More Comp Group'!E1072*BR8</f>
        <v>198366.362505</v>
      </c>
      <c r="M127" s="534">
        <f>'More Comp Group'!F1072*BS8</f>
        <v>156419.18489</v>
      </c>
      <c r="N127" s="534">
        <f>'More Comp Group'!G1072*BT8</f>
        <v>142959.96372</v>
      </c>
      <c r="O127" s="534">
        <f>'More Comp Group'!H1072*BU8</f>
        <v>159584.81299199999</v>
      </c>
      <c r="P127" s="534">
        <f>'More Comp Group'!D1076*BQ8</f>
        <v>7059.515128</v>
      </c>
      <c r="Q127" s="534">
        <f>'More Comp Group'!E1076*BR8</f>
        <v>8676.1275000000005</v>
      </c>
      <c r="R127" s="534">
        <f>'More Comp Group'!F1076*BS8</f>
        <v>404.55439200000001</v>
      </c>
      <c r="S127" s="534">
        <f>'More Comp Group'!G1076*BT8</f>
        <v>1766.347176</v>
      </c>
      <c r="T127" s="534">
        <f>'More Comp Group'!H1076*BU8</f>
        <v>2051.3536560000002</v>
      </c>
      <c r="U127" s="534">
        <f>'More Comp Group'!D1075*BQ8</f>
        <v>81330.141069999998</v>
      </c>
      <c r="V127" s="534">
        <f>'More Comp Group'!E1075*BR8</f>
        <v>81916.811954999997</v>
      </c>
      <c r="W127" s="534">
        <f>'More Comp Group'!F1075*BS8</f>
        <v>65233.374108000004</v>
      </c>
      <c r="X127" s="534">
        <f>'More Comp Group'!G1075*BT8</f>
        <v>59709.377123999999</v>
      </c>
      <c r="Y127" s="534">
        <f>'More Comp Group'!H1075*BU8</f>
        <v>71062.276824</v>
      </c>
      <c r="Z127" s="534">
        <f>'More Comp Group'!D1070*BQ8</f>
        <v>134552.534702</v>
      </c>
      <c r="AA127" s="534">
        <f>'More Comp Group'!E1070*BR8</f>
        <v>143883.94329</v>
      </c>
      <c r="AB127" s="534">
        <f>'More Comp Group'!F1070*BS8</f>
        <v>122929.36866000001</v>
      </c>
      <c r="AC127" s="534">
        <f>'More Comp Group'!G1070*BT8</f>
        <v>115631.95622399999</v>
      </c>
      <c r="AD127" s="534">
        <f>'More Comp Group'!H1070*BU8</f>
        <v>128885.94655200001</v>
      </c>
      <c r="AE127" s="538">
        <f t="shared" si="136"/>
        <v>1.5916038256136529E-2</v>
      </c>
      <c r="AF127" s="538">
        <f t="shared" si="137"/>
        <v>1.5275597107241412E-2</v>
      </c>
      <c r="AG127" s="538">
        <f t="shared" si="138"/>
        <v>3.2909498878085264E-3</v>
      </c>
      <c r="AH127" s="538">
        <f t="shared" si="139"/>
        <v>3.5475800722735276E-2</v>
      </c>
      <c r="AI127" s="538">
        <f t="shared" si="140"/>
        <v>3.158567853563457E-2</v>
      </c>
      <c r="AJ127" s="538">
        <f t="shared" si="141"/>
        <v>7.0118280331468233E-3</v>
      </c>
      <c r="AK127" s="434"/>
      <c r="AL127" s="434"/>
      <c r="AM127" s="534">
        <f>'More Comp Group'!D1080*BQ8</f>
        <v>53222.393631999999</v>
      </c>
      <c r="AN127" s="534">
        <f>'More Comp Group'!E1080*BR8</f>
        <v>61967.131334999998</v>
      </c>
      <c r="AO127" s="534">
        <f>'More Comp Group'!F1080*BS8</f>
        <v>57695.994552000004</v>
      </c>
      <c r="AP127" s="534">
        <f>'More Comp Group'!G1080*BT8</f>
        <v>55922.407176000001</v>
      </c>
      <c r="AQ127" s="534">
        <f>'More Comp Group'!H1080*BU8</f>
        <v>57824.026920000004</v>
      </c>
      <c r="AR127" s="719">
        <f>'More Comp Group'!D1078</f>
        <v>221977</v>
      </c>
      <c r="AS127" s="719">
        <f>'More Comp Group'!E1078</f>
        <v>131344</v>
      </c>
      <c r="AT127" s="719">
        <f>'More Comp Group'!F1078</f>
        <v>55933</v>
      </c>
      <c r="AU127" s="719">
        <f>'More Comp Group'!G1078</f>
        <v>69764</v>
      </c>
      <c r="AV127" s="719">
        <f>'More Comp Group'!H1078</f>
        <v>112209</v>
      </c>
      <c r="AW127" s="553">
        <f t="shared" si="142"/>
        <v>1.8281542977836004E-2</v>
      </c>
      <c r="AX127" s="553">
        <f t="shared" si="143"/>
        <v>2.5318891921334786E-2</v>
      </c>
      <c r="AY127" s="553">
        <f t="shared" si="144"/>
        <v>7.2328391468363933E-3</v>
      </c>
      <c r="AZ127" s="538">
        <f t="shared" si="145"/>
        <v>2.5995638221697467E-2</v>
      </c>
      <c r="BA127" s="538">
        <f t="shared" si="146"/>
        <v>2.8349665811502792E-2</v>
      </c>
      <c r="BB127" s="455">
        <f t="shared" si="147"/>
        <v>7.1291092070314213E-3</v>
      </c>
    </row>
    <row r="128" spans="1:54" s="200" customFormat="1" ht="15" customHeight="1">
      <c r="A128" s="535">
        <v>2012</v>
      </c>
      <c r="B128" s="676"/>
      <c r="C128" s="411" t="s">
        <v>487</v>
      </c>
      <c r="D128" s="536"/>
      <c r="E128" s="536"/>
      <c r="F128" s="536"/>
      <c r="G128" s="536"/>
      <c r="H128" s="536"/>
      <c r="I128" s="536" t="s">
        <v>1029</v>
      </c>
      <c r="J128" s="524" t="s">
        <v>548</v>
      </c>
      <c r="K128" s="534">
        <f>'More Comp Group'!M124*BQ8</f>
        <v>763120.31799999997</v>
      </c>
      <c r="L128" s="534">
        <f>'More Comp Group'!N124*BR8</f>
        <v>756017.05500000005</v>
      </c>
      <c r="M128" s="534">
        <f>'More Comp Group'!O124*BS8</f>
        <v>784709.52289999998</v>
      </c>
      <c r="N128" s="534">
        <f>'More Comp Group'!P124*BT8</f>
        <v>700263.64439999999</v>
      </c>
      <c r="O128" s="534">
        <f>'More Comp Group'!Q124*BU8</f>
        <v>658983.52080000006</v>
      </c>
      <c r="P128" s="534">
        <f>'More Comp Group'!M128*BQ8</f>
        <v>80498.448000000004</v>
      </c>
      <c r="Q128" s="534">
        <f>'More Comp Group'!N128*BR8</f>
        <v>62770.588499999998</v>
      </c>
      <c r="R128" s="534">
        <f>'More Comp Group'!O128*BS8</f>
        <v>70218.110799999995</v>
      </c>
      <c r="S128" s="534">
        <f>'More Comp Group'!P128*BT8</f>
        <v>82128.094799999992</v>
      </c>
      <c r="T128" s="534">
        <f>'More Comp Group'!Q128*BU8</f>
        <v>68241.531600000002</v>
      </c>
      <c r="U128" s="534">
        <f>'More Comp Group'!M127*BQ8</f>
        <v>398889.68599999999</v>
      </c>
      <c r="V128" s="534">
        <f>'More Comp Group'!N127*BR8</f>
        <v>519819.43349999998</v>
      </c>
      <c r="W128" s="534">
        <f>'More Comp Group'!O127*BS8</f>
        <v>476696.51990000001</v>
      </c>
      <c r="X128" s="534">
        <f>'More Comp Group'!P127*BT8</f>
        <v>481748.24040000001</v>
      </c>
      <c r="Y128" s="534">
        <f>'More Comp Group'!Q127*BU8</f>
        <v>318347.37</v>
      </c>
      <c r="Z128" s="534">
        <f>'More Comp Group'!M122*BQ8</f>
        <v>908961.64199999999</v>
      </c>
      <c r="AA128" s="534">
        <f>'More Comp Group'!N122*BR8</f>
        <v>1054619.1165</v>
      </c>
      <c r="AB128" s="534">
        <f>'More Comp Group'!O122*BS8</f>
        <v>957445.39439999999</v>
      </c>
      <c r="AC128" s="534">
        <f>'More Comp Group'!P122*BT8</f>
        <v>886955.91599999997</v>
      </c>
      <c r="AD128" s="534">
        <f>'More Comp Group'!Q122*BU8</f>
        <v>714276.84239999996</v>
      </c>
      <c r="AE128" s="538">
        <f t="shared" si="130"/>
        <v>9.5539330899634956E-2</v>
      </c>
      <c r="AF128" s="538">
        <f t="shared" si="131"/>
        <v>9.2595464237255273E-2</v>
      </c>
      <c r="AG128" s="538">
        <f t="shared" si="132"/>
        <v>7.3339024043249393E-2</v>
      </c>
      <c r="AH128" s="538">
        <f t="shared" si="133"/>
        <v>0.1723577969236321</v>
      </c>
      <c r="AI128" s="538">
        <f t="shared" si="134"/>
        <v>0.2026814883957741</v>
      </c>
      <c r="AJ128" s="538">
        <f t="shared" si="135"/>
        <v>0.14605985479015407</v>
      </c>
      <c r="AK128" s="434"/>
      <c r="AL128" s="434"/>
      <c r="AM128" s="534">
        <f>'More Comp Group'!M132*BQ8</f>
        <v>510071.95600000001</v>
      </c>
      <c r="AN128" s="534">
        <f>'More Comp Group'!N132*BR8</f>
        <v>534799.68299999996</v>
      </c>
      <c r="AO128" s="534">
        <f>'More Comp Group'!O132*BS8</f>
        <v>480748.87449999998</v>
      </c>
      <c r="AP128" s="534">
        <f>'More Comp Group'!P132*BT8</f>
        <v>405207.67559999996</v>
      </c>
      <c r="AQ128" s="534">
        <f>'More Comp Group'!Q132*BU8</f>
        <v>395929.47240000003</v>
      </c>
      <c r="AR128" s="719">
        <f>'Long Term Debt'!C91*BQ8</f>
        <v>183854.48</v>
      </c>
      <c r="AS128" s="719">
        <f>'Long Term Debt'!D91*BR8</f>
        <v>289177.71750000003</v>
      </c>
      <c r="AT128" s="719">
        <f>'Long Term Debt'!E91*BS8</f>
        <v>199450.76380000002</v>
      </c>
      <c r="AU128" s="719">
        <f>'Long Term Debt'!F91*BT8</f>
        <v>292305.18479999999</v>
      </c>
      <c r="AV128" s="719">
        <f>'Long Term Debt'!G91*BU8</f>
        <v>104996.58840000001</v>
      </c>
      <c r="AW128" s="553">
        <f t="shared" si="106"/>
        <v>0.64994046606565736</v>
      </c>
      <c r="AX128" s="553">
        <f t="shared" si="107"/>
        <v>0.28096694506528641</v>
      </c>
      <c r="AY128" s="553">
        <f t="shared" si="108"/>
        <v>0.3520573672528598</v>
      </c>
      <c r="AZ128" s="538">
        <f t="shared" si="109"/>
        <v>0.38521250206581847</v>
      </c>
      <c r="BA128" s="538">
        <f t="shared" si="110"/>
        <v>0.24520206954205059</v>
      </c>
      <c r="BB128" s="455">
        <f t="shared" si="111"/>
        <v>0.24862267233920751</v>
      </c>
    </row>
    <row r="129" spans="1:54" s="200" customFormat="1" ht="15" customHeight="1">
      <c r="A129" s="535">
        <v>2012</v>
      </c>
      <c r="B129" s="676"/>
      <c r="C129" s="411" t="s">
        <v>487</v>
      </c>
      <c r="D129" s="536"/>
      <c r="E129" s="536"/>
      <c r="F129" s="536"/>
      <c r="G129" s="536"/>
      <c r="H129" s="536"/>
      <c r="I129" s="536" t="s">
        <v>1029</v>
      </c>
      <c r="J129" s="524" t="s">
        <v>657</v>
      </c>
      <c r="K129" s="534">
        <f>'More Comp Group'!V123*BQ8</f>
        <v>379043.712918</v>
      </c>
      <c r="L129" s="534">
        <f>'More Comp Group'!W123*BR8</f>
        <v>390610.08530999999</v>
      </c>
      <c r="M129" s="534">
        <f>'More Comp Group'!X123*BS8</f>
        <v>458557.46558900003</v>
      </c>
      <c r="N129" s="534">
        <f>'More Comp Group'!Y123*BT8</f>
        <v>407443.71914399997</v>
      </c>
      <c r="O129" s="534">
        <f>'More Comp Group'!Z123*BU8</f>
        <v>633294.09356399998</v>
      </c>
      <c r="P129" s="534">
        <f>'More Comp Group'!V127*BQ8</f>
        <v>-4989.2888380000004</v>
      </c>
      <c r="Q129" s="534">
        <f>'More Comp Group'!W127*BR8</f>
        <v>-3473.4757050000003</v>
      </c>
      <c r="R129" s="534">
        <f>'More Comp Group'!X127*BS8</f>
        <v>-38712.415921</v>
      </c>
      <c r="S129" s="534">
        <f>'More Comp Group'!Y127*BT8</f>
        <v>77438.180003999994</v>
      </c>
      <c r="T129" s="534">
        <f>'More Comp Group'!Z127*BU8</f>
        <v>4089.134016</v>
      </c>
      <c r="U129" s="534">
        <f>'More Comp Group'!V126*BQ8</f>
        <v>269686.819762</v>
      </c>
      <c r="V129" s="534">
        <f>'More Comp Group'!W126*BR8</f>
        <v>286728.34323</v>
      </c>
      <c r="W129" s="534">
        <f>'More Comp Group'!X126*BS8</f>
        <v>282295.19425200002</v>
      </c>
      <c r="X129" s="534">
        <f>'More Comp Group'!Y126*BT8</f>
        <v>256880.24459999998</v>
      </c>
      <c r="Y129" s="534">
        <f>'More Comp Group'!Z126*BU8</f>
        <v>480146.41620000004</v>
      </c>
      <c r="Z129" s="534">
        <f>'More Comp Group'!V121*BQ8</f>
        <v>375846.13567799999</v>
      </c>
      <c r="AA129" s="534">
        <f>'More Comp Group'!W121*BR8</f>
        <v>383895.081015</v>
      </c>
      <c r="AB129" s="534">
        <f>'More Comp Group'!X121*BS8</f>
        <v>378780.39514199999</v>
      </c>
      <c r="AC129" s="534">
        <f>'More Comp Group'!Y121*BT8</f>
        <v>404080.71377999999</v>
      </c>
      <c r="AD129" s="534">
        <f>'More Comp Group'!Z121*BU8</f>
        <v>630235.45846800006</v>
      </c>
      <c r="AE129" s="538">
        <f t="shared" si="130"/>
        <v>6.4882639671528797E-3</v>
      </c>
      <c r="AF129" s="538">
        <f t="shared" si="131"/>
        <v>0.19164037620008975</v>
      </c>
      <c r="AG129" s="538">
        <f t="shared" si="132"/>
        <v>-0.10220279723423173</v>
      </c>
      <c r="AH129" s="538">
        <f t="shared" si="133"/>
        <v>2.7244720561934263E-2</v>
      </c>
      <c r="AI129" s="538">
        <f t="shared" si="134"/>
        <v>0.526072915632537</v>
      </c>
      <c r="AJ129" s="538">
        <f t="shared" si="135"/>
        <v>-0.40122646337374485</v>
      </c>
      <c r="AK129" s="434"/>
      <c r="AL129" s="434"/>
      <c r="AM129" s="534">
        <f>'More Comp Group'!V131*BQ8</f>
        <v>106159.31591600001</v>
      </c>
      <c r="AN129" s="534">
        <f>'More Comp Group'!W131*BR8</f>
        <v>97166.737785000005</v>
      </c>
      <c r="AO129" s="534">
        <f>'More Comp Group'!X131*BS8</f>
        <v>96485.200890000007</v>
      </c>
      <c r="AP129" s="534">
        <f>'More Comp Group'!Y131*BT8</f>
        <v>147200.46917999999</v>
      </c>
      <c r="AQ129" s="534">
        <f>'More Comp Group'!Z131*BU8</f>
        <v>150089.04226799999</v>
      </c>
      <c r="AR129" s="719">
        <f>'Long Term Debt'!C92*BQ8</f>
        <v>6407.7013059999999</v>
      </c>
      <c r="AS129" s="719">
        <f>'Long Term Debt'!D92*BR8</f>
        <v>19020.459405000001</v>
      </c>
      <c r="AT129" s="719">
        <f>'Long Term Debt'!E92*BS8</f>
        <v>49342.354998000003</v>
      </c>
      <c r="AU129" s="719">
        <f>'Long Term Debt'!F92*BT8</f>
        <v>19605.869112</v>
      </c>
      <c r="AV129" s="719">
        <f>'Long Term Debt'!G92*BU8</f>
        <v>109737.955008</v>
      </c>
      <c r="AW129" s="553">
        <f t="shared" si="106"/>
        <v>3.7262713850480432E-2</v>
      </c>
      <c r="AX129" s="553">
        <f t="shared" si="107"/>
        <v>3.9497448219014712</v>
      </c>
      <c r="AY129" s="553">
        <f t="shared" si="108"/>
        <v>-0.78456765840562603</v>
      </c>
      <c r="AZ129" s="538">
        <f t="shared" si="109"/>
        <v>3.4876953103568267E-2</v>
      </c>
      <c r="BA129" s="538">
        <f t="shared" si="110"/>
        <v>2.7025531254535324</v>
      </c>
      <c r="BB129" s="455">
        <f t="shared" si="111"/>
        <v>-0.68692070337196365</v>
      </c>
    </row>
    <row r="130" spans="1:54" s="200" customFormat="1" ht="15" customHeight="1">
      <c r="A130" s="535">
        <v>2013</v>
      </c>
      <c r="B130" s="676"/>
      <c r="C130" s="411" t="s">
        <v>487</v>
      </c>
      <c r="D130" s="536"/>
      <c r="E130" s="536"/>
      <c r="F130" s="536"/>
      <c r="G130" s="536"/>
      <c r="H130" s="536"/>
      <c r="I130" s="536" t="s">
        <v>1030</v>
      </c>
      <c r="J130" s="524" t="s">
        <v>650</v>
      </c>
      <c r="K130" s="534">
        <f>'More Comp Group'!M139*BP8</f>
        <v>198650.52621700001</v>
      </c>
      <c r="L130" s="534">
        <f>'More Comp Group'!N139*BQ8</f>
        <v>302969.82235999999</v>
      </c>
      <c r="M130" s="534">
        <f>'More Comp Group'!O139*BR8</f>
        <v>469829.17879500001</v>
      </c>
      <c r="N130" s="534">
        <f>'More Comp Group'!P139*BS8</f>
        <v>457295.44658500003</v>
      </c>
      <c r="O130" s="534">
        <f>'More Comp Group'!Q139*BT8</f>
        <v>538329.80419199995</v>
      </c>
      <c r="P130" s="534">
        <f>'More Comp Group'!M143*BP8</f>
        <v>-6125.1577970000008</v>
      </c>
      <c r="Q130" s="534">
        <f>'More Comp Group'!N143*BQ8</f>
        <v>-10304.546700000001</v>
      </c>
      <c r="R130" s="534">
        <f>'More Comp Group'!O143*BR8</f>
        <v>-3370.79493</v>
      </c>
      <c r="S130" s="534">
        <f>'More Comp Group'!P143*BS8</f>
        <v>10154.894147000001</v>
      </c>
      <c r="T130" s="534">
        <f>'More Comp Group'!Q143*BT8</f>
        <v>23248.250975999999</v>
      </c>
      <c r="U130" s="534">
        <f>'More Comp Group'!M142*BP8</f>
        <v>113732.75953600001</v>
      </c>
      <c r="V130" s="534">
        <f>'More Comp Group'!N142*BQ8</f>
        <v>97896.299299999999</v>
      </c>
      <c r="W130" s="534">
        <f>'More Comp Group'!O142*BR8</f>
        <v>139403.08162499999</v>
      </c>
      <c r="X130" s="534">
        <f>'More Comp Group'!P142*BS8</f>
        <v>137114.65296400001</v>
      </c>
      <c r="Y130" s="534">
        <f>'More Comp Group'!Q142*BT8</f>
        <v>210642.14442</v>
      </c>
      <c r="Z130" s="534">
        <f>'More Comp Group'!M137*BP8</f>
        <v>133756.64076500002</v>
      </c>
      <c r="AA130" s="534">
        <f>'More Comp Group'!N137*BQ8</f>
        <v>117110.458946</v>
      </c>
      <c r="AB130" s="534">
        <f>'More Comp Group'!O137*BR8</f>
        <v>169000.13844000001</v>
      </c>
      <c r="AC130" s="534">
        <f>'More Comp Group'!P137*BS8</f>
        <v>171367.94642200001</v>
      </c>
      <c r="AD130" s="534">
        <f>'More Comp Group'!Q137*BT8</f>
        <v>263444.818692</v>
      </c>
      <c r="AE130" s="538">
        <f t="shared" si="130"/>
        <v>8.8247136882126792E-2</v>
      </c>
      <c r="AF130" s="538">
        <f t="shared" si="131"/>
        <v>5.9257838814227207E-2</v>
      </c>
      <c r="AG130" s="538">
        <f t="shared" si="132"/>
        <v>-1.9945515791377478E-2</v>
      </c>
      <c r="AH130" s="538">
        <f t="shared" si="133"/>
        <v>0.44028548357688002</v>
      </c>
      <c r="AI130" s="538">
        <f t="shared" si="134"/>
        <v>0.29646475190631</v>
      </c>
      <c r="AJ130" s="538">
        <f t="shared" si="135"/>
        <v>-0.11388953135001102</v>
      </c>
      <c r="AK130" s="434"/>
      <c r="AL130" s="434"/>
      <c r="AM130" s="534">
        <f>'More Comp Group'!M147*BP8</f>
        <v>20023.881229000002</v>
      </c>
      <c r="AN130" s="534">
        <f>'More Comp Group'!N147*BQ8</f>
        <v>19214.283872</v>
      </c>
      <c r="AO130" s="534">
        <f>'More Comp Group'!O147*BR8</f>
        <v>29597.056815</v>
      </c>
      <c r="AP130" s="534">
        <f>'More Comp Group'!P147*BS8</f>
        <v>34253.293458</v>
      </c>
      <c r="AQ130" s="534">
        <f>'More Comp Group'!Q147*BT8</f>
        <v>52802.674271999997</v>
      </c>
      <c r="AR130" s="719">
        <f>'Long Term Debt'!C93*BP8</f>
        <v>31527.139248000003</v>
      </c>
      <c r="AS130" s="719">
        <f>'Long Term Debt'!D93*BQ8</f>
        <v>40297.547914000002</v>
      </c>
      <c r="AT130" s="719">
        <f>'Long Term Debt'!E93*BR8</f>
        <v>17499.191985000001</v>
      </c>
      <c r="AU130" s="719">
        <f>'Long Term Debt'!F93*BS8</f>
        <v>17625.358772</v>
      </c>
      <c r="AV130" s="719">
        <f>'Long Term Debt'!G93*BT8</f>
        <v>17929.09434</v>
      </c>
      <c r="AW130" s="553">
        <f t="shared" si="106"/>
        <v>1.296677374502565</v>
      </c>
      <c r="AX130" s="553">
        <f t="shared" si="107"/>
        <v>0.57615247884385024</v>
      </c>
      <c r="AY130" s="553">
        <f t="shared" si="108"/>
        <v>-0.1926257471138888</v>
      </c>
      <c r="AZ130" s="538">
        <f t="shared" si="109"/>
        <v>1.125029352384511</v>
      </c>
      <c r="BA130" s="538">
        <f t="shared" si="110"/>
        <v>0.52024805804977203</v>
      </c>
      <c r="BB130" s="455">
        <f t="shared" si="111"/>
        <v>-0.17883664449614786</v>
      </c>
    </row>
    <row r="131" spans="1:54" s="200" customFormat="1" ht="15" customHeight="1">
      <c r="A131" s="535">
        <v>2010</v>
      </c>
      <c r="B131" s="676"/>
      <c r="C131" s="411" t="s">
        <v>487</v>
      </c>
      <c r="D131" s="536"/>
      <c r="E131" s="536"/>
      <c r="F131" s="536"/>
      <c r="G131" s="536"/>
      <c r="H131" s="536"/>
      <c r="I131" s="536" t="s">
        <v>260</v>
      </c>
      <c r="J131" s="524" t="s">
        <v>702</v>
      </c>
      <c r="K131" s="534">
        <f>'More Comp Group'!M320*BS8</f>
        <v>11.91869</v>
      </c>
      <c r="L131" s="534">
        <f>'More Comp Group'!N320*BT8</f>
        <v>1350.4630199999999</v>
      </c>
      <c r="M131" s="534">
        <f>'More Comp Group'!O320*BU8</f>
        <v>1752.02676</v>
      </c>
      <c r="N131" s="534">
        <f>'More Comp Group'!P320*BV8</f>
        <v>1997.209016</v>
      </c>
      <c r="O131" s="534">
        <f>'More Comp Group'!Q320*BW8</f>
        <v>1434.41506</v>
      </c>
      <c r="P131" s="534">
        <f>'More Comp Group'!M324*BS8</f>
        <v>-4054.7383380000001</v>
      </c>
      <c r="Q131" s="534">
        <f>'More Comp Group'!N324*BT8</f>
        <v>-3663.3565919999996</v>
      </c>
      <c r="R131" s="534">
        <f>'More Comp Group'!O324*BU8</f>
        <v>-5221.2540600000002</v>
      </c>
      <c r="S131" s="534">
        <f>'More Comp Group'!P324*BV8</f>
        <v>-3463.1432049999999</v>
      </c>
      <c r="T131" s="534">
        <f>'More Comp Group'!Q324*BW8</f>
        <v>-2033.8721</v>
      </c>
      <c r="U131" s="534">
        <f>'More Comp Group'!M323*BS8</f>
        <v>11013.039827000001</v>
      </c>
      <c r="V131" s="534">
        <f>'More Comp Group'!N323*BT8</f>
        <v>7074.5006759999997</v>
      </c>
      <c r="W131" s="534">
        <f>'More Comp Group'!O323*BU8</f>
        <v>7574.7921480000005</v>
      </c>
      <c r="X131" s="534">
        <f>'More Comp Group'!P323*BV8</f>
        <v>4359.8661979999997</v>
      </c>
      <c r="Y131" s="534">
        <f>'More Comp Group'!Q323*BW8</f>
        <v>3114.0770699999998</v>
      </c>
      <c r="Z131" s="534">
        <f>'More Comp Group'!M318*BS8</f>
        <v>28316.934503</v>
      </c>
      <c r="AA131" s="534">
        <f>'More Comp Group'!N318*BT8</f>
        <v>28918.992191999998</v>
      </c>
      <c r="AB131" s="534">
        <f>'More Comp Group'!O318*BU8</f>
        <v>33742.499472000003</v>
      </c>
      <c r="AC131" s="534">
        <f>'More Comp Group'!P318*BV8</f>
        <v>34524.415044000001</v>
      </c>
      <c r="AD131" s="534">
        <f>'More Comp Group'!Q318*BW8</f>
        <v>35153.713790000002</v>
      </c>
      <c r="AE131" s="538">
        <f t="shared" si="130"/>
        <v>-5.7856535788789555E-2</v>
      </c>
      <c r="AF131" s="538">
        <f t="shared" si="131"/>
        <v>-0.10030997485652866</v>
      </c>
      <c r="AG131" s="538">
        <f t="shared" si="132"/>
        <v>-0.1547382126902801</v>
      </c>
      <c r="AH131" s="538">
        <f t="shared" si="133"/>
        <v>-6.347987393784657E-2</v>
      </c>
      <c r="AI131" s="538">
        <f t="shared" si="134"/>
        <v>-0.11480775673167222</v>
      </c>
      <c r="AJ131" s="538">
        <f t="shared" si="135"/>
        <v>-0.19953043632566425</v>
      </c>
      <c r="AK131" s="434"/>
      <c r="AL131" s="434"/>
      <c r="AM131" s="534">
        <f>'More Comp Group'!M328*BS8</f>
        <v>17303.894676</v>
      </c>
      <c r="AN131" s="534">
        <f>'More Comp Group'!N328*BT8</f>
        <v>21844.491515999998</v>
      </c>
      <c r="AO131" s="534">
        <f>'More Comp Group'!O328*BU8</f>
        <v>26167.707323999999</v>
      </c>
      <c r="AP131" s="534">
        <f>'More Comp Group'!P328*BV8</f>
        <v>30164.714507000001</v>
      </c>
      <c r="AQ131" s="534">
        <f>'More Comp Group'!Q328*BW8</f>
        <v>32039.636719999999</v>
      </c>
      <c r="AR131" s="719">
        <f>'Long Term Debt'!C94*BS8</f>
        <v>9180.7966400000005</v>
      </c>
      <c r="AS131" s="719">
        <f>'Long Term Debt'!D94*BT8</f>
        <v>4126.1759999999995</v>
      </c>
      <c r="AT131" s="719">
        <f>'Long Term Debt'!E94*BU8</f>
        <v>4828.164264</v>
      </c>
      <c r="AU131" s="719">
        <f>'Long Term Debt'!F94*BV8</f>
        <v>2984.3829150000001</v>
      </c>
      <c r="AV131" s="719">
        <f>'Long Term Debt'!G94*BW8</f>
        <v>2213.6133500000001</v>
      </c>
      <c r="AW131" s="553">
        <f t="shared" si="106"/>
        <v>-0.91880187657885237</v>
      </c>
      <c r="AX131" s="553">
        <f t="shared" si="107"/>
        <v>-1.160421870663336</v>
      </c>
      <c r="AY131" s="553">
        <f t="shared" si="108"/>
        <v>-1.0814159946733743</v>
      </c>
      <c r="AZ131" s="538">
        <f t="shared" si="109"/>
        <v>-0.13924821670248838</v>
      </c>
      <c r="BA131" s="538">
        <f t="shared" si="110"/>
        <v>-0.24685100065793852</v>
      </c>
      <c r="BB131" s="455">
        <f t="shared" si="111"/>
        <v>-0.39750331644232756</v>
      </c>
    </row>
    <row r="132" spans="1:54" s="200" customFormat="1" ht="15" customHeight="1">
      <c r="A132" s="535">
        <v>2010</v>
      </c>
      <c r="B132" s="676"/>
      <c r="C132" s="411" t="s">
        <v>487</v>
      </c>
      <c r="D132" s="536"/>
      <c r="E132" s="536"/>
      <c r="F132" s="536"/>
      <c r="G132" s="536"/>
      <c r="H132" s="536"/>
      <c r="I132" s="536" t="s">
        <v>309</v>
      </c>
      <c r="J132" s="524" t="s">
        <v>703</v>
      </c>
      <c r="K132" s="534">
        <f>'More Comp Group'!M336*BS8</f>
        <v>2779268.2409999999</v>
      </c>
      <c r="L132" s="534">
        <f>'More Comp Group'!N336*BT8</f>
        <v>2690954.4479999999</v>
      </c>
      <c r="M132" s="534">
        <f>'More Comp Group'!O336*BU8</f>
        <v>2701800.2880000002</v>
      </c>
      <c r="N132" s="534">
        <f>'More Comp Group'!P336*BV8</f>
        <v>2567248.517</v>
      </c>
      <c r="O132" s="534">
        <f>'More Comp Group'!Q336*BW8</f>
        <v>2207382.3199999998</v>
      </c>
      <c r="P132" s="534">
        <f>'More Comp Group'!M340*BS8</f>
        <v>208577.07500000001</v>
      </c>
      <c r="Q132" s="534">
        <f>'More Comp Group'!N340*BT8</f>
        <v>226939.68</v>
      </c>
      <c r="R132" s="534">
        <f>'More Comp Group'!O340*BU8</f>
        <v>255570.87600000002</v>
      </c>
      <c r="S132" s="534">
        <f>'More Comp Group'!P340*BV8</f>
        <v>247663.19500000001</v>
      </c>
      <c r="T132" s="534">
        <f>'More Comp Group'!Q340*BW8</f>
        <v>131011.4</v>
      </c>
      <c r="U132" s="534">
        <f>'More Comp Group'!M339*BS8</f>
        <v>1835137.726</v>
      </c>
      <c r="V132" s="534">
        <f>'More Comp Group'!N339*BT8</f>
        <v>1719240</v>
      </c>
      <c r="W132" s="534">
        <f>'More Comp Group'!O339*BU8</f>
        <v>1809891.8640000001</v>
      </c>
      <c r="X132" s="534">
        <f>'More Comp Group'!P339*BV8</f>
        <v>1506852.456</v>
      </c>
      <c r="Y132" s="534">
        <f>'More Comp Group'!Q339*BW8</f>
        <v>1380412.8</v>
      </c>
      <c r="Z132" s="534">
        <f>'More Comp Group'!M334*BS8</f>
        <v>2968605.145</v>
      </c>
      <c r="AA132" s="534">
        <f>'More Comp Group'!N334*BT8</f>
        <v>2797891.176</v>
      </c>
      <c r="AB132" s="534">
        <f>'More Comp Group'!O334*BU8</f>
        <v>2789312.3280000002</v>
      </c>
      <c r="AC132" s="534">
        <f>'More Comp Group'!P334*BV8</f>
        <v>2315443.7970000003</v>
      </c>
      <c r="AD132" s="534">
        <f>'More Comp Group'!Q334*BW8</f>
        <v>1975715.8199999998</v>
      </c>
      <c r="AE132" s="538">
        <f t="shared" si="130"/>
        <v>6.6310852337053208E-2</v>
      </c>
      <c r="AF132" s="538">
        <f t="shared" si="131"/>
        <v>0.10696143664591828</v>
      </c>
      <c r="AG132" s="538">
        <f t="shared" si="132"/>
        <v>9.1625048021513639E-2</v>
      </c>
      <c r="AH132" s="538">
        <f t="shared" si="133"/>
        <v>0.22007514761137947</v>
      </c>
      <c r="AI132" s="538">
        <f t="shared" si="134"/>
        <v>0.30628969473468554</v>
      </c>
      <c r="AJ132" s="538">
        <f t="shared" si="135"/>
        <v>0.26094091903719913</v>
      </c>
      <c r="AK132" s="434"/>
      <c r="AL132" s="434"/>
      <c r="AM132" s="534">
        <f>'More Comp Group'!M344*BS8</f>
        <v>1133467.419</v>
      </c>
      <c r="AN132" s="534">
        <f>'More Comp Group'!N344*BT8</f>
        <v>1078651.176</v>
      </c>
      <c r="AO132" s="534">
        <f>'More Comp Group'!O344*BU8</f>
        <v>979420.46400000004</v>
      </c>
      <c r="AP132" s="534">
        <f>'More Comp Group'!P344*BV8</f>
        <v>808591.34100000001</v>
      </c>
      <c r="AQ132" s="534">
        <f>'More Comp Group'!Q344*BW8</f>
        <v>595303.02</v>
      </c>
      <c r="AR132" s="719">
        <f>'Long Term Debt'!C95*BS8</f>
        <v>468063.98300000001</v>
      </c>
      <c r="AS132" s="719">
        <f>'Long Term Debt'!D95*BT8</f>
        <v>496172.66399999999</v>
      </c>
      <c r="AT132" s="719">
        <f>'Long Term Debt'!E95*BU8</f>
        <v>335046.09600000002</v>
      </c>
      <c r="AU132" s="719">
        <f>'Long Term Debt'!F95*BV8</f>
        <v>318731.76400000002</v>
      </c>
      <c r="AV132" s="719">
        <f>'Long Term Debt'!G95*BW8</f>
        <v>306918.17</v>
      </c>
      <c r="AW132" s="553">
        <f t="shared" si="106"/>
        <v>0.42686100989068193</v>
      </c>
      <c r="AX132" s="553">
        <f t="shared" si="107"/>
        <v>0.77702702702702697</v>
      </c>
      <c r="AY132" s="553">
        <f t="shared" si="108"/>
        <v>0.76279317697228144</v>
      </c>
      <c r="AZ132" s="538">
        <f t="shared" si="109"/>
        <v>0.36455435269735498</v>
      </c>
      <c r="BA132" s="538">
        <f t="shared" si="110"/>
        <v>0.61263775043556101</v>
      </c>
      <c r="BB132" s="455">
        <f t="shared" si="111"/>
        <v>0.58657613365585215</v>
      </c>
    </row>
    <row r="133" spans="1:54" s="200" customFormat="1" ht="15" customHeight="1">
      <c r="A133" s="535">
        <v>2010</v>
      </c>
      <c r="B133" s="676"/>
      <c r="C133" s="411" t="s">
        <v>487</v>
      </c>
      <c r="D133" s="536"/>
      <c r="E133" s="536"/>
      <c r="F133" s="536"/>
      <c r="G133" s="536"/>
      <c r="H133" s="536"/>
      <c r="I133" s="536" t="s">
        <v>309</v>
      </c>
      <c r="J133" s="524" t="s">
        <v>548</v>
      </c>
      <c r="K133" s="534">
        <f>'More Comp Group'!V336*BS8</f>
        <v>784709.52289999998</v>
      </c>
      <c r="L133" s="534">
        <f>'More Comp Group'!W336*BT8</f>
        <v>700263.64439999999</v>
      </c>
      <c r="M133" s="534">
        <f>'More Comp Group'!X336*BU8</f>
        <v>658983.52080000006</v>
      </c>
      <c r="N133" s="534">
        <f>'More Comp Group'!Y336*BV8</f>
        <v>579183.98820000002</v>
      </c>
      <c r="O133" s="534">
        <f>'More Comp Group'!Z336*BW8</f>
        <v>530644.10100000002</v>
      </c>
      <c r="P133" s="534">
        <f>'More Comp Group'!V340*BS8</f>
        <v>70218.110799999995</v>
      </c>
      <c r="Q133" s="534">
        <f>'More Comp Group'!W340*BT8</f>
        <v>82128.094799999992</v>
      </c>
      <c r="R133" s="534">
        <f>'More Comp Group'!X340*BU8</f>
        <v>68241.531600000002</v>
      </c>
      <c r="S133" s="534">
        <f>'More Comp Group'!Y340*BV8</f>
        <v>12209.215700000001</v>
      </c>
      <c r="T133" s="534">
        <f>'More Comp Group'!Z340*BW8</f>
        <v>39750.775999999998</v>
      </c>
      <c r="U133" s="534">
        <f>'More Comp Group'!V339*BS8</f>
        <v>476696.51990000001</v>
      </c>
      <c r="V133" s="534">
        <f>'More Comp Group'!W339*BT8</f>
        <v>481748.24040000001</v>
      </c>
      <c r="W133" s="534">
        <f>'More Comp Group'!X339*BU8</f>
        <v>318347.37</v>
      </c>
      <c r="X133" s="534">
        <f>'More Comp Group'!Y339*BV8</f>
        <v>232687.4406</v>
      </c>
      <c r="Y133" s="534">
        <f>'More Comp Group'!Z339*BW8</f>
        <v>193129.976</v>
      </c>
      <c r="Z133" s="534">
        <f>'More Comp Group'!V334*BS8</f>
        <v>957445.39439999999</v>
      </c>
      <c r="AA133" s="534">
        <f>'More Comp Group'!W334*BT8</f>
        <v>886955.91599999997</v>
      </c>
      <c r="AB133" s="534">
        <f>'More Comp Group'!X334*BU8</f>
        <v>714276.84239999996</v>
      </c>
      <c r="AC133" s="534">
        <f>'More Comp Group'!Y334*BV8</f>
        <v>547559.30330000003</v>
      </c>
      <c r="AD133" s="534">
        <f>'More Comp Group'!Z334*BW8</f>
        <v>497124.35499999998</v>
      </c>
      <c r="AE133" s="538">
        <f t="shared" si="130"/>
        <v>7.9961433392254533E-2</v>
      </c>
      <c r="AF133" s="538">
        <f t="shared" si="131"/>
        <v>2.2297522161377183E-2</v>
      </c>
      <c r="AG133" s="538">
        <f t="shared" si="132"/>
        <v>9.5539330899634956E-2</v>
      </c>
      <c r="AH133" s="538">
        <f t="shared" si="133"/>
        <v>0.1307615493772008</v>
      </c>
      <c r="AI133" s="538">
        <f t="shared" si="134"/>
        <v>3.8775188088598943E-2</v>
      </c>
      <c r="AJ133" s="538">
        <f t="shared" si="135"/>
        <v>0.1723577969236321</v>
      </c>
      <c r="AK133" s="434"/>
      <c r="AL133" s="434"/>
      <c r="AM133" s="534">
        <f>'More Comp Group'!V344*BS8</f>
        <v>480748.87449999998</v>
      </c>
      <c r="AN133" s="534">
        <f>'More Comp Group'!W344*BT8</f>
        <v>405207.67559999996</v>
      </c>
      <c r="AO133" s="534">
        <f>'More Comp Group'!X344*BU8</f>
        <v>395929.47240000003</v>
      </c>
      <c r="AP133" s="534">
        <f>'More Comp Group'!Y344*BV8</f>
        <v>314871.8627</v>
      </c>
      <c r="AQ133" s="534">
        <f>'More Comp Group'!Z344*BW8</f>
        <v>303994.37900000002</v>
      </c>
      <c r="AR133" s="719">
        <f>'Long Term Debt'!C96*BS8</f>
        <v>199450.76380000002</v>
      </c>
      <c r="AS133" s="719">
        <f>'Long Term Debt'!D96*BT8</f>
        <v>292305.18479999999</v>
      </c>
      <c r="AT133" s="719">
        <f>'Long Term Debt'!E96*BU8</f>
        <v>104996.58840000001</v>
      </c>
      <c r="AU133" s="719">
        <f>'Long Term Debt'!F96*BV8</f>
        <v>48505.540800000002</v>
      </c>
      <c r="AV133" s="719">
        <f>'Long Term Debt'!G96*BW8</f>
        <v>64259.493999999999</v>
      </c>
      <c r="AW133" s="553">
        <f t="shared" si="106"/>
        <v>0.61859771258080554</v>
      </c>
      <c r="AX133" s="553">
        <f t="shared" si="107"/>
        <v>0.25170765027322406</v>
      </c>
      <c r="AY133" s="553">
        <f t="shared" si="108"/>
        <v>0.64994046606565736</v>
      </c>
      <c r="AZ133" s="538">
        <f t="shared" si="109"/>
        <v>0.32028311585012942</v>
      </c>
      <c r="BA133" s="538">
        <f t="shared" si="110"/>
        <v>0.12926166023470503</v>
      </c>
      <c r="BB133" s="455">
        <f t="shared" si="111"/>
        <v>0.38521250206581847</v>
      </c>
    </row>
    <row r="134" spans="1:54" s="200" customFormat="1" ht="15" customHeight="1">
      <c r="A134" s="535">
        <v>2010</v>
      </c>
      <c r="B134" s="676"/>
      <c r="C134" s="411" t="s">
        <v>487</v>
      </c>
      <c r="D134" s="536"/>
      <c r="E134" s="536"/>
      <c r="F134" s="536"/>
      <c r="G134" s="536"/>
      <c r="H134" s="536"/>
      <c r="I134" s="536" t="s">
        <v>309</v>
      </c>
      <c r="J134" s="524" t="s">
        <v>704</v>
      </c>
      <c r="K134" s="534">
        <f>'More Comp Group'!AE336*BS8</f>
        <v>218460.56354900001</v>
      </c>
      <c r="L134" s="534">
        <f>'More Comp Group'!AF336*BT8</f>
        <v>177594.74121599999</v>
      </c>
      <c r="M134" s="534">
        <f>'More Comp Group'!AG336*BU8</f>
        <v>177129.905436</v>
      </c>
      <c r="N134" s="534">
        <f>'More Comp Group'!AH336*BV8</f>
        <v>140144.89881400001</v>
      </c>
      <c r="O134" s="534">
        <f>'More Comp Group'!AI336*BW8</f>
        <v>138607.18534</v>
      </c>
      <c r="P134" s="534">
        <f>'More Comp Group'!AE340*BS8</f>
        <v>15263.244681</v>
      </c>
      <c r="Q134" s="534">
        <f>'More Comp Group'!AF340*BT8</f>
        <v>936.29810399999997</v>
      </c>
      <c r="R134" s="534">
        <f>'More Comp Group'!AG340*BU8</f>
        <v>3404.754144</v>
      </c>
      <c r="S134" s="534">
        <f>'More Comp Group'!AH340*BV8</f>
        <v>3031.0993170000002</v>
      </c>
      <c r="T134" s="534">
        <f>'More Comp Group'!AI340*BW8</f>
        <v>9816.1090299999996</v>
      </c>
      <c r="U134" s="534">
        <f>'More Comp Group'!AE339*BS8</f>
        <v>135935.383722</v>
      </c>
      <c r="V134" s="534">
        <f>'More Comp Group'!AF339*BT8</f>
        <v>108051.65514</v>
      </c>
      <c r="W134" s="534">
        <f>'More Comp Group'!AG339*BU8</f>
        <v>94960.92196800001</v>
      </c>
      <c r="X134" s="534">
        <f>'More Comp Group'!AH339*BV8</f>
        <v>108428.43772</v>
      </c>
      <c r="Y134" s="534">
        <f>'More Comp Group'!AI339*BW8</f>
        <v>80004.507960000003</v>
      </c>
      <c r="Z134" s="534">
        <f>'More Comp Group'!AE334*BS8</f>
        <v>195284.33030999999</v>
      </c>
      <c r="AA134" s="534">
        <f>'More Comp Group'!AF334*BT8</f>
        <v>152663.69812799999</v>
      </c>
      <c r="AB134" s="534">
        <f>'More Comp Group'!AG334*BU8</f>
        <v>142270.823772</v>
      </c>
      <c r="AC134" s="534">
        <f>'More Comp Group'!AH334*BV8</f>
        <v>150436.257117</v>
      </c>
      <c r="AD134" s="534">
        <f>'More Comp Group'!AI334*BW8</f>
        <v>121208.87142</v>
      </c>
      <c r="AE134" s="538">
        <f t="shared" si="130"/>
        <v>8.098507077082065E-2</v>
      </c>
      <c r="AF134" s="538">
        <f t="shared" si="131"/>
        <v>2.0148728604983828E-2</v>
      </c>
      <c r="AG134" s="538">
        <f t="shared" si="132"/>
        <v>2.3931499472136197E-2</v>
      </c>
      <c r="AH134" s="538">
        <f t="shared" si="133"/>
        <v>0.23822891907297042</v>
      </c>
      <c r="AI134" s="538">
        <f t="shared" si="134"/>
        <v>7.2155313158081547E-2</v>
      </c>
      <c r="AJ134" s="538">
        <f t="shared" si="135"/>
        <v>7.1967323271598868E-2</v>
      </c>
      <c r="AK134" s="434"/>
      <c r="AL134" s="434"/>
      <c r="AM134" s="534">
        <f>'More Comp Group'!AE344*BS8</f>
        <v>59348.606054000003</v>
      </c>
      <c r="AN134" s="534">
        <f>'More Comp Group'!AF344*BT8</f>
        <v>44612.042988000001</v>
      </c>
      <c r="AO134" s="534">
        <f>'More Comp Group'!AG344*BU8</f>
        <v>47309.723208000003</v>
      </c>
      <c r="AP134" s="534">
        <f>'More Comp Group'!AH344*BV8</f>
        <v>42007.985057999998</v>
      </c>
      <c r="AQ134" s="534">
        <f>'More Comp Group'!AI344*BW8</f>
        <v>41204.523229999999</v>
      </c>
      <c r="AR134" s="719">
        <f>'Long Term Debt'!C97*BS8</f>
        <v>79842.282707999999</v>
      </c>
      <c r="AS134" s="719">
        <f>'Long Term Debt'!D97*BT8</f>
        <v>60159.989927999995</v>
      </c>
      <c r="AT134" s="719">
        <f>'Long Term Debt'!E97*BU8</f>
        <v>57390.574428</v>
      </c>
      <c r="AU134" s="719">
        <f>'Long Term Debt'!F97*BV8</f>
        <v>53908.077332000001</v>
      </c>
      <c r="AV134" s="719">
        <f>'Long Term Debt'!G97*BW8</f>
        <v>53354.712189999998</v>
      </c>
      <c r="AW134" s="553">
        <f t="shared" si="106"/>
        <v>0.18397829595714291</v>
      </c>
      <c r="AX134" s="553">
        <f t="shared" si="107"/>
        <v>5.6227182771379051E-2</v>
      </c>
      <c r="AY134" s="553">
        <f t="shared" si="108"/>
        <v>5.9326016126070899E-2</v>
      </c>
      <c r="AZ134" s="538">
        <f t="shared" si="109"/>
        <v>0.20242057734881624</v>
      </c>
      <c r="BA134" s="538">
        <f t="shared" si="110"/>
        <v>6.0674966432613019E-2</v>
      </c>
      <c r="BB134" s="455">
        <f t="shared" si="111"/>
        <v>6.3529671358690365E-2</v>
      </c>
    </row>
    <row r="135" spans="1:54" s="684" customFormat="1" ht="15" customHeight="1">
      <c r="A135" s="535">
        <v>2016</v>
      </c>
      <c r="B135" s="676"/>
      <c r="C135" s="411" t="s">
        <v>487</v>
      </c>
      <c r="D135" s="536"/>
      <c r="E135" s="536"/>
      <c r="F135" s="536"/>
      <c r="G135" s="536"/>
      <c r="H135" s="536"/>
      <c r="I135" s="536" t="s">
        <v>1031</v>
      </c>
      <c r="J135" s="524" t="s">
        <v>1070</v>
      </c>
      <c r="K135" s="534">
        <f>'More Comp Group'!D951*BM8</f>
        <v>56122.586197999997</v>
      </c>
      <c r="L135" s="534">
        <f>'More Comp Group'!E951*BN8</f>
        <v>27516.913098000001</v>
      </c>
      <c r="M135" s="534">
        <f>'More Comp Group'!F951*BO8</f>
        <v>32942.300732000003</v>
      </c>
      <c r="N135" s="534">
        <f>'More Comp Group'!G951*BP8</f>
        <v>29300.848148000001</v>
      </c>
      <c r="O135" s="534">
        <f>'More Comp Group'!H951*BQ8</f>
        <v>25838.511096000002</v>
      </c>
      <c r="P135" s="534">
        <f>'More Comp Group'!D955*BM8</f>
        <v>-1093.4625169999999</v>
      </c>
      <c r="Q135" s="534">
        <f>'More Comp Group'!E955*BN8</f>
        <v>-8244.021084</v>
      </c>
      <c r="R135" s="534">
        <f>'More Comp Group'!F955*BO8</f>
        <v>-1414.777276</v>
      </c>
      <c r="S135" s="534">
        <f>'More Comp Group'!G955*BP8</f>
        <v>-892.89750000000004</v>
      </c>
      <c r="T135" s="534">
        <f>'More Comp Group'!H955*BQ8</f>
        <v>-12656.641783999999</v>
      </c>
      <c r="U135" s="534">
        <f>'More Comp Group'!D954*BM8</f>
        <v>25230.934106000001</v>
      </c>
      <c r="V135" s="534">
        <f>'More Comp Group'!E954*BN8</f>
        <v>14255.711646</v>
      </c>
      <c r="W135" s="534">
        <f>'More Comp Group'!F954*BO8</f>
        <v>8935.8814600000005</v>
      </c>
      <c r="X135" s="534">
        <f>'More Comp Group'!G954*BP8</f>
        <v>14862.695573000001</v>
      </c>
      <c r="Y135" s="534">
        <f>'More Comp Group'!H954*BQ8</f>
        <v>55355.105600000003</v>
      </c>
      <c r="Z135" s="534">
        <f>'More Comp Group'!D949*BM8</f>
        <v>37908.936709000001</v>
      </c>
      <c r="AA135" s="534">
        <f>'More Comp Group'!E949*BN8</f>
        <v>29743.956942000001</v>
      </c>
      <c r="AB135" s="534">
        <f>'More Comp Group'!F949*BO8</f>
        <v>32599.683952000003</v>
      </c>
      <c r="AC135" s="534">
        <f>'More Comp Group'!G949*BP8</f>
        <v>35753.520748000003</v>
      </c>
      <c r="AD135" s="534">
        <f>'More Comp Group'!H949*BQ8</f>
        <v>65389.833427999998</v>
      </c>
      <c r="AE135" s="538">
        <f t="shared" ref="AE135:AE137" si="148">T135/AD135</f>
        <v>-0.19355672159550741</v>
      </c>
      <c r="AF135" s="538">
        <f t="shared" ref="AF135:AF137" si="149">S135/AC135</f>
        <v>-2.4973694375258062E-2</v>
      </c>
      <c r="AG135" s="538">
        <f t="shared" ref="AG135:AG137" si="150">R135/AB135</f>
        <v>-4.3398496687364445E-2</v>
      </c>
      <c r="AH135" s="538">
        <f t="shared" ref="AH135:AH137" si="151">T135/AQ135</f>
        <v>-1.2612840129738294</v>
      </c>
      <c r="AI135" s="538">
        <f t="shared" ref="AI135:AI137" si="152">S135/AP135</f>
        <v>-4.2740887642754563E-2</v>
      </c>
      <c r="AJ135" s="538">
        <f t="shared" ref="AJ135:AJ137" si="153">R135/AO135</f>
        <v>-5.9786251106347492E-2</v>
      </c>
      <c r="AK135" s="434"/>
      <c r="AL135" s="434"/>
      <c r="AM135" s="534">
        <f>'More Comp Group'!D959*BM8</f>
        <v>12678.230004999999</v>
      </c>
      <c r="AN135" s="534">
        <f>'More Comp Group'!E959*BN8</f>
        <v>15488.491188</v>
      </c>
      <c r="AO135" s="534">
        <f>'More Comp Group'!F959*BO8</f>
        <v>23663.923558000002</v>
      </c>
      <c r="AP135" s="534">
        <f>'More Comp Group'!G959*BP8</f>
        <v>20890.944228</v>
      </c>
      <c r="AQ135" s="534">
        <f>'More Comp Group'!H959*BQ8</f>
        <v>10034.727828000001</v>
      </c>
      <c r="AR135" s="719">
        <f>'More Comp Group'!D957*BM8</f>
        <v>4253.0996059999998</v>
      </c>
      <c r="AS135" s="719">
        <f>'More Comp Group'!E957*BN8</f>
        <v>4236.5962140000001</v>
      </c>
      <c r="AT135" s="719">
        <f>'More Comp Group'!F957*BO8</f>
        <v>2398.9227900000001</v>
      </c>
      <c r="AU135" s="719">
        <f>'More Comp Group'!G957*BP8</f>
        <v>440.257994</v>
      </c>
      <c r="AV135" s="719">
        <f>'More Comp Group'!H957*BQ8</f>
        <v>470.69231400000001</v>
      </c>
      <c r="AW135" s="553">
        <f t="shared" ref="AW135:AW137" si="154">T135/AV135</f>
        <v>-26.889416732647135</v>
      </c>
      <c r="AX135" s="553">
        <f t="shared" ref="AX135:AX137" si="155">S135/AU135</f>
        <v>-2.028123309897242</v>
      </c>
      <c r="AY135" s="553">
        <f t="shared" ref="AY135:AY137" si="156">R135/AT135</f>
        <v>-0.58975523593237444</v>
      </c>
      <c r="AZ135" s="538">
        <f t="shared" ref="AZ135:AZ137" si="157">((AQ135/(AQ135+Y135))*AH135)+(Y135/(AQ135+Y135))*AW135</f>
        <v>-22.956521921637233</v>
      </c>
      <c r="BA135" s="538">
        <f t="shared" ref="BA135:BA137" si="158">((AP135/(AP135+X135))*AI135)+(X135/(AP135+X135))*AX135</f>
        <v>-0.86805922452236017</v>
      </c>
      <c r="BB135" s="455">
        <f t="shared" ref="BB135:BB137" si="159">((AO135/(AO135+W135))*AJ135)+(W135/(AO135+W135))*AY135</f>
        <v>-0.20505521891971554</v>
      </c>
    </row>
    <row r="136" spans="1:54" s="684" customFormat="1" ht="15" customHeight="1">
      <c r="A136" s="535">
        <v>2016</v>
      </c>
      <c r="B136" s="676"/>
      <c r="C136" s="411" t="s">
        <v>487</v>
      </c>
      <c r="D136" s="536"/>
      <c r="E136" s="536"/>
      <c r="F136" s="536"/>
      <c r="G136" s="536"/>
      <c r="H136" s="536"/>
      <c r="I136" s="536" t="s">
        <v>1031</v>
      </c>
      <c r="J136" s="524" t="s">
        <v>1071</v>
      </c>
      <c r="K136" s="534">
        <f>'More Comp Group'!D966*BM8</f>
        <v>2738033.781</v>
      </c>
      <c r="L136" s="534">
        <f>'More Comp Group'!E966*BN8</f>
        <v>1768086.426</v>
      </c>
      <c r="M136" s="534">
        <f>'More Comp Group'!F966*BO8</f>
        <v>1754246.34</v>
      </c>
      <c r="N136" s="534">
        <f>'More Comp Group'!G966*BP8</f>
        <v>1886394.7850000001</v>
      </c>
      <c r="O136" s="534">
        <f>'More Comp Group'!H966*BQ8</f>
        <v>2115817.2319999998</v>
      </c>
      <c r="P136" s="534">
        <f>'More Comp Group'!D970*BM8</f>
        <v>81523.616999999998</v>
      </c>
      <c r="Q136" s="534">
        <f>'More Comp Group'!E970*BN8</f>
        <v>86553.983999999997</v>
      </c>
      <c r="R136" s="534">
        <f>'More Comp Group'!F970*BO8</f>
        <v>67675.894</v>
      </c>
      <c r="S136" s="534">
        <f>'More Comp Group'!G970*BP8</f>
        <v>77503.502999999997</v>
      </c>
      <c r="T136" s="534">
        <f>'More Comp Group'!H970*BQ8</f>
        <v>93790.63</v>
      </c>
      <c r="U136" s="534">
        <f>'More Comp Group'!D969*BM8</f>
        <v>3025811.0120000001</v>
      </c>
      <c r="V136" s="534">
        <f>'More Comp Group'!E969*BN8</f>
        <v>1848124.2719999999</v>
      </c>
      <c r="W136" s="534">
        <f>'More Comp Group'!F969*BO8</f>
        <v>1631727.5480000002</v>
      </c>
      <c r="X136" s="534">
        <f>'More Comp Group'!G969*BP8</f>
        <v>1722815.963</v>
      </c>
      <c r="Y136" s="534">
        <f>'More Comp Group'!H969*BQ8</f>
        <v>1614192.6440000001</v>
      </c>
      <c r="Z136" s="534">
        <f>'More Comp Group'!D964*BM8</f>
        <v>4482320.8219999997</v>
      </c>
      <c r="AA136" s="534">
        <f>'More Comp Group'!E964*BN8</f>
        <v>3400440.4679999999</v>
      </c>
      <c r="AB136" s="534">
        <f>'More Comp Group'!F964*BO8</f>
        <v>2523378.6380000003</v>
      </c>
      <c r="AC136" s="534">
        <f>'More Comp Group'!G964*BP8</f>
        <v>2523447.3880000003</v>
      </c>
      <c r="AD136" s="534">
        <f>'More Comp Group'!H964*BQ8</f>
        <v>2375201.12</v>
      </c>
      <c r="AE136" s="538">
        <f t="shared" si="148"/>
        <v>3.9487447698744772E-2</v>
      </c>
      <c r="AF136" s="538">
        <f t="shared" si="149"/>
        <v>3.0713342140026415E-2</v>
      </c>
      <c r="AG136" s="538">
        <f t="shared" si="150"/>
        <v>2.6819555726143068E-2</v>
      </c>
      <c r="AH136" s="538">
        <f t="shared" si="151"/>
        <v>0.12322506936510527</v>
      </c>
      <c r="AI136" s="538">
        <f t="shared" si="152"/>
        <v>9.6802973977695161E-2</v>
      </c>
      <c r="AJ136" s="538">
        <f t="shared" si="153"/>
        <v>7.5899524779361835E-2</v>
      </c>
      <c r="AK136" s="434"/>
      <c r="AL136" s="434"/>
      <c r="AM136" s="534">
        <f>'More Comp Group'!D974*BM8</f>
        <v>1456509.81</v>
      </c>
      <c r="AN136" s="534">
        <f>'More Comp Group'!E974*BN8</f>
        <v>1552316.196</v>
      </c>
      <c r="AO136" s="534">
        <f>'More Comp Group'!F974*BO8</f>
        <v>891651.09000000008</v>
      </c>
      <c r="AP136" s="534">
        <f>'More Comp Group'!G974*BP8</f>
        <v>800631.42500000005</v>
      </c>
      <c r="AQ136" s="534">
        <f>'More Comp Group'!H974*BQ8</f>
        <v>761132.70200000005</v>
      </c>
      <c r="AR136" s="719">
        <f>'More Comp Group'!D972*BM8</f>
        <v>886981.50099999993</v>
      </c>
      <c r="AS136" s="719">
        <f>'More Comp Group'!E972*BN8</f>
        <v>736446.54</v>
      </c>
      <c r="AT136" s="719">
        <f>'More Comp Group'!F972*BO8</f>
        <v>656177.72000000009</v>
      </c>
      <c r="AU136" s="719">
        <f>'More Comp Group'!G972*BP8</f>
        <v>672649.45000000007</v>
      </c>
      <c r="AV136" s="719">
        <f>'More Comp Group'!H972*BQ8</f>
        <v>313670.65000000002</v>
      </c>
      <c r="AW136" s="553">
        <f t="shared" si="154"/>
        <v>0.299009900990099</v>
      </c>
      <c r="AX136" s="553">
        <f t="shared" si="155"/>
        <v>0.11522123893805308</v>
      </c>
      <c r="AY136" s="553">
        <f t="shared" si="156"/>
        <v>0.10313653136531364</v>
      </c>
      <c r="AZ136" s="538">
        <f t="shared" si="157"/>
        <v>0.24268263445768248</v>
      </c>
      <c r="BA136" s="538">
        <f t="shared" si="158"/>
        <v>0.10937754994680912</v>
      </c>
      <c r="BB136" s="455">
        <f t="shared" si="159"/>
        <v>9.3512170500489239E-2</v>
      </c>
    </row>
    <row r="137" spans="1:54" s="684" customFormat="1" ht="15" customHeight="1">
      <c r="A137" s="535">
        <v>2016</v>
      </c>
      <c r="B137" s="676"/>
      <c r="C137" s="411" t="s">
        <v>487</v>
      </c>
      <c r="D137" s="536"/>
      <c r="E137" s="536"/>
      <c r="F137" s="536"/>
      <c r="G137" s="536"/>
      <c r="H137" s="536"/>
      <c r="I137" s="536" t="s">
        <v>1031</v>
      </c>
      <c r="J137" s="524" t="s">
        <v>657</v>
      </c>
      <c r="K137" s="534">
        <f>'More Comp Group'!D981*BM8</f>
        <v>30314.278414</v>
      </c>
      <c r="L137" s="534">
        <f>'More Comp Group'!E981*BN8</f>
        <v>27086.233260000001</v>
      </c>
      <c r="M137" s="534">
        <f>'More Comp Group'!F981*BO8</f>
        <v>25549.526508000003</v>
      </c>
      <c r="N137" s="534">
        <f>'More Comp Group'!G981*BP8</f>
        <v>367481.60941800004</v>
      </c>
      <c r="O137" s="534">
        <f>'More Comp Group'!H981*BQ8</f>
        <v>379043.712918</v>
      </c>
      <c r="P137" s="534">
        <f>'More Comp Group'!D985*BM8</f>
        <v>5568.6201759999994</v>
      </c>
      <c r="Q137" s="534">
        <f>'More Comp Group'!E985*BN8</f>
        <v>1452.60699</v>
      </c>
      <c r="R137" s="534">
        <f>'More Comp Group'!F985*BO8</f>
        <v>992.49906800000008</v>
      </c>
      <c r="S137" s="534">
        <f>'More Comp Group'!G985*BP8</f>
        <v>-15128.302816000001</v>
      </c>
      <c r="T137" s="534">
        <f>'More Comp Group'!H985*BQ8</f>
        <v>-4989.2888380000004</v>
      </c>
      <c r="U137" s="534">
        <f>'More Comp Group'!D984*BM8</f>
        <v>20750.091397</v>
      </c>
      <c r="V137" s="534">
        <f>'More Comp Group'!E984*BN8</f>
        <v>233819.31753</v>
      </c>
      <c r="W137" s="534">
        <f>'More Comp Group'!F984*BO8</f>
        <v>208357.24945200002</v>
      </c>
      <c r="X137" s="534">
        <f>'More Comp Group'!G984*BP8</f>
        <v>185579.81640000001</v>
      </c>
      <c r="Y137" s="534">
        <f>'More Comp Group'!H984*BQ8</f>
        <v>269686.819762</v>
      </c>
      <c r="Z137" s="534">
        <f>'More Comp Group'!D979*BM8</f>
        <v>47304.277740999998</v>
      </c>
      <c r="AA137" s="534">
        <f>'More Comp Group'!E979*BN8</f>
        <v>297041.83911</v>
      </c>
      <c r="AB137" s="534">
        <f>'More Comp Group'!F979*BO8</f>
        <v>281900.12287800002</v>
      </c>
      <c r="AC137" s="534">
        <f>'More Comp Group'!G979*BP8</f>
        <v>258967.06192500002</v>
      </c>
      <c r="AD137" s="534">
        <f>'More Comp Group'!H979*BQ8</f>
        <v>375846.13567799999</v>
      </c>
      <c r="AE137" s="538">
        <f t="shared" si="148"/>
        <v>-1.3274817443578805E-2</v>
      </c>
      <c r="AF137" s="538">
        <f t="shared" si="149"/>
        <v>-5.8417864818581987E-2</v>
      </c>
      <c r="AG137" s="538">
        <f t="shared" si="150"/>
        <v>3.5207471989273701E-3</v>
      </c>
      <c r="AH137" s="538">
        <f t="shared" si="151"/>
        <v>-4.6998125364219968E-2</v>
      </c>
      <c r="AI137" s="538">
        <f t="shared" si="152"/>
        <v>-0.20614281983105864</v>
      </c>
      <c r="AJ137" s="538">
        <f t="shared" si="153"/>
        <v>1.3495516584603785E-2</v>
      </c>
      <c r="AK137" s="434"/>
      <c r="AL137" s="434"/>
      <c r="AM137" s="534">
        <f>'More Comp Group'!D989*BM8</f>
        <v>26554.300045</v>
      </c>
      <c r="AN137" s="534">
        <f>'More Comp Group'!E989*BN8</f>
        <v>63222.644525999996</v>
      </c>
      <c r="AO137" s="534">
        <f>'More Comp Group'!F989*BO8</f>
        <v>73542.873426000006</v>
      </c>
      <c r="AP137" s="534">
        <f>'More Comp Group'!G989*BP8</f>
        <v>73387.48363100001</v>
      </c>
      <c r="AQ137" s="534">
        <f>'More Comp Group'!H989*BQ8</f>
        <v>106159.31591600001</v>
      </c>
      <c r="AR137" s="719">
        <f>'More Comp Group'!D987*BM8</f>
        <v>76.748175000000003</v>
      </c>
      <c r="AS137" s="719">
        <f>'More Comp Group'!E987*BN8</f>
        <v>0</v>
      </c>
      <c r="AT137" s="719">
        <f>'More Comp Group'!F987*BO8</f>
        <v>0</v>
      </c>
      <c r="AU137" s="719">
        <f>'More Comp Group'!G987*BP8</f>
        <v>37870.759300000005</v>
      </c>
      <c r="AV137" s="719">
        <f>'More Comp Group'!H987*BQ8</f>
        <v>6407.7013059999999</v>
      </c>
      <c r="AW137" s="553">
        <f t="shared" si="154"/>
        <v>-0.77863942149241006</v>
      </c>
      <c r="AX137" s="553">
        <f t="shared" si="155"/>
        <v>-0.39947186419364977</v>
      </c>
      <c r="AY137" s="553" t="e">
        <f t="shared" si="156"/>
        <v>#DIV/0!</v>
      </c>
      <c r="AZ137" s="538">
        <f t="shared" si="157"/>
        <v>-0.57198427163234289</v>
      </c>
      <c r="BA137" s="538">
        <f t="shared" si="158"/>
        <v>-0.34468528659540415</v>
      </c>
      <c r="BB137" s="455" t="e">
        <f t="shared" si="159"/>
        <v>#DIV/0!</v>
      </c>
    </row>
    <row r="138" spans="1:54" s="684" customFormat="1" ht="15" customHeight="1">
      <c r="A138" s="535">
        <v>2016</v>
      </c>
      <c r="B138" s="676"/>
      <c r="C138" s="411" t="s">
        <v>487</v>
      </c>
      <c r="D138" s="536"/>
      <c r="E138" s="536"/>
      <c r="F138" s="536"/>
      <c r="G138" s="536"/>
      <c r="H138" s="536"/>
      <c r="I138" s="536" t="s">
        <v>1031</v>
      </c>
      <c r="J138" s="524" t="s">
        <v>1079</v>
      </c>
      <c r="K138" s="534">
        <f>'More Comp Group'!D997*BM8</f>
        <v>128716.240359</v>
      </c>
      <c r="L138" s="534">
        <f>'More Comp Group'!E997*BN8</f>
        <v>130828.559844</v>
      </c>
      <c r="M138" s="534">
        <f>'More Comp Group'!F997*BO8</f>
        <v>95578.338218000004</v>
      </c>
      <c r="N138" s="534">
        <f>'More Comp Group'!G997*BP8</f>
        <v>68276.657394000009</v>
      </c>
      <c r="O138" s="534">
        <f>'More Comp Group'!H997*BQ8</f>
        <v>7007.5886600000003</v>
      </c>
      <c r="P138" s="534">
        <f>'More Comp Group'!D1001*BM8</f>
        <v>-7314.4990309999994</v>
      </c>
      <c r="Q138" s="534">
        <f>'More Comp Group'!E1001*BN8</f>
        <v>2622.4381800000001</v>
      </c>
      <c r="R138" s="534">
        <f>'More Comp Group'!F1001*BO8</f>
        <v>-5771.9426160000003</v>
      </c>
      <c r="S138" s="534">
        <f>'More Comp Group'!G1001*BP8</f>
        <v>-5321.6691000000001</v>
      </c>
      <c r="T138" s="534">
        <f>'More Comp Group'!H1001*BQ8</f>
        <v>-6950.5689259999999</v>
      </c>
      <c r="U138" s="534">
        <f>'More Comp Group'!D1000*BM8</f>
        <v>41071.188921000001</v>
      </c>
      <c r="V138" s="534">
        <f>'More Comp Group'!E1000*BN8</f>
        <v>33708.842495999997</v>
      </c>
      <c r="W138" s="534">
        <f>'More Comp Group'!F1000*BO8</f>
        <v>38180.100156</v>
      </c>
      <c r="X138" s="534">
        <f>'More Comp Group'!G1000*BP8</f>
        <v>29538.716042</v>
      </c>
      <c r="Y138" s="534">
        <f>'More Comp Group'!H1000*BQ8</f>
        <v>1469.3451279999999</v>
      </c>
      <c r="Z138" s="534">
        <f>'More Comp Group'!D995*BM8</f>
        <v>92915.433890999993</v>
      </c>
      <c r="AA138" s="534">
        <f>'More Comp Group'!E995*BN8</f>
        <v>96875.792484000005</v>
      </c>
      <c r="AB138" s="534">
        <f>'More Comp Group'!F995*BO8</f>
        <v>92673.238482000001</v>
      </c>
      <c r="AC138" s="534">
        <f>'More Comp Group'!G995*BP8</f>
        <v>60527.616677000005</v>
      </c>
      <c r="AD138" s="534">
        <f>'More Comp Group'!H995*BQ8</f>
        <v>4566.5477600000004</v>
      </c>
      <c r="AE138" s="538">
        <f t="shared" ref="AE138" si="160">T138/AD138</f>
        <v>-1.5220620239390641</v>
      </c>
      <c r="AF138" s="538">
        <f t="shared" ref="AF138" si="161">S138/AC138</f>
        <v>-8.7921338922009637E-2</v>
      </c>
      <c r="AG138" s="538">
        <f t="shared" ref="AG138" si="162">R138/AB138</f>
        <v>-6.2282733511261609E-2</v>
      </c>
      <c r="AH138" s="538">
        <f t="shared" ref="AH138" si="163">T138/AQ138</f>
        <v>-2.2441440718755015</v>
      </c>
      <c r="AI138" s="538">
        <f t="shared" ref="AI138" si="164">S138/AP138</f>
        <v>-0.17172823142972396</v>
      </c>
      <c r="AJ138" s="538">
        <f t="shared" ref="AJ138" si="165">R138/AO138</f>
        <v>-0.10592077492168582</v>
      </c>
      <c r="AK138" s="434"/>
      <c r="AL138" s="434"/>
      <c r="AM138" s="534">
        <f>'More Comp Group'!D1005*BM8</f>
        <v>51844.131268999998</v>
      </c>
      <c r="AN138" s="534">
        <f>'More Comp Group'!E1005*BN8</f>
        <v>63167.072934000003</v>
      </c>
      <c r="AO138" s="534">
        <f>'More Comp Group'!F1005*BO8</f>
        <v>54493.017260000001</v>
      </c>
      <c r="AP138" s="534">
        <f>'More Comp Group'!G1005*BP8</f>
        <v>30988.900635000002</v>
      </c>
      <c r="AQ138" s="534">
        <f>'More Comp Group'!H1005*BQ8</f>
        <v>3097.202632</v>
      </c>
      <c r="AR138" s="719">
        <f>'More Comp Group'!D1003*BM8</f>
        <v>393.40546000000001</v>
      </c>
      <c r="AS138" s="719">
        <f>'More Comp Group'!E1003*BN8</f>
        <v>416.41810199999998</v>
      </c>
      <c r="AT138" s="719">
        <f>'More Comp Group'!F1003*BO8</f>
        <v>468.52542000000005</v>
      </c>
      <c r="AU138" s="719">
        <f>'More Comp Group'!G1003*BP8</f>
        <v>519.42823900000008</v>
      </c>
      <c r="AV138" s="719">
        <f>'More Comp Group'!H1003*BQ8</f>
        <v>975.422552</v>
      </c>
      <c r="AW138" s="553">
        <f t="shared" ref="AW138" si="166">T138/AV138</f>
        <v>-7.1257004584819157</v>
      </c>
      <c r="AX138" s="553">
        <f t="shared" ref="AX138" si="167">S138/AU138</f>
        <v>-10.245244098097638</v>
      </c>
      <c r="AY138" s="553">
        <f t="shared" ref="AY138" si="168">R138/AT138</f>
        <v>-12.31937984496124</v>
      </c>
      <c r="AZ138" s="538">
        <f t="shared" ref="AZ138" si="169">((AQ138/(AQ138+Y138))*AH138)+(Y138/(AQ138+Y138))*AW138</f>
        <v>-3.8148472530719295</v>
      </c>
      <c r="BA138" s="538">
        <f t="shared" ref="BA138" si="170">((AP138/(AP138+X138))*AI138)+(X138/(AP138+X138))*AX138</f>
        <v>-5.0878101964272808</v>
      </c>
      <c r="BB138" s="455">
        <f t="shared" ref="BB138" si="171">((AO138/(AO138+W138))*AJ138)+(W138/(AO138+W138))*AY138</f>
        <v>-5.1377045709937956</v>
      </c>
    </row>
    <row r="139" spans="1:54" s="200" customFormat="1" ht="15" customHeight="1">
      <c r="A139" s="535">
        <v>2016</v>
      </c>
      <c r="B139" s="676"/>
      <c r="C139" s="411" t="s">
        <v>487</v>
      </c>
      <c r="D139" s="536"/>
      <c r="E139" s="536"/>
      <c r="F139" s="536"/>
      <c r="G139" s="536"/>
      <c r="H139" s="536"/>
      <c r="I139" s="536" t="s">
        <v>1031</v>
      </c>
      <c r="J139" s="524" t="s">
        <v>736</v>
      </c>
      <c r="K139" s="534">
        <f>'More Comp Group'!M353*BM8</f>
        <v>41401.490325999999</v>
      </c>
      <c r="L139" s="534">
        <f>'More Comp Group'!N353*BN8</f>
        <v>37296.652668000002</v>
      </c>
      <c r="M139" s="534">
        <f>'More Comp Group'!O353*BO8</f>
        <v>78652.100758</v>
      </c>
      <c r="N139" s="534">
        <f>'More Comp Group'!P353*BP8</f>
        <v>85515.293688000005</v>
      </c>
      <c r="O139" s="534">
        <f>'More Comp Group'!Q353*BQ8</f>
        <v>145590.76015799999</v>
      </c>
      <c r="P139" s="534">
        <f>'More Comp Group'!M357*BM8</f>
        <v>1053.7808680000001</v>
      </c>
      <c r="Q139" s="534">
        <f>'More Comp Group'!N357*BN8</f>
        <v>-17750.574642</v>
      </c>
      <c r="R139" s="534">
        <f>'More Comp Group'!O357*BO8</f>
        <v>-4096.7523740000006</v>
      </c>
      <c r="S139" s="534">
        <f>'More Comp Group'!P357*BP8</f>
        <v>3388.9626980000003</v>
      </c>
      <c r="T139" s="534">
        <f>'More Comp Group'!Q357*BQ8</f>
        <v>-8984.5212240000001</v>
      </c>
      <c r="U139" s="534">
        <f>'More Comp Group'!M356*BM8</f>
        <v>23103.474695000001</v>
      </c>
      <c r="V139" s="534">
        <f>'More Comp Group'!N356*BN8</f>
        <v>33626.960460000002</v>
      </c>
      <c r="W139" s="534">
        <f>'More Comp Group'!O356*BO8</f>
        <v>49849.046566000005</v>
      </c>
      <c r="X139" s="534">
        <f>'More Comp Group'!P356*BP8</f>
        <v>56702.205680999999</v>
      </c>
      <c r="Y139" s="534">
        <f>'More Comp Group'!Q356*BQ8</f>
        <v>89464.45955</v>
      </c>
      <c r="Z139" s="534">
        <f>'More Comp Group'!M351*BM8</f>
        <v>25666.408936</v>
      </c>
      <c r="AA139" s="534">
        <f>'More Comp Group'!N351*BN8</f>
        <v>35193.784284000001</v>
      </c>
      <c r="AB139" s="534">
        <f>'More Comp Group'!O351*BO8</f>
        <v>71126.638198000001</v>
      </c>
      <c r="AC139" s="534">
        <f>'More Comp Group'!P351*BP8</f>
        <v>82115.140008000002</v>
      </c>
      <c r="AD139" s="534">
        <f>'More Comp Group'!Q351*BQ8</f>
        <v>112109.368638</v>
      </c>
      <c r="AE139" s="538">
        <f t="shared" si="130"/>
        <v>-8.0140681667835695E-2</v>
      </c>
      <c r="AF139" s="538">
        <f t="shared" si="131"/>
        <v>4.1270863054849977E-2</v>
      </c>
      <c r="AG139" s="538">
        <f t="shared" si="132"/>
        <v>-5.7598003754874449E-2</v>
      </c>
      <c r="AH139" s="538">
        <f t="shared" si="133"/>
        <v>-0.39675678047924162</v>
      </c>
      <c r="AI139" s="538">
        <f t="shared" si="134"/>
        <v>0.13335582008722988</v>
      </c>
      <c r="AJ139" s="538">
        <f t="shared" si="135"/>
        <v>-0.19253834949246668</v>
      </c>
      <c r="AK139" s="434"/>
      <c r="AL139" s="434"/>
      <c r="AM139" s="534">
        <f>'More Comp Group'!M361*BM8</f>
        <v>2562.9342409999999</v>
      </c>
      <c r="AN139" s="534">
        <f>'More Comp Group'!N361*BN8</f>
        <v>1566.8238240000001</v>
      </c>
      <c r="AO139" s="534">
        <f>'More Comp Group'!O361*BO8</f>
        <v>21277.591632</v>
      </c>
      <c r="AP139" s="534">
        <f>'More Comp Group'!P361*BP8</f>
        <v>25412.934327000003</v>
      </c>
      <c r="AQ139" s="534">
        <f>'More Comp Group'!Q361*BQ8</f>
        <v>22644.909088</v>
      </c>
      <c r="AR139" s="719">
        <f>'Long Term Debt'!C98*BM8</f>
        <v>1284.9350010000001</v>
      </c>
      <c r="AS139" s="719">
        <f>'Long Term Debt'!D98*BN8</f>
        <v>463.26052800000002</v>
      </c>
      <c r="AT139" s="719">
        <f>'Long Term Debt'!E98*BO8</f>
        <v>14638.937522</v>
      </c>
      <c r="AU139" s="719">
        <f>'Long Term Debt'!F98*BP8</f>
        <v>22606.140799000001</v>
      </c>
      <c r="AV139" s="719">
        <f>'Long Term Debt'!G98*BQ8</f>
        <v>35546.151866</v>
      </c>
      <c r="AW139" s="553">
        <f t="shared" si="106"/>
        <v>-0.25275650815507039</v>
      </c>
      <c r="AX139" s="553">
        <f t="shared" si="107"/>
        <v>0.14991336770537647</v>
      </c>
      <c r="AY139" s="553">
        <f t="shared" si="108"/>
        <v>-0.27985312238973847</v>
      </c>
      <c r="AZ139" s="538">
        <f t="shared" si="109"/>
        <v>-0.28184304316141251</v>
      </c>
      <c r="BA139" s="538">
        <f t="shared" si="110"/>
        <v>0.14478914980603241</v>
      </c>
      <c r="BB139" s="455">
        <f t="shared" si="111"/>
        <v>-0.25373283710397598</v>
      </c>
    </row>
    <row r="140" spans="1:54" s="200" customFormat="1" ht="15" customHeight="1">
      <c r="A140" s="535">
        <v>2016</v>
      </c>
      <c r="B140" s="676"/>
      <c r="C140" s="411" t="s">
        <v>487</v>
      </c>
      <c r="D140" s="536"/>
      <c r="E140" s="536"/>
      <c r="F140" s="536"/>
      <c r="G140" s="536"/>
      <c r="H140" s="536"/>
      <c r="I140" s="536" t="s">
        <v>1031</v>
      </c>
      <c r="J140" s="524" t="s">
        <v>730</v>
      </c>
      <c r="K140" s="534">
        <f>'More Comp Group'!V352*BM8</f>
        <v>5002161.7939999998</v>
      </c>
      <c r="L140" s="534">
        <f>'More Comp Group'!W352*BN8</f>
        <v>5020745.8020000001</v>
      </c>
      <c r="M140" s="534">
        <f>'More Comp Group'!X352*BO8</f>
        <v>4789492.0260000005</v>
      </c>
      <c r="N140" s="534">
        <f>'More Comp Group'!Y352*BP8</f>
        <v>4495203.1740000006</v>
      </c>
      <c r="O140" s="534">
        <f>'More Comp Group'!Z352*BQ8</f>
        <v>4124054.7480000001</v>
      </c>
      <c r="P140" s="534">
        <f>'More Comp Group'!V356*BM8</f>
        <v>443206.49799999996</v>
      </c>
      <c r="Q140" s="534">
        <f>'More Comp Group'!W356*BN8</f>
        <v>412360.88400000002</v>
      </c>
      <c r="R140" s="534">
        <f>'More Comp Group'!X356*BO8</f>
        <v>1048068.3620000001</v>
      </c>
      <c r="S140" s="534">
        <f>'More Comp Group'!Y356*BP8</f>
        <v>520856.875</v>
      </c>
      <c r="T140" s="534">
        <f>'More Comp Group'!Z356*BQ8</f>
        <v>416281.326</v>
      </c>
      <c r="U140" s="534">
        <f>'More Comp Group'!V355*BM8</f>
        <v>2558386.2009999999</v>
      </c>
      <c r="V140" s="534">
        <f>'More Comp Group'!W355*BN8</f>
        <v>2265771.8339999998</v>
      </c>
      <c r="W140" s="534">
        <f>'More Comp Group'!X355*BO8</f>
        <v>2248195.62</v>
      </c>
      <c r="X140" s="534">
        <f>'More Comp Group'!Y355*BP8</f>
        <v>2586783.5840000003</v>
      </c>
      <c r="Y140" s="534">
        <f>'More Comp Group'!Z355*BQ8</f>
        <v>2545639.1920000003</v>
      </c>
      <c r="Z140" s="534">
        <f>'More Comp Group'!V350*BM8</f>
        <v>6527915.5129999993</v>
      </c>
      <c r="AA140" s="534">
        <f>'More Comp Group'!W350*BN8</f>
        <v>6455771.5140000004</v>
      </c>
      <c r="AB140" s="534">
        <f>'More Comp Group'!X350*BO8</f>
        <v>6465892.9280000003</v>
      </c>
      <c r="AC140" s="534">
        <f>'More Comp Group'!Y350*BP8</f>
        <v>6619823.0120000001</v>
      </c>
      <c r="AD140" s="534">
        <f>'More Comp Group'!Z350*BQ8</f>
        <v>6737769.7879999997</v>
      </c>
      <c r="AE140" s="538">
        <f t="shared" si="130"/>
        <v>6.178325159482282E-2</v>
      </c>
      <c r="AF140" s="538">
        <f t="shared" si="131"/>
        <v>7.8681389828069923E-2</v>
      </c>
      <c r="AG140" s="538">
        <f t="shared" si="132"/>
        <v>0.16209182144997006</v>
      </c>
      <c r="AH140" s="538">
        <f t="shared" si="133"/>
        <v>9.9300657855745864E-2</v>
      </c>
      <c r="AI140" s="538">
        <f t="shared" si="134"/>
        <v>0.1291474790412091</v>
      </c>
      <c r="AJ140" s="538">
        <f t="shared" si="135"/>
        <v>0.24849302485791377</v>
      </c>
      <c r="AK140" s="434"/>
      <c r="AL140" s="434"/>
      <c r="AM140" s="534">
        <f>'More Comp Group'!V360*BM8</f>
        <v>3969529.3119999999</v>
      </c>
      <c r="AN140" s="534">
        <f>'More Comp Group'!W360*BN8</f>
        <v>4189999.68</v>
      </c>
      <c r="AO140" s="534">
        <f>'More Comp Group'!X360*BO8</f>
        <v>4217697.3080000002</v>
      </c>
      <c r="AP140" s="534">
        <f>'More Comp Group'!Y360*BP8</f>
        <v>4033039.4280000003</v>
      </c>
      <c r="AQ140" s="534">
        <f>'More Comp Group'!Z360*BQ8</f>
        <v>4192130.5959999999</v>
      </c>
      <c r="AR140" s="719">
        <f>'Long Term Debt'!C99*BM8</f>
        <v>1430699.683</v>
      </c>
      <c r="AS140" s="719">
        <f>'Long Term Debt'!D99*BN8</f>
        <v>1155815.3459999999</v>
      </c>
      <c r="AT140" s="719">
        <f>'Long Term Debt'!E99*BO8</f>
        <v>1156664.564</v>
      </c>
      <c r="AU140" s="719">
        <f>'Long Term Debt'!F99*BP8</f>
        <v>1347441.8540000001</v>
      </c>
      <c r="AV140" s="719">
        <f>'Long Term Debt'!G99*BQ8</f>
        <v>1604130.338</v>
      </c>
      <c r="AW140" s="553">
        <f t="shared" si="106"/>
        <v>0.25950592426237123</v>
      </c>
      <c r="AX140" s="553">
        <f t="shared" si="107"/>
        <v>0.38655239441597455</v>
      </c>
      <c r="AY140" s="553">
        <f t="shared" si="108"/>
        <v>0.90611262298513717</v>
      </c>
      <c r="AZ140" s="538">
        <f t="shared" si="109"/>
        <v>0.15982881743398561</v>
      </c>
      <c r="BA140" s="538">
        <f t="shared" si="110"/>
        <v>0.22973186148245262</v>
      </c>
      <c r="BB140" s="455">
        <f t="shared" si="111"/>
        <v>0.47714783195090615</v>
      </c>
    </row>
    <row r="141" spans="1:54" s="200" customFormat="1" ht="15" customHeight="1">
      <c r="A141" s="535">
        <v>2008</v>
      </c>
      <c r="B141" s="676"/>
      <c r="C141" s="411" t="s">
        <v>487</v>
      </c>
      <c r="D141" s="536"/>
      <c r="E141" s="536"/>
      <c r="F141" s="536"/>
      <c r="G141" s="724"/>
      <c r="H141" s="536"/>
      <c r="I141" s="536" t="s">
        <v>291</v>
      </c>
      <c r="J141" s="524" t="s">
        <v>762</v>
      </c>
      <c r="K141" s="534">
        <f>'More Comp Group'!M367</f>
        <v>228</v>
      </c>
      <c r="L141" s="534">
        <f>'More Comp Group'!N367</f>
        <v>38640</v>
      </c>
      <c r="M141" s="534">
        <f>'More Comp Group'!O367*BW8</f>
        <v>40011.04133</v>
      </c>
      <c r="N141" s="534">
        <f>'More Comp Group'!P367*BX8</f>
        <v>42076.216509999998</v>
      </c>
      <c r="O141" s="534">
        <f>'More Comp Group'!Q367*BY8</f>
        <v>35998.542559999994</v>
      </c>
      <c r="P141" s="534">
        <f>'More Comp Group'!M371</f>
        <v>-12124</v>
      </c>
      <c r="Q141" s="534">
        <f>'More Comp Group'!N371</f>
        <v>-3110</v>
      </c>
      <c r="R141" s="534">
        <f>'More Comp Group'!O371*BW8</f>
        <v>-3263.9413300000001</v>
      </c>
      <c r="S141" s="534">
        <f>'More Comp Group'!P371*BX8</f>
        <v>-10350.819378</v>
      </c>
      <c r="T141" s="534">
        <f>'More Comp Group'!Q371*BY8</f>
        <v>-23702.605351999999</v>
      </c>
      <c r="U141" s="534">
        <f>'More Comp Group'!M370</f>
        <v>2417</v>
      </c>
      <c r="V141" s="534">
        <f>'More Comp Group'!N370</f>
        <v>15261</v>
      </c>
      <c r="W141" s="534">
        <f>'More Comp Group'!O370*BW8</f>
        <v>11631.89508</v>
      </c>
      <c r="X141" s="534">
        <f>'More Comp Group'!P370*BX8</f>
        <v>18013.65827</v>
      </c>
      <c r="Y141" s="534">
        <f>'More Comp Group'!Q370*BY8</f>
        <v>17329.538912</v>
      </c>
      <c r="Z141" s="534">
        <f>'More Comp Group'!M365</f>
        <v>53793</v>
      </c>
      <c r="AA141" s="534">
        <f>'More Comp Group'!N365</f>
        <v>33392</v>
      </c>
      <c r="AB141" s="534">
        <f>'More Comp Group'!O365*BW8</f>
        <v>31032.925950000001</v>
      </c>
      <c r="AC141" s="534">
        <f>'More Comp Group'!P365*BX8</f>
        <v>44062.85181</v>
      </c>
      <c r="AD141" s="534">
        <f>'More Comp Group'!Q365*BY8</f>
        <v>37899.596879999997</v>
      </c>
      <c r="AE141" s="538">
        <f t="shared" si="130"/>
        <v>-0.62540521016750195</v>
      </c>
      <c r="AF141" s="538">
        <f t="shared" si="131"/>
        <v>-0.23491033722994065</v>
      </c>
      <c r="AG141" s="538">
        <f t="shared" si="132"/>
        <v>-0.10517671892295416</v>
      </c>
      <c r="AH141" s="538">
        <f t="shared" si="133"/>
        <v>-1.152286755286406</v>
      </c>
      <c r="AI141" s="538">
        <f t="shared" si="134"/>
        <v>-0.39735661536337913</v>
      </c>
      <c r="AJ141" s="538">
        <f t="shared" si="135"/>
        <v>-0.16823545882023538</v>
      </c>
      <c r="AK141" s="434"/>
      <c r="AL141" s="434"/>
      <c r="AM141" s="534">
        <f>'More Comp Group'!M375</f>
        <v>51376</v>
      </c>
      <c r="AN141" s="534">
        <f>'More Comp Group'!N375</f>
        <v>18131</v>
      </c>
      <c r="AO141" s="534">
        <f>'More Comp Group'!O375*BW8</f>
        <v>19401.030869999999</v>
      </c>
      <c r="AP141" s="534">
        <f>'More Comp Group'!P375*BX8</f>
        <v>26049.19354</v>
      </c>
      <c r="AQ141" s="534">
        <f>'More Comp Group'!Q375*BY8</f>
        <v>20570.057967999997</v>
      </c>
      <c r="AR141" s="719">
        <f>'Long Term Debt'!C100</f>
        <v>0</v>
      </c>
      <c r="AS141" s="719">
        <f>'Long Term Debt'!D100</f>
        <v>6428</v>
      </c>
      <c r="AT141" s="719">
        <f>'Long Term Debt'!E100*BW8</f>
        <v>4541.6220199999998</v>
      </c>
      <c r="AU141" s="719">
        <f>'Long Term Debt'!F100*BX8</f>
        <v>1792.6462060000001</v>
      </c>
      <c r="AV141" s="719">
        <f>'Long Term Debt'!G100*BY8</f>
        <v>6214.2745039999991</v>
      </c>
      <c r="AW141" s="553">
        <f t="shared" si="106"/>
        <v>-3.814219236170389</v>
      </c>
      <c r="AX141" s="553">
        <f t="shared" si="107"/>
        <v>-5.7740447297161763</v>
      </c>
      <c r="AY141" s="553">
        <f t="shared" si="108"/>
        <v>-0.71867304580313807</v>
      </c>
      <c r="AZ141" s="538">
        <f t="shared" si="109"/>
        <v>-2.3694517466359311</v>
      </c>
      <c r="BA141" s="538">
        <f t="shared" si="110"/>
        <v>-2.595439997119009</v>
      </c>
      <c r="BB141" s="455">
        <f t="shared" si="111"/>
        <v>-0.3745528479761715</v>
      </c>
    </row>
    <row r="142" spans="1:54" s="684" customFormat="1" ht="15" customHeight="1">
      <c r="A142" s="535">
        <v>2008</v>
      </c>
      <c r="B142" s="676"/>
      <c r="C142" s="411" t="s">
        <v>435</v>
      </c>
      <c r="D142" s="536"/>
      <c r="E142" s="536"/>
      <c r="F142" s="536"/>
      <c r="G142" s="724"/>
      <c r="H142" s="536"/>
      <c r="I142" s="536" t="s">
        <v>313</v>
      </c>
      <c r="J142" s="524" t="s">
        <v>1069</v>
      </c>
      <c r="K142" s="534">
        <f>'More Comp Group'!D936</f>
        <v>83866</v>
      </c>
      <c r="L142" s="534">
        <f>'More Comp Group'!E936</f>
        <v>68318</v>
      </c>
      <c r="M142" s="534">
        <f>'More Comp Group'!F936</f>
        <v>54363</v>
      </c>
      <c r="N142" s="534">
        <f>'More Comp Group'!G936</f>
        <v>33341</v>
      </c>
      <c r="O142" s="534">
        <f>'More Comp Group'!H936</f>
        <v>12698</v>
      </c>
      <c r="P142" s="534">
        <f>'More Comp Group'!D940</f>
        <v>-7464</v>
      </c>
      <c r="Q142" s="534">
        <f>'More Comp Group'!E940</f>
        <v>-20534</v>
      </c>
      <c r="R142" s="534">
        <f>'More Comp Group'!F940</f>
        <v>-1306</v>
      </c>
      <c r="S142" s="534">
        <f>'More Comp Group'!G940</f>
        <v>-74720</v>
      </c>
      <c r="T142" s="534">
        <f>'More Comp Group'!H940</f>
        <v>-35925</v>
      </c>
      <c r="U142" s="534">
        <f>'More Comp Group'!D939</f>
        <v>986891</v>
      </c>
      <c r="V142" s="534">
        <f>'More Comp Group'!E939</f>
        <v>949878</v>
      </c>
      <c r="W142" s="534">
        <f>'More Comp Group'!F939</f>
        <v>787509</v>
      </c>
      <c r="X142" s="534">
        <f>'More Comp Group'!G939</f>
        <v>613059</v>
      </c>
      <c r="Y142" s="534">
        <f>'More Comp Group'!H939</f>
        <v>417237</v>
      </c>
      <c r="Z142" s="534">
        <f>'More Comp Group'!D934</f>
        <v>1037660</v>
      </c>
      <c r="AA142" s="534">
        <f>'More Comp Group'!E934</f>
        <v>1008111</v>
      </c>
      <c r="AB142" s="534">
        <f>'More Comp Group'!F934</f>
        <v>866276</v>
      </c>
      <c r="AC142" s="534">
        <f>'More Comp Group'!G934</f>
        <v>714073</v>
      </c>
      <c r="AD142" s="534">
        <f>'More Comp Group'!H934</f>
        <v>572971</v>
      </c>
      <c r="AE142" s="538">
        <f t="shared" ref="AE142" si="172">T142/AD142</f>
        <v>-6.2699508352080643E-2</v>
      </c>
      <c r="AF142" s="538">
        <f t="shared" ref="AF142" si="173">S142/AC142</f>
        <v>-0.1046391615423073</v>
      </c>
      <c r="AG142" s="538">
        <f t="shared" ref="AG142" si="174">R142/AB142</f>
        <v>-1.5076026578134452E-3</v>
      </c>
      <c r="AH142" s="538">
        <f t="shared" ref="AH142" si="175">T142/AQ142</f>
        <v>-0.23068180358816956</v>
      </c>
      <c r="AI142" s="538">
        <f t="shared" ref="AI142" si="176">S142/AP142</f>
        <v>-0.73969944760132256</v>
      </c>
      <c r="AJ142" s="538">
        <f t="shared" ref="AJ142" si="177">R142/AO142</f>
        <v>-1.6580547691292039E-2</v>
      </c>
      <c r="AK142" s="434"/>
      <c r="AL142" s="434"/>
      <c r="AM142" s="534">
        <f>'More Comp Group'!D944</f>
        <v>50769</v>
      </c>
      <c r="AN142" s="534">
        <f>'More Comp Group'!E944</f>
        <v>58233</v>
      </c>
      <c r="AO142" s="534">
        <f>'More Comp Group'!F944</f>
        <v>78767</v>
      </c>
      <c r="AP142" s="534">
        <f>'More Comp Group'!G944</f>
        <v>101014</v>
      </c>
      <c r="AQ142" s="534">
        <f>'More Comp Group'!H944</f>
        <v>155734</v>
      </c>
      <c r="AR142" s="719">
        <f>'More Comp Group'!D942</f>
        <v>919849</v>
      </c>
      <c r="AS142" s="719">
        <f>'More Comp Group'!E942</f>
        <v>800980</v>
      </c>
      <c r="AT142" s="719">
        <f>'More Comp Group'!F942</f>
        <v>673936</v>
      </c>
      <c r="AU142" s="719">
        <f>'More Comp Group'!G942</f>
        <v>0</v>
      </c>
      <c r="AV142" s="719">
        <f>'More Comp Group'!H942</f>
        <v>363852</v>
      </c>
      <c r="AW142" s="553">
        <f t="shared" ref="AW142" si="178">T142/AV142</f>
        <v>-9.8735200026384348E-2</v>
      </c>
      <c r="AX142" s="553" t="e">
        <f t="shared" ref="AX142" si="179">S142/AU142</f>
        <v>#DIV/0!</v>
      </c>
      <c r="AY142" s="553">
        <f t="shared" ref="AY142" si="180">R142/AT142</f>
        <v>-1.9378694712851071E-3</v>
      </c>
      <c r="AZ142" s="538">
        <f t="shared" ref="AZ142" si="181">((AQ142/(AQ142+Y142))*AH142)+(Y142/(AQ142+Y142))*AW142</f>
        <v>-0.13459839791788508</v>
      </c>
      <c r="BA142" s="538" t="e">
        <f t="shared" ref="BA142" si="182">((AP142/(AP142+X142))*AI142)+(X142/(AP142+X142))*AX142</f>
        <v>#DIV/0!</v>
      </c>
      <c r="BB142" s="455">
        <f t="shared" ref="BB142" si="183">((AO142/(AO142+W142))*AJ142)+(W142/(AO142+W142))*AY142</f>
        <v>-3.2692694354481289E-3</v>
      </c>
    </row>
    <row r="143" spans="1:54" s="200" customFormat="1" ht="15" customHeight="1">
      <c r="A143" s="535">
        <v>2008</v>
      </c>
      <c r="B143" s="676"/>
      <c r="C143" s="411" t="s">
        <v>487</v>
      </c>
      <c r="D143" s="536"/>
      <c r="E143" s="536"/>
      <c r="F143" s="536"/>
      <c r="G143" s="536"/>
      <c r="H143" s="536"/>
      <c r="I143" s="536" t="s">
        <v>313</v>
      </c>
      <c r="J143" s="524" t="s">
        <v>785</v>
      </c>
      <c r="K143" s="534">
        <f>'More Comp Group'!M382*BU8</f>
        <v>11565.519768</v>
      </c>
      <c r="L143" s="534">
        <f>'More Comp Group'!N382*BV8</f>
        <v>1332.742745</v>
      </c>
      <c r="M143" s="534">
        <f>'More Comp Group'!O382*BW8</f>
        <v>-3111.3609799999999</v>
      </c>
      <c r="N143" s="534">
        <f>'More Comp Group'!P382*BX8</f>
        <v>94.747221999999994</v>
      </c>
      <c r="O143" s="534">
        <f>'More Comp Group'!Q382*BY8</f>
        <v>9456.675792</v>
      </c>
      <c r="P143" s="534">
        <f>'More Comp Group'!M386*BU8</f>
        <v>-4025.1966480000001</v>
      </c>
      <c r="Q143" s="534">
        <f>'More Comp Group'!N386*BV8</f>
        <v>2292.9139009999999</v>
      </c>
      <c r="R143" s="534">
        <f>'More Comp Group'!O386*BW8</f>
        <v>25611.450539999998</v>
      </c>
      <c r="S143" s="534">
        <f>'More Comp Group'!P386*BX8</f>
        <v>-27255.737386000001</v>
      </c>
      <c r="T143" s="534">
        <f>'More Comp Group'!Q386*BY8</f>
        <v>8097.019839999999</v>
      </c>
      <c r="U143" s="534">
        <f>'More Comp Group'!M385*BU8</f>
        <v>12115.595448</v>
      </c>
      <c r="V143" s="534">
        <f>'More Comp Group'!N385*BV8</f>
        <v>22657.289309</v>
      </c>
      <c r="W143" s="534">
        <f>'More Comp Group'!O385*BW8</f>
        <v>12667.68399</v>
      </c>
      <c r="X143" s="534">
        <f>'More Comp Group'!P385*BX8</f>
        <v>36762.101922000002</v>
      </c>
      <c r="Y143" s="534">
        <f>'More Comp Group'!Q385*BY8</f>
        <v>10216.584183999999</v>
      </c>
      <c r="Z143" s="534">
        <f>'More Comp Group'!M380*BU8</f>
        <v>101182.13503200001</v>
      </c>
      <c r="AA143" s="534">
        <f>'More Comp Group'!N380*BV8</f>
        <v>109625.83542800001</v>
      </c>
      <c r="AB143" s="534">
        <f>'More Comp Group'!O380*BW8</f>
        <v>99751.920190000004</v>
      </c>
      <c r="AC143" s="534">
        <f>'More Comp Group'!P380*BX8</f>
        <v>117546.42401800001</v>
      </c>
      <c r="AD143" s="534">
        <f>'More Comp Group'!Q380*BY8</f>
        <v>115502.99556799998</v>
      </c>
      <c r="AE143" s="538">
        <f t="shared" si="130"/>
        <v>7.0102249731116686E-2</v>
      </c>
      <c r="AF143" s="538">
        <f t="shared" si="131"/>
        <v>-0.23187211022111825</v>
      </c>
      <c r="AG143" s="538">
        <f t="shared" si="132"/>
        <v>0.25675145391905457</v>
      </c>
      <c r="AH143" s="538">
        <f t="shared" si="133"/>
        <v>7.6904699605237714E-2</v>
      </c>
      <c r="AI143" s="538">
        <f t="shared" si="134"/>
        <v>-0.3373889472466039</v>
      </c>
      <c r="AJ143" s="538">
        <f t="shared" si="135"/>
        <v>0.29409973213958096</v>
      </c>
      <c r="AK143" s="434"/>
      <c r="AL143" s="434"/>
      <c r="AM143" s="534">
        <f>'More Comp Group'!M390*BU8</f>
        <v>89066.360988</v>
      </c>
      <c r="AN143" s="534">
        <f>'More Comp Group'!N390*BV8</f>
        <v>86968.546119000006</v>
      </c>
      <c r="AO143" s="534">
        <f>'More Comp Group'!O390*BW8</f>
        <v>87084.236199999999</v>
      </c>
      <c r="AP143" s="534">
        <f>'More Comp Group'!P390*BX8</f>
        <v>80784.322096000004</v>
      </c>
      <c r="AQ143" s="534">
        <f>'More Comp Group'!Q390*BY8</f>
        <v>105286.41138399999</v>
      </c>
      <c r="AR143" s="719">
        <f>'Long Term Debt'!C101*BU8</f>
        <v>9187.6926239999993</v>
      </c>
      <c r="AS143" s="719">
        <f>'Long Term Debt'!D101*BV8</f>
        <v>8969.7148450000004</v>
      </c>
      <c r="AT143" s="719">
        <f>'Long Term Debt'!E101*BW8</f>
        <v>8321.4606800000001</v>
      </c>
      <c r="AU143" s="719">
        <f>'Long Term Debt'!F101*BX8</f>
        <v>23633.768629999999</v>
      </c>
      <c r="AV143" s="719">
        <f>'Long Term Debt'!G101*BY8</f>
        <v>7491.1122479999995</v>
      </c>
      <c r="AW143" s="553">
        <f t="shared" si="106"/>
        <v>1.0808835286324492</v>
      </c>
      <c r="AX143" s="553">
        <f t="shared" si="107"/>
        <v>-1.1532539652352518</v>
      </c>
      <c r="AY143" s="553">
        <f t="shared" si="108"/>
        <v>3.0777590046847396</v>
      </c>
      <c r="AZ143" s="538">
        <f t="shared" si="109"/>
        <v>0.16570961912502208</v>
      </c>
      <c r="BA143" s="538">
        <f t="shared" si="110"/>
        <v>-0.59254696839831666</v>
      </c>
      <c r="BB143" s="455">
        <f t="shared" si="111"/>
        <v>0.64760185954996008</v>
      </c>
    </row>
    <row r="144" spans="1:54" s="200" customFormat="1" ht="15" customHeight="1">
      <c r="A144" s="535">
        <v>2008</v>
      </c>
      <c r="B144" s="676"/>
      <c r="C144" s="411" t="s">
        <v>487</v>
      </c>
      <c r="D144" s="536"/>
      <c r="E144" s="536"/>
      <c r="F144" s="536"/>
      <c r="G144" s="411"/>
      <c r="H144" s="536"/>
      <c r="I144" s="536" t="s">
        <v>1032</v>
      </c>
      <c r="J144" s="524" t="s">
        <v>540</v>
      </c>
      <c r="K144" s="534">
        <f>'More Comp Group'!M396*BU8</f>
        <v>3612604.1688000001</v>
      </c>
      <c r="L144" s="534">
        <f>'More Comp Group'!N396*BV8</f>
        <v>2837938.591</v>
      </c>
      <c r="M144" s="534">
        <f>'More Comp Group'!O396*BW8</f>
        <v>2330724.7599999998</v>
      </c>
      <c r="N144" s="534">
        <f>'More Comp Group'!P396*BX8</f>
        <v>2655043.6908</v>
      </c>
      <c r="O144" s="534">
        <f>'More Comp Group'!Q396*BY8</f>
        <v>2260440.8536</v>
      </c>
      <c r="P144" s="534">
        <f>'More Comp Group'!M400*BU8</f>
        <v>105943.14720000001</v>
      </c>
      <c r="Q144" s="534">
        <f>'More Comp Group'!N400*BV8</f>
        <v>82499.178</v>
      </c>
      <c r="R144" s="534">
        <f>'More Comp Group'!O400*BW8</f>
        <v>61191.909999999996</v>
      </c>
      <c r="S144" s="534">
        <f>'More Comp Group'!P400*BX8</f>
        <v>77505.744600000005</v>
      </c>
      <c r="T144" s="534">
        <f>'More Comp Group'!Q400*BY8</f>
        <v>72414.598399999988</v>
      </c>
      <c r="U144" s="534">
        <f>'More Comp Group'!M399*BU8</f>
        <v>1131995.0268000001</v>
      </c>
      <c r="V144" s="534">
        <f>'More Comp Group'!N399*BV8</f>
        <v>1042339.012</v>
      </c>
      <c r="W144" s="534">
        <f>'More Comp Group'!O399*BW8</f>
        <v>693881.11</v>
      </c>
      <c r="X144" s="534">
        <f>'More Comp Group'!P399*BX8</f>
        <v>975123.30680000002</v>
      </c>
      <c r="Y144" s="534">
        <f>'More Comp Group'!Q399*BY8</f>
        <v>791256.11039999989</v>
      </c>
      <c r="Z144" s="534">
        <f>'More Comp Group'!M394*BU8</f>
        <v>1825911.9251999999</v>
      </c>
      <c r="AA144" s="534">
        <f>'More Comp Group'!N394*BV8</f>
        <v>1598131.6670000001</v>
      </c>
      <c r="AB144" s="534">
        <f>'More Comp Group'!O394*BW8</f>
        <v>1143314.1199999999</v>
      </c>
      <c r="AC144" s="534">
        <f>'More Comp Group'!P394*BX8</f>
        <v>1489005.6306</v>
      </c>
      <c r="AD144" s="534">
        <f>'More Comp Group'!Q394*BY8</f>
        <v>1150659.7552</v>
      </c>
      <c r="AE144" s="538">
        <f t="shared" si="130"/>
        <v>6.293311126312344E-2</v>
      </c>
      <c r="AF144" s="538">
        <f t="shared" si="131"/>
        <v>5.2052015793095957E-2</v>
      </c>
      <c r="AG144" s="538">
        <f t="shared" si="132"/>
        <v>5.3521520402459478E-2</v>
      </c>
      <c r="AH144" s="538">
        <f t="shared" si="133"/>
        <v>0.2014854313464102</v>
      </c>
      <c r="AI144" s="538">
        <f t="shared" si="134"/>
        <v>0.15082391631389289</v>
      </c>
      <c r="AJ144" s="538">
        <f t="shared" si="135"/>
        <v>0.13615357269818698</v>
      </c>
      <c r="AK144" s="434"/>
      <c r="AL144" s="434"/>
      <c r="AM144" s="534">
        <f>'More Comp Group'!M404*BU8</f>
        <v>693916.89840000006</v>
      </c>
      <c r="AN144" s="534">
        <f>'More Comp Group'!N404*BV8</f>
        <v>555792.65500000003</v>
      </c>
      <c r="AO144" s="534">
        <f>'More Comp Group'!O404*BW8</f>
        <v>449433.01</v>
      </c>
      <c r="AP144" s="534">
        <f>'More Comp Group'!P404*BX8</f>
        <v>513882.32380000001</v>
      </c>
      <c r="AQ144" s="534">
        <f>'More Comp Group'!Q404*BY8</f>
        <v>359403.64479999995</v>
      </c>
      <c r="AR144" s="719">
        <f>'Long Term Debt'!C102*BU8</f>
        <v>46577.836800000005</v>
      </c>
      <c r="AS144" s="719">
        <f>'Long Term Debt'!D102*BV8</f>
        <v>43568.843000000001</v>
      </c>
      <c r="AT144" s="719">
        <f>'Long Term Debt'!E102*BW8</f>
        <v>17574.7</v>
      </c>
      <c r="AU144" s="719">
        <f>'Long Term Debt'!F102*BX8</f>
        <v>28136.509000000002</v>
      </c>
      <c r="AV144" s="719">
        <f>'Long Term Debt'!G102*BY8</f>
        <v>19369.878399999998</v>
      </c>
      <c r="AW144" s="553">
        <f t="shared" si="106"/>
        <v>3.7385159010600706</v>
      </c>
      <c r="AX144" s="553">
        <f t="shared" si="107"/>
        <v>2.7546325878594251</v>
      </c>
      <c r="AY144" s="553">
        <f t="shared" si="108"/>
        <v>3.4818181818181815</v>
      </c>
      <c r="AZ144" s="538">
        <f t="shared" si="109"/>
        <v>2.6337395874374652</v>
      </c>
      <c r="BA144" s="538">
        <f t="shared" si="110"/>
        <v>1.8560119088192546</v>
      </c>
      <c r="BB144" s="455">
        <f t="shared" si="111"/>
        <v>2.1666484577468359</v>
      </c>
    </row>
    <row r="145" spans="1:54" s="200" customFormat="1" ht="15" customHeight="1">
      <c r="A145" s="680">
        <v>2008</v>
      </c>
      <c r="B145" s="681"/>
      <c r="C145" s="53" t="s">
        <v>487</v>
      </c>
      <c r="D145" s="751"/>
      <c r="E145" s="751"/>
      <c r="F145" s="751"/>
      <c r="G145" s="751"/>
      <c r="H145" s="751"/>
      <c r="I145" s="751" t="s">
        <v>1032</v>
      </c>
      <c r="J145" s="740" t="s">
        <v>524</v>
      </c>
      <c r="K145" s="756">
        <f>'More Comp Group'!V396*BU8</f>
        <v>160268.29988400001</v>
      </c>
      <c r="L145" s="756">
        <f>'More Comp Group'!W396*BV8</f>
        <v>114677.004979</v>
      </c>
      <c r="M145" s="756">
        <f>'More Comp Group'!X396*BW8</f>
        <v>97897.150259999995</v>
      </c>
      <c r="N145" s="756">
        <f>'More Comp Group'!Y396*BX8</f>
        <v>89372.699315999998</v>
      </c>
      <c r="O145" s="756">
        <f>'More Comp Group'!Z396*BY8</f>
        <v>53980.018191999996</v>
      </c>
      <c r="P145" s="756">
        <f>'More Comp Group'!V400*BU8</f>
        <v>25332.413832000002</v>
      </c>
      <c r="Q145" s="756">
        <f>'More Comp Group'!W400*BV8</f>
        <v>4276.3730539999997</v>
      </c>
      <c r="R145" s="756">
        <f>'More Comp Group'!X400*BW8</f>
        <v>4546.5748899999999</v>
      </c>
      <c r="S145" s="756">
        <f>'More Comp Group'!Y400*BX8</f>
        <v>15767.951344000001</v>
      </c>
      <c r="T145" s="756">
        <f>'More Comp Group'!Z400*BY8</f>
        <v>2133.4244159999998</v>
      </c>
      <c r="U145" s="756">
        <f>'More Comp Group'!V399*BU8</f>
        <v>52182.179280000004</v>
      </c>
      <c r="V145" s="756">
        <f>'More Comp Group'!W399*BV8</f>
        <v>55103.652769</v>
      </c>
      <c r="W145" s="756">
        <f>'More Comp Group'!X399*BW8</f>
        <v>34955.758759999997</v>
      </c>
      <c r="X145" s="756">
        <f>'More Comp Group'!Y399*BX8</f>
        <v>36870.692666000003</v>
      </c>
      <c r="Y145" s="756">
        <f>'More Comp Group'!Z399*BY8</f>
        <v>13956.236943999998</v>
      </c>
      <c r="Z145" s="756">
        <f>'More Comp Group'!V394*BU8</f>
        <v>177101.33007600001</v>
      </c>
      <c r="AA145" s="756">
        <f>'More Comp Group'!W394*BV8</f>
        <v>158068.425048</v>
      </c>
      <c r="AB145" s="756">
        <f>'More Comp Group'!X394*BW8</f>
        <v>131285.56531999999</v>
      </c>
      <c r="AC145" s="756">
        <f>'More Comp Group'!Y394*BX8</f>
        <v>144421.01508400001</v>
      </c>
      <c r="AD145" s="756">
        <f>'More Comp Group'!Z394*BY8</f>
        <v>105016.56775999999</v>
      </c>
      <c r="AE145" s="766">
        <f t="shared" si="130"/>
        <v>2.0315122285043914E-2</v>
      </c>
      <c r="AF145" s="766">
        <f t="shared" si="131"/>
        <v>0.10918044949918709</v>
      </c>
      <c r="AG145" s="766">
        <f t="shared" si="132"/>
        <v>3.463118644397821E-2</v>
      </c>
      <c r="AH145" s="766">
        <f t="shared" si="133"/>
        <v>2.3428691691345593E-2</v>
      </c>
      <c r="AI145" s="766">
        <f t="shared" si="134"/>
        <v>0.14660998674385212</v>
      </c>
      <c r="AJ145" s="766">
        <f t="shared" si="135"/>
        <v>4.7198085340348001E-2</v>
      </c>
      <c r="AK145" s="751"/>
      <c r="AL145" s="751"/>
      <c r="AM145" s="756">
        <f>'More Comp Group'!V404*BU8</f>
        <v>124918.9722</v>
      </c>
      <c r="AN145" s="756">
        <f>'More Comp Group'!W404*BV8</f>
        <v>102964.772279</v>
      </c>
      <c r="AO145" s="756">
        <f>'More Comp Group'!X404*BW8</f>
        <v>96329.646789999999</v>
      </c>
      <c r="AP145" s="756">
        <f>'More Comp Group'!Y404*BX8</f>
        <v>107550.322418</v>
      </c>
      <c r="AQ145" s="756">
        <f>'More Comp Group'!Z404*BY8</f>
        <v>91060.330815999987</v>
      </c>
      <c r="AR145" s="771">
        <f>'Long Term Debt'!C103*BU8</f>
        <v>1976.1647400000002</v>
      </c>
      <c r="AS145" s="771">
        <f>'Long Term Debt'!D103*BV8</f>
        <v>6534.0011620000005</v>
      </c>
      <c r="AT145" s="771">
        <f>'Long Term Debt'!E103*BW8</f>
        <v>0</v>
      </c>
      <c r="AU145" s="771">
        <f>'Long Term Debt'!F103*BX8</f>
        <v>0</v>
      </c>
      <c r="AV145" s="771">
        <f>'Long Term Debt'!G103*BY8</f>
        <v>0</v>
      </c>
      <c r="AW145" s="743" t="e">
        <f t="shared" si="106"/>
        <v>#DIV/0!</v>
      </c>
      <c r="AX145" s="743" t="e">
        <f t="shared" si="107"/>
        <v>#DIV/0!</v>
      </c>
      <c r="AY145" s="743" t="e">
        <f t="shared" si="108"/>
        <v>#DIV/0!</v>
      </c>
      <c r="AZ145" s="766" t="e">
        <f t="shared" si="109"/>
        <v>#DIV/0!</v>
      </c>
      <c r="BA145" s="766" t="e">
        <f t="shared" si="110"/>
        <v>#DIV/0!</v>
      </c>
      <c r="BB145" s="760" t="e">
        <f t="shared" si="111"/>
        <v>#DIV/0!</v>
      </c>
    </row>
    <row r="146" spans="1:54" s="800" customFormat="1" ht="15" customHeight="1">
      <c r="A146" s="535">
        <v>2008</v>
      </c>
      <c r="B146" s="792"/>
      <c r="C146" s="411" t="s">
        <v>487</v>
      </c>
      <c r="D146" s="794"/>
      <c r="E146" s="794"/>
      <c r="F146" s="794"/>
      <c r="G146" s="794"/>
      <c r="H146" s="794"/>
      <c r="I146" s="536" t="s">
        <v>1033</v>
      </c>
      <c r="J146" s="524" t="s">
        <v>537</v>
      </c>
      <c r="K146" s="795">
        <f>'More Comp Group'!D906*BU8</f>
        <v>305319.68478000001</v>
      </c>
      <c r="L146" s="795">
        <f>'More Comp Group'!E906*BV8</f>
        <v>278034.15745200001</v>
      </c>
      <c r="M146" s="795">
        <f>'More Comp Group'!F906*BW8</f>
        <v>278174.74815</v>
      </c>
      <c r="N146" s="795">
        <f>'More Comp Group'!G906*BX8</f>
        <v>319679.64403199998</v>
      </c>
      <c r="O146" s="795">
        <f>'More Comp Group'!H906*BY8</f>
        <v>317554.95407199999</v>
      </c>
      <c r="P146" s="795">
        <f>'More Comp Group'!D910*BU8</f>
        <v>3356.5332240000002</v>
      </c>
      <c r="Q146" s="795">
        <f>'More Comp Group'!E910*BV8</f>
        <v>5165.641302</v>
      </c>
      <c r="R146" s="795">
        <f>'More Comp Group'!F910*BW8</f>
        <v>6026.5244000000002</v>
      </c>
      <c r="S146" s="795">
        <f>'More Comp Group'!G910*BX8</f>
        <v>1690.7075440000001</v>
      </c>
      <c r="T146" s="795">
        <f>'More Comp Group'!H910*BY8</f>
        <v>1546.3391439999998</v>
      </c>
      <c r="U146" s="795">
        <f>'More Comp Group'!D909*BU8</f>
        <v>167847.19974000001</v>
      </c>
      <c r="V146" s="795">
        <f>'More Comp Group'!E909*BV8</f>
        <v>146169.32673999999</v>
      </c>
      <c r="W146" s="795">
        <f>'More Comp Group'!F909*BW8</f>
        <v>154261.29016999999</v>
      </c>
      <c r="X146" s="795">
        <f>'More Comp Group'!G909*BX8</f>
        <v>189880.08497</v>
      </c>
      <c r="Y146" s="795">
        <f>'More Comp Group'!H909*BY8</f>
        <v>189521.08451999997</v>
      </c>
      <c r="Z146" s="795">
        <f>'More Comp Group'!D904*BU8</f>
        <v>269755.86330000003</v>
      </c>
      <c r="AA146" s="795">
        <f>'More Comp Group'!E904*BV8</f>
        <v>250883.147857</v>
      </c>
      <c r="AB146" s="795">
        <f>'More Comp Group'!F904*BW8</f>
        <v>252848.80659999998</v>
      </c>
      <c r="AC146" s="795">
        <f>'More Comp Group'!G904*BX8</f>
        <v>295677.49388800003</v>
      </c>
      <c r="AD146" s="795">
        <f>'More Comp Group'!H904*BY8</f>
        <v>290362.34836799995</v>
      </c>
      <c r="AE146" s="796">
        <f t="shared" ref="AE146:AE147" si="184">T146/AD146</f>
        <v>5.3255497921521067E-3</v>
      </c>
      <c r="AF146" s="796">
        <f t="shared" ref="AF146:AF147" si="185">S146/AC146</f>
        <v>5.7180799315095145E-3</v>
      </c>
      <c r="AG146" s="796">
        <f t="shared" ref="AG146:AG147" si="186">R146/AB146</f>
        <v>2.3834498098042441E-2</v>
      </c>
      <c r="AH146" s="796">
        <f t="shared" ref="AH146:AH147" si="187">T146/AQ146</f>
        <v>1.5334388770958158E-2</v>
      </c>
      <c r="AI146" s="796">
        <f t="shared" ref="AI146:AI147" si="188">S146/AP146</f>
        <v>1.5980641060935115E-2</v>
      </c>
      <c r="AJ146" s="796">
        <f t="shared" ref="AJ146:AJ147" si="189">R146/AO146</f>
        <v>6.1128676512294609E-2</v>
      </c>
      <c r="AK146" s="434"/>
      <c r="AL146" s="434"/>
      <c r="AM146" s="795">
        <f>'More Comp Group'!D914*BU8</f>
        <v>101908.484964</v>
      </c>
      <c r="AN146" s="795">
        <f>'More Comp Group'!E914*BV8</f>
        <v>104713.821117</v>
      </c>
      <c r="AO146" s="795">
        <f>'More Comp Group'!F914*BW8</f>
        <v>98587.516430000003</v>
      </c>
      <c r="AP146" s="795">
        <f>'More Comp Group'!G914*BX8</f>
        <v>105797.22913200001</v>
      </c>
      <c r="AQ146" s="795">
        <f>'More Comp Group'!H914*BY8</f>
        <v>100841.26384799999</v>
      </c>
      <c r="AR146" s="797">
        <f>'More Comp Group'!D912*BU8</f>
        <v>72798.051348000008</v>
      </c>
      <c r="AS146" s="797">
        <f>'More Comp Group'!E912*BV8</f>
        <v>62845.985265000003</v>
      </c>
      <c r="AT146" s="797">
        <f>'More Comp Group'!F912*BW8</f>
        <v>79325.804999999993</v>
      </c>
      <c r="AU146" s="797">
        <f>'More Comp Group'!G912*BX8</f>
        <v>70946.611961999995</v>
      </c>
      <c r="AV146" s="797">
        <f>'More Comp Group'!H912*BY8</f>
        <v>71334.197231999991</v>
      </c>
      <c r="AW146" s="798">
        <f t="shared" ref="AW146:AW147" si="190">T146/AV146</f>
        <v>2.16773890224186E-2</v>
      </c>
      <c r="AX146" s="798">
        <f t="shared" ref="AX146:AX147" si="191">S146/AU146</f>
        <v>2.383070166769298E-2</v>
      </c>
      <c r="AY146" s="798">
        <f t="shared" ref="AY146:AY147" si="192">R146/AT146</f>
        <v>7.597180261832831E-2</v>
      </c>
      <c r="AZ146" s="796">
        <f t="shared" ref="AZ146:AZ147" si="193">((AQ146/(AQ146+Y146))*AH146)+(Y146/(AQ146+Y146))*AW146</f>
        <v>1.9474499544700263E-2</v>
      </c>
      <c r="BA146" s="796">
        <f t="shared" ref="BA146:BA147" si="194">((AP146/(AP146+X146))*AI146)+(X146/(AP146+X146))*AX146</f>
        <v>2.1021846807672353E-2</v>
      </c>
      <c r="BB146" s="799">
        <f t="shared" ref="BB146:BB147" si="195">((AO146/(AO146+W146))*AJ146)+(W146/(AO146+W146))*AY146</f>
        <v>7.018436403584713E-2</v>
      </c>
    </row>
    <row r="147" spans="1:54" s="800" customFormat="1" ht="15" customHeight="1">
      <c r="A147" s="535">
        <v>2008</v>
      </c>
      <c r="B147" s="792"/>
      <c r="C147" s="411" t="s">
        <v>487</v>
      </c>
      <c r="D147" s="794"/>
      <c r="E147" s="794"/>
      <c r="F147" s="794"/>
      <c r="G147" s="794"/>
      <c r="H147" s="794"/>
      <c r="I147" s="536" t="s">
        <v>1033</v>
      </c>
      <c r="J147" s="524" t="s">
        <v>522</v>
      </c>
      <c r="K147" s="795">
        <f>'More Comp Group'!D921*BU8</f>
        <v>95943.557159999997</v>
      </c>
      <c r="L147" s="795">
        <f>'More Comp Group'!E921*BV8</f>
        <v>73102.223436</v>
      </c>
      <c r="M147" s="795">
        <f>'More Comp Group'!F921*BW8</f>
        <v>90366.071769999995</v>
      </c>
      <c r="N147" s="795">
        <f>'More Comp Group'!G921*BX8</f>
        <v>99473.256582000002</v>
      </c>
      <c r="O147" s="795">
        <f>'More Comp Group'!H921*BY8</f>
        <v>79202.953664000001</v>
      </c>
      <c r="P147" s="795">
        <f>'More Comp Group'!D925*BU8</f>
        <v>-10296.595188000001</v>
      </c>
      <c r="Q147" s="795">
        <f>'More Comp Group'!E925*BV8</f>
        <v>-33998.110047000002</v>
      </c>
      <c r="R147" s="795">
        <f>'More Comp Group'!F925*BW8</f>
        <v>-1384.72659</v>
      </c>
      <c r="S147" s="795">
        <f>'More Comp Group'!G925*BX8</f>
        <v>2396.7271660000001</v>
      </c>
      <c r="T147" s="795">
        <f>'More Comp Group'!H925*BY8</f>
        <v>6116.3984399999999</v>
      </c>
      <c r="U147" s="795">
        <f>'More Comp Group'!D924*BU8</f>
        <v>41775.568956000003</v>
      </c>
      <c r="V147" s="795">
        <f>'More Comp Group'!E924*BV8</f>
        <v>57164.806930999999</v>
      </c>
      <c r="W147" s="795">
        <f>'More Comp Group'!F924*BW8</f>
        <v>58931.643810000001</v>
      </c>
      <c r="X147" s="795">
        <f>'More Comp Group'!G924*BX8</f>
        <v>80449.560563999999</v>
      </c>
      <c r="Y147" s="795">
        <f>'More Comp Group'!H924*BY8</f>
        <v>40233.222335999999</v>
      </c>
      <c r="Z147" s="795">
        <f>'More Comp Group'!D919*BU8</f>
        <v>79347.702455999999</v>
      </c>
      <c r="AA147" s="795">
        <f>'More Comp Group'!E919*BV8</f>
        <v>90837.890096000003</v>
      </c>
      <c r="AB147" s="795">
        <f>'More Comp Group'!F919*BW8</f>
        <v>117111.09045999999</v>
      </c>
      <c r="AC147" s="795">
        <f>'More Comp Group'!G919*BX8</f>
        <v>156195.02043800001</v>
      </c>
      <c r="AD147" s="795">
        <f>'More Comp Group'!H919*BY8</f>
        <v>60849.993879999995</v>
      </c>
      <c r="AE147" s="796">
        <f t="shared" si="184"/>
        <v>0.10051600747999945</v>
      </c>
      <c r="AF147" s="796">
        <f t="shared" si="185"/>
        <v>1.5344453102788614E-2</v>
      </c>
      <c r="AG147" s="796">
        <f t="shared" si="186"/>
        <v>-1.1824043176106894E-2</v>
      </c>
      <c r="AH147" s="796">
        <f t="shared" si="187"/>
        <v>0.29667101015047265</v>
      </c>
      <c r="AI147" s="796">
        <f t="shared" si="188"/>
        <v>3.1641708856402995E-2</v>
      </c>
      <c r="AJ147" s="796">
        <f t="shared" si="189"/>
        <v>-2.3800958409424817E-2</v>
      </c>
      <c r="AK147" s="434"/>
      <c r="AL147" s="434"/>
      <c r="AM147" s="795">
        <f>'More Comp Group'!D929*BU8</f>
        <v>37572.133500000004</v>
      </c>
      <c r="AN147" s="795">
        <f>'More Comp Group'!E929*BV8</f>
        <v>33672.420521</v>
      </c>
      <c r="AO147" s="795">
        <f>'More Comp Group'!F929*BW8</f>
        <v>58179.446649999998</v>
      </c>
      <c r="AP147" s="795">
        <f>'More Comp Group'!G929*BX8</f>
        <v>75745.819445999994</v>
      </c>
      <c r="AQ147" s="795">
        <f>'More Comp Group'!H929*BY8</f>
        <v>20616.771543999999</v>
      </c>
      <c r="AR147" s="797">
        <f>'More Comp Group'!D927*BU8</f>
        <v>10104.604488000001</v>
      </c>
      <c r="AS147" s="797">
        <f>'More Comp Group'!E927*BV8</f>
        <v>264.22929499999998</v>
      </c>
      <c r="AT147" s="797">
        <f>'More Comp Group'!F927*BW8</f>
        <v>15668.484129999999</v>
      </c>
      <c r="AU147" s="797">
        <f>'More Comp Group'!G927*BX8</f>
        <v>22688.813414</v>
      </c>
      <c r="AV147" s="797">
        <f>'More Comp Group'!H927*BY8</f>
        <v>17163.389159999999</v>
      </c>
      <c r="AW147" s="798">
        <f t="shared" si="190"/>
        <v>0.35636309256766863</v>
      </c>
      <c r="AX147" s="798">
        <f t="shared" si="191"/>
        <v>0.10563475146395772</v>
      </c>
      <c r="AY147" s="798">
        <f t="shared" si="192"/>
        <v>-8.8376551203744311E-2</v>
      </c>
      <c r="AZ147" s="796">
        <f t="shared" si="193"/>
        <v>0.33613863652897319</v>
      </c>
      <c r="BA147" s="796">
        <f t="shared" si="194"/>
        <v>6.9752360798797181E-2</v>
      </c>
      <c r="BB147" s="799">
        <f t="shared" si="195"/>
        <v>-5.6296137289808021E-2</v>
      </c>
    </row>
    <row r="148" spans="1:54" s="200" customFormat="1" ht="15" customHeight="1">
      <c r="A148" s="535">
        <v>2008</v>
      </c>
      <c r="B148" s="676"/>
      <c r="C148" s="411" t="s">
        <v>487</v>
      </c>
      <c r="D148" s="536"/>
      <c r="E148" s="536"/>
      <c r="F148" s="536"/>
      <c r="G148" s="677"/>
      <c r="H148" s="536"/>
      <c r="I148" s="536" t="s">
        <v>1033</v>
      </c>
      <c r="J148" s="524" t="s">
        <v>540</v>
      </c>
      <c r="K148" s="534">
        <f>K144</f>
        <v>3612604.1688000001</v>
      </c>
      <c r="L148" s="534">
        <f t="shared" ref="L148:O148" si="196">L144</f>
        <v>2837938.591</v>
      </c>
      <c r="M148" s="534">
        <f t="shared" si="196"/>
        <v>2330724.7599999998</v>
      </c>
      <c r="N148" s="534">
        <f t="shared" si="196"/>
        <v>2655043.6908</v>
      </c>
      <c r="O148" s="534">
        <f t="shared" si="196"/>
        <v>2260440.8536</v>
      </c>
      <c r="P148" s="534">
        <f t="shared" ref="P148:Z148" si="197">P144</f>
        <v>105943.14720000001</v>
      </c>
      <c r="Q148" s="534">
        <f t="shared" ref="Q148:T148" si="198">Q144</f>
        <v>82499.178</v>
      </c>
      <c r="R148" s="534">
        <f t="shared" si="198"/>
        <v>61191.909999999996</v>
      </c>
      <c r="S148" s="534">
        <f t="shared" si="198"/>
        <v>77505.744600000005</v>
      </c>
      <c r="T148" s="534">
        <f t="shared" si="198"/>
        <v>72414.598399999988</v>
      </c>
      <c r="U148" s="534">
        <f t="shared" si="197"/>
        <v>1131995.0268000001</v>
      </c>
      <c r="V148" s="534">
        <f t="shared" ref="V148:Y148" si="199">V144</f>
        <v>1042339.012</v>
      </c>
      <c r="W148" s="534">
        <f t="shared" si="199"/>
        <v>693881.11</v>
      </c>
      <c r="X148" s="534">
        <f t="shared" si="199"/>
        <v>975123.30680000002</v>
      </c>
      <c r="Y148" s="534">
        <f t="shared" si="199"/>
        <v>791256.11039999989</v>
      </c>
      <c r="Z148" s="534">
        <f t="shared" si="197"/>
        <v>1825911.9251999999</v>
      </c>
      <c r="AA148" s="534">
        <f t="shared" ref="AA148:AD148" si="200">AA144</f>
        <v>1598131.6670000001</v>
      </c>
      <c r="AB148" s="534">
        <f t="shared" si="200"/>
        <v>1143314.1199999999</v>
      </c>
      <c r="AC148" s="534">
        <f t="shared" si="200"/>
        <v>1489005.6306</v>
      </c>
      <c r="AD148" s="534">
        <f t="shared" si="200"/>
        <v>1150659.7552</v>
      </c>
      <c r="AE148" s="538">
        <f t="shared" si="130"/>
        <v>6.293311126312344E-2</v>
      </c>
      <c r="AF148" s="538">
        <f t="shared" si="131"/>
        <v>5.2052015793095957E-2</v>
      </c>
      <c r="AG148" s="538">
        <f t="shared" si="132"/>
        <v>5.3521520402459478E-2</v>
      </c>
      <c r="AH148" s="538">
        <f t="shared" si="133"/>
        <v>0.2014854313464102</v>
      </c>
      <c r="AI148" s="538">
        <f t="shared" si="134"/>
        <v>0.15082391631389289</v>
      </c>
      <c r="AJ148" s="538">
        <f t="shared" si="135"/>
        <v>0.13615357269818698</v>
      </c>
      <c r="AK148" s="434"/>
      <c r="AL148" s="434"/>
      <c r="AM148" s="534">
        <f>AM144</f>
        <v>693916.89840000006</v>
      </c>
      <c r="AN148" s="534">
        <f t="shared" ref="AN148:AQ148" si="201">AN144</f>
        <v>555792.65500000003</v>
      </c>
      <c r="AO148" s="534">
        <f t="shared" si="201"/>
        <v>449433.01</v>
      </c>
      <c r="AP148" s="534">
        <f t="shared" si="201"/>
        <v>513882.32380000001</v>
      </c>
      <c r="AQ148" s="534">
        <f t="shared" si="201"/>
        <v>359403.64479999995</v>
      </c>
      <c r="AR148" s="719">
        <f>'Long Term Debt'!C104*BU8</f>
        <v>46577.836800000005</v>
      </c>
      <c r="AS148" s="719">
        <f>'Long Term Debt'!D104*BV8</f>
        <v>43568.843000000001</v>
      </c>
      <c r="AT148" s="719">
        <f>'Long Term Debt'!E104*BW8</f>
        <v>17574.7</v>
      </c>
      <c r="AU148" s="719">
        <f>'Long Term Debt'!F104*BX8</f>
        <v>28136.509000000002</v>
      </c>
      <c r="AV148" s="719">
        <f>'Long Term Debt'!G104*BY8</f>
        <v>19369.878399999998</v>
      </c>
      <c r="AW148" s="553">
        <f t="shared" si="106"/>
        <v>3.7385159010600706</v>
      </c>
      <c r="AX148" s="553">
        <f t="shared" si="107"/>
        <v>2.7546325878594251</v>
      </c>
      <c r="AY148" s="553">
        <f t="shared" si="108"/>
        <v>3.4818181818181815</v>
      </c>
      <c r="AZ148" s="538">
        <f t="shared" si="109"/>
        <v>2.6337395874374652</v>
      </c>
      <c r="BA148" s="538">
        <f t="shared" si="110"/>
        <v>1.8560119088192546</v>
      </c>
      <c r="BB148" s="455">
        <f t="shared" si="111"/>
        <v>2.1666484577468359</v>
      </c>
    </row>
    <row r="149" spans="1:54" s="200" customFormat="1" ht="15" customHeight="1">
      <c r="A149" s="680">
        <v>2008</v>
      </c>
      <c r="B149" s="681"/>
      <c r="C149" s="53" t="s">
        <v>487</v>
      </c>
      <c r="D149" s="751"/>
      <c r="E149" s="751"/>
      <c r="F149" s="751"/>
      <c r="G149" s="751"/>
      <c r="H149" s="751"/>
      <c r="I149" s="751" t="s">
        <v>1033</v>
      </c>
      <c r="J149" s="740" t="s">
        <v>524</v>
      </c>
      <c r="K149" s="756">
        <f>K145</f>
        <v>160268.29988400001</v>
      </c>
      <c r="L149" s="756">
        <f t="shared" ref="L149:O149" si="202">L145</f>
        <v>114677.004979</v>
      </c>
      <c r="M149" s="756">
        <f t="shared" si="202"/>
        <v>97897.150259999995</v>
      </c>
      <c r="N149" s="756">
        <f t="shared" si="202"/>
        <v>89372.699315999998</v>
      </c>
      <c r="O149" s="756">
        <f t="shared" si="202"/>
        <v>53980.018191999996</v>
      </c>
      <c r="P149" s="756">
        <f t="shared" ref="P149:Z149" si="203">P145</f>
        <v>25332.413832000002</v>
      </c>
      <c r="Q149" s="756">
        <f t="shared" ref="Q149:T149" si="204">Q145</f>
        <v>4276.3730539999997</v>
      </c>
      <c r="R149" s="756">
        <f t="shared" si="204"/>
        <v>4546.5748899999999</v>
      </c>
      <c r="S149" s="756">
        <f t="shared" si="204"/>
        <v>15767.951344000001</v>
      </c>
      <c r="T149" s="756">
        <f t="shared" si="204"/>
        <v>2133.4244159999998</v>
      </c>
      <c r="U149" s="756">
        <f t="shared" si="203"/>
        <v>52182.179280000004</v>
      </c>
      <c r="V149" s="756">
        <f t="shared" ref="V149:Y149" si="205">V145</f>
        <v>55103.652769</v>
      </c>
      <c r="W149" s="756">
        <f t="shared" si="205"/>
        <v>34955.758759999997</v>
      </c>
      <c r="X149" s="756">
        <f t="shared" si="205"/>
        <v>36870.692666000003</v>
      </c>
      <c r="Y149" s="756">
        <f t="shared" si="205"/>
        <v>13956.236943999998</v>
      </c>
      <c r="Z149" s="756">
        <f t="shared" si="203"/>
        <v>177101.33007600001</v>
      </c>
      <c r="AA149" s="756">
        <f t="shared" ref="AA149:AD149" si="206">AA145</f>
        <v>158068.425048</v>
      </c>
      <c r="AB149" s="756">
        <f t="shared" si="206"/>
        <v>131285.56531999999</v>
      </c>
      <c r="AC149" s="756">
        <f t="shared" si="206"/>
        <v>144421.01508400001</v>
      </c>
      <c r="AD149" s="756">
        <f t="shared" si="206"/>
        <v>105016.56775999999</v>
      </c>
      <c r="AE149" s="766">
        <f t="shared" si="130"/>
        <v>2.0315122285043914E-2</v>
      </c>
      <c r="AF149" s="766">
        <f t="shared" si="131"/>
        <v>0.10918044949918709</v>
      </c>
      <c r="AG149" s="766">
        <f t="shared" si="132"/>
        <v>3.463118644397821E-2</v>
      </c>
      <c r="AH149" s="766">
        <f t="shared" si="133"/>
        <v>2.3428691691345593E-2</v>
      </c>
      <c r="AI149" s="766">
        <f t="shared" si="134"/>
        <v>0.14660998674385212</v>
      </c>
      <c r="AJ149" s="766">
        <f t="shared" si="135"/>
        <v>4.7198085340348001E-2</v>
      </c>
      <c r="AK149" s="751"/>
      <c r="AL149" s="751"/>
      <c r="AM149" s="756">
        <f>AM145</f>
        <v>124918.9722</v>
      </c>
      <c r="AN149" s="756">
        <f t="shared" ref="AN149:AQ149" si="207">AN145</f>
        <v>102964.772279</v>
      </c>
      <c r="AO149" s="756">
        <f t="shared" si="207"/>
        <v>96329.646789999999</v>
      </c>
      <c r="AP149" s="756">
        <f t="shared" si="207"/>
        <v>107550.322418</v>
      </c>
      <c r="AQ149" s="756">
        <f t="shared" si="207"/>
        <v>91060.330815999987</v>
      </c>
      <c r="AR149" s="771">
        <f>'Long Term Debt'!C105*BU8</f>
        <v>1976.1647400000002</v>
      </c>
      <c r="AS149" s="771">
        <f>'Long Term Debt'!D105*BV8</f>
        <v>6534.0011620000005</v>
      </c>
      <c r="AT149" s="771">
        <f>'Long Term Debt'!E105*BW8</f>
        <v>0</v>
      </c>
      <c r="AU149" s="771">
        <f>'Long Term Debt'!F105*BX8</f>
        <v>0</v>
      </c>
      <c r="AV149" s="771">
        <f>'Long Term Debt'!G105*BY8</f>
        <v>0</v>
      </c>
      <c r="AW149" s="743" t="e">
        <f t="shared" si="106"/>
        <v>#DIV/0!</v>
      </c>
      <c r="AX149" s="743" t="e">
        <f t="shared" si="107"/>
        <v>#DIV/0!</v>
      </c>
      <c r="AY149" s="743" t="e">
        <f t="shared" si="108"/>
        <v>#DIV/0!</v>
      </c>
      <c r="AZ149" s="766" t="e">
        <f t="shared" si="109"/>
        <v>#DIV/0!</v>
      </c>
      <c r="BA149" s="766" t="e">
        <f t="shared" si="110"/>
        <v>#DIV/0!</v>
      </c>
      <c r="BB149" s="760" t="e">
        <f t="shared" si="111"/>
        <v>#DIV/0!</v>
      </c>
    </row>
    <row r="150" spans="1:54" s="200" customFormat="1" ht="15" customHeight="1">
      <c r="A150" s="535">
        <v>2006</v>
      </c>
      <c r="B150" s="676"/>
      <c r="C150" s="411" t="s">
        <v>487</v>
      </c>
      <c r="D150" s="536"/>
      <c r="E150" s="536"/>
      <c r="F150" s="536"/>
      <c r="G150" s="536"/>
      <c r="H150" s="536"/>
      <c r="I150" s="536" t="s">
        <v>1034</v>
      </c>
      <c r="J150" s="524" t="s">
        <v>861</v>
      </c>
      <c r="K150" s="534">
        <f>'More Comp Group'!M426*BW8</f>
        <v>15601540.5</v>
      </c>
      <c r="L150" s="534">
        <f>'More Comp Group'!N426*BX8</f>
        <v>17474120.484000001</v>
      </c>
      <c r="M150" s="534">
        <f>'More Comp Group'!O426*BY8</f>
        <v>15823239.975999998</v>
      </c>
      <c r="N150" s="534">
        <f>'More Comp Group'!P426*BZ8</f>
        <v>14217848.316</v>
      </c>
      <c r="O150" s="534">
        <f>'More Comp Group'!Q426*CA8</f>
        <v>10717390.302999999</v>
      </c>
      <c r="P150" s="534">
        <f>'More Comp Group'!M430*BW8</f>
        <v>1382489.81</v>
      </c>
      <c r="Q150" s="534">
        <f>'More Comp Group'!N430*BX8</f>
        <v>2348904.09</v>
      </c>
      <c r="R150" s="534">
        <f>'More Comp Group'!O430*BY8</f>
        <v>3082753.7919999999</v>
      </c>
      <c r="S150" s="534">
        <f>'More Comp Group'!P430*BZ8</f>
        <v>2485239.36</v>
      </c>
      <c r="T150" s="534">
        <f>'More Comp Group'!Q430*CA8</f>
        <v>1188868.8939999999</v>
      </c>
      <c r="U150" s="534">
        <f>'More Comp Group'!M429*BW8</f>
        <v>12935937.82</v>
      </c>
      <c r="V150" s="534">
        <f>'More Comp Group'!N429*BX8</f>
        <v>17727618.743999999</v>
      </c>
      <c r="W150" s="534">
        <f>'More Comp Group'!O429*BY8</f>
        <v>14745918.823999999</v>
      </c>
      <c r="X150" s="534">
        <f>'More Comp Group'!P429*BZ8</f>
        <v>13370337.983999999</v>
      </c>
      <c r="Y150" s="534">
        <f>'More Comp Group'!Q429*CA8</f>
        <v>11018261.517999999</v>
      </c>
      <c r="Z150" s="534">
        <f>'More Comp Group'!M424*BW8</f>
        <v>26526772.870000001</v>
      </c>
      <c r="AA150" s="534">
        <f>'More Comp Group'!N424*BX8</f>
        <v>33650905.192000002</v>
      </c>
      <c r="AB150" s="534">
        <f>'More Comp Group'!O424*BY8</f>
        <v>27520285.183999997</v>
      </c>
      <c r="AC150" s="534">
        <f>'More Comp Group'!P424*BZ8</f>
        <v>23162680.607999999</v>
      </c>
      <c r="AD150" s="534">
        <f>'More Comp Group'!Q424*CA8</f>
        <v>19342054.154999997</v>
      </c>
      <c r="AE150" s="538">
        <f t="shared" si="130"/>
        <v>6.1465492986052493E-2</v>
      </c>
      <c r="AF150" s="538">
        <f t="shared" si="131"/>
        <v>0.10729498032026742</v>
      </c>
      <c r="AG150" s="538">
        <f t="shared" si="132"/>
        <v>0.1120175089534421</v>
      </c>
      <c r="AH150" s="538">
        <f t="shared" si="133"/>
        <v>0.14282778846692695</v>
      </c>
      <c r="AI150" s="538">
        <f t="shared" si="134"/>
        <v>0.25379415890830248</v>
      </c>
      <c r="AJ150" s="538">
        <f t="shared" si="135"/>
        <v>0.24132342107025651</v>
      </c>
      <c r="AK150" s="434"/>
      <c r="AL150" s="434"/>
      <c r="AM150" s="534">
        <f>'More Comp Group'!M434*BW8</f>
        <v>13590835.049999999</v>
      </c>
      <c r="AN150" s="534">
        <f>'More Comp Group'!N434*BX8</f>
        <v>15923286.448000001</v>
      </c>
      <c r="AO150" s="534">
        <f>'More Comp Group'!O434*BY8</f>
        <v>12774366.359999999</v>
      </c>
      <c r="AP150" s="534">
        <f>'More Comp Group'!P434*BZ8</f>
        <v>9792342.6239999998</v>
      </c>
      <c r="AQ150" s="534">
        <f>'More Comp Group'!Q434*CA8</f>
        <v>8323792.6369999992</v>
      </c>
      <c r="AR150" s="719">
        <f>'Long Term Debt'!C106*BW8</f>
        <v>6624543.5099999998</v>
      </c>
      <c r="AS150" s="719">
        <f>'Long Term Debt'!D106*BX8</f>
        <v>9062472.9020000007</v>
      </c>
      <c r="AT150" s="719">
        <f>'Long Term Debt'!E106*BY8</f>
        <v>8191644.7759999996</v>
      </c>
      <c r="AU150" s="719">
        <f>'Long Term Debt'!F106*BZ8</f>
        <v>7470548.3399999999</v>
      </c>
      <c r="AV150" s="719">
        <f>'Long Term Debt'!G106*CA8</f>
        <v>5248686.6839999994</v>
      </c>
      <c r="AW150" s="553">
        <f t="shared" si="106"/>
        <v>0.22650788008057826</v>
      </c>
      <c r="AX150" s="553">
        <f t="shared" si="107"/>
        <v>0.33267161216173857</v>
      </c>
      <c r="AY150" s="553">
        <f t="shared" si="108"/>
        <v>0.37632903724437577</v>
      </c>
      <c r="AZ150" s="538">
        <f t="shared" si="109"/>
        <v>0.19049641382909233</v>
      </c>
      <c r="BA150" s="538">
        <f t="shared" si="110"/>
        <v>0.29932508113460793</v>
      </c>
      <c r="BB150" s="455">
        <f t="shared" si="111"/>
        <v>0.31366212844837199</v>
      </c>
    </row>
    <row r="151" spans="1:54" s="200" customFormat="1" ht="15" customHeight="1">
      <c r="A151" s="535">
        <v>2006</v>
      </c>
      <c r="B151" s="676"/>
      <c r="C151" s="411" t="s">
        <v>487</v>
      </c>
      <c r="D151" s="536"/>
      <c r="E151" s="536"/>
      <c r="F151" s="536"/>
      <c r="G151" s="536"/>
      <c r="H151" s="536"/>
      <c r="I151" s="536" t="s">
        <v>1034</v>
      </c>
      <c r="J151" s="524" t="s">
        <v>862</v>
      </c>
      <c r="K151" s="534">
        <f>'More Comp Group'!V426*BW8</f>
        <v>10090.27435</v>
      </c>
      <c r="L151" s="534">
        <f>'More Comp Group'!W426*BX8</f>
        <v>7486.109254</v>
      </c>
      <c r="M151" s="534">
        <f>'More Comp Group'!X426*BY8</f>
        <v>4265.8221599999997</v>
      </c>
      <c r="N151" s="534">
        <f>'More Comp Group'!Y426*BZ8</f>
        <v>1646.7832920000001</v>
      </c>
      <c r="O151" s="534">
        <f>'More Comp Group'!Z426*CA8</f>
        <v>439.10093599999999</v>
      </c>
      <c r="P151" s="534">
        <f>'More Comp Group'!V430*BW8</f>
        <v>1208.18074</v>
      </c>
      <c r="Q151" s="534">
        <f>'More Comp Group'!W430*BX8</f>
        <v>317.68186200000002</v>
      </c>
      <c r="R151" s="534">
        <f>'More Comp Group'!X430*BY8</f>
        <v>167.860872</v>
      </c>
      <c r="S151" s="534">
        <f>'More Comp Group'!Y430*BZ8</f>
        <v>47.769047999999998</v>
      </c>
      <c r="T151" s="534">
        <f>'More Comp Group'!Z430*CA8</f>
        <v>-75.878631999999996</v>
      </c>
      <c r="U151" s="534">
        <f>'More Comp Group'!V429*BW8</f>
        <v>2614.95559</v>
      </c>
      <c r="V151" s="534">
        <f>'More Comp Group'!W429*BX8</f>
        <v>1947.6217380000001</v>
      </c>
      <c r="W151" s="534">
        <f>'More Comp Group'!X429*BY8</f>
        <v>833.14432799999997</v>
      </c>
      <c r="X151" s="534">
        <f>'More Comp Group'!Y429*BZ8</f>
        <v>553.090644</v>
      </c>
      <c r="Y151" s="534">
        <f>'More Comp Group'!Z429*CA8</f>
        <v>297.91692399999999</v>
      </c>
      <c r="Z151" s="534">
        <f>'More Comp Group'!V424*BW8</f>
        <v>3498.6434599999998</v>
      </c>
      <c r="AA151" s="534">
        <f>'More Comp Group'!W424*BX8</f>
        <v>2589.0981860000002</v>
      </c>
      <c r="AB151" s="534">
        <f>'More Comp Group'!X424*BY8</f>
        <v>1286.9333519999998</v>
      </c>
      <c r="AC151" s="534">
        <f>'More Comp Group'!Y424*BZ8</f>
        <v>696.71000400000003</v>
      </c>
      <c r="AD151" s="534">
        <f>'More Comp Group'!Z424*CA8</f>
        <v>393.54265899999996</v>
      </c>
      <c r="AE151" s="538">
        <f t="shared" si="130"/>
        <v>-0.19280916633741604</v>
      </c>
      <c r="AF151" s="538">
        <f t="shared" si="131"/>
        <v>6.8563746358951377E-2</v>
      </c>
      <c r="AG151" s="538">
        <f t="shared" si="132"/>
        <v>0.13043478260869568</v>
      </c>
      <c r="AH151" s="538">
        <f t="shared" si="133"/>
        <v>-0.7947882736156352</v>
      </c>
      <c r="AI151" s="538">
        <f t="shared" si="134"/>
        <v>0.33260869565217388</v>
      </c>
      <c r="AJ151" s="538">
        <f t="shared" si="135"/>
        <v>0.36990950226244346</v>
      </c>
      <c r="AK151" s="434"/>
      <c r="AL151" s="434"/>
      <c r="AM151" s="534">
        <f>'More Comp Group'!V434*BW8</f>
        <v>883.68786999999998</v>
      </c>
      <c r="AN151" s="534">
        <f>'More Comp Group'!W434*BX8</f>
        <v>641.65623400000004</v>
      </c>
      <c r="AO151" s="534">
        <f>'More Comp Group'!X434*BY8</f>
        <v>453.78902399999998</v>
      </c>
      <c r="AP151" s="534">
        <f>'More Comp Group'!Y434*BZ8</f>
        <v>143.61936</v>
      </c>
      <c r="AQ151" s="534">
        <f>'More Comp Group'!Z434*CA8</f>
        <v>95.470245999999989</v>
      </c>
      <c r="AR151" s="719">
        <f>'Long Term Debt'!C107*BW8</f>
        <v>90.270049999999998</v>
      </c>
      <c r="AS151" s="719">
        <f>'Long Term Debt'!D107*BX8</f>
        <v>438.13848200000001</v>
      </c>
      <c r="AT151" s="719">
        <f>'Long Term Debt'!E107*BY8</f>
        <v>70.498143999999996</v>
      </c>
      <c r="AU151" s="719">
        <f>'Long Term Debt'!F107*BZ8</f>
        <v>73.370760000000004</v>
      </c>
      <c r="AV151" s="719">
        <f>'Long Term Debt'!G107*CA8</f>
        <v>0</v>
      </c>
      <c r="AW151" s="553" t="e">
        <f t="shared" si="106"/>
        <v>#DIV/0!</v>
      </c>
      <c r="AX151" s="553">
        <f t="shared" si="107"/>
        <v>0.65106382978723398</v>
      </c>
      <c r="AY151" s="553">
        <f t="shared" si="108"/>
        <v>2.3810679611650487</v>
      </c>
      <c r="AZ151" s="538" t="e">
        <f t="shared" si="109"/>
        <v>#DIV/0!</v>
      </c>
      <c r="BA151" s="538">
        <f t="shared" si="110"/>
        <v>0.58541768965632301</v>
      </c>
      <c r="BB151" s="455">
        <f t="shared" si="111"/>
        <v>1.6719079780498098</v>
      </c>
    </row>
    <row r="152" spans="1:54" s="200" customFormat="1" ht="15" customHeight="1">
      <c r="A152" s="535">
        <v>2005</v>
      </c>
      <c r="B152" s="676"/>
      <c r="C152" s="411" t="s">
        <v>487</v>
      </c>
      <c r="D152" s="536"/>
      <c r="E152" s="536"/>
      <c r="F152" s="536"/>
      <c r="G152" s="411"/>
      <c r="H152" s="536"/>
      <c r="I152" s="536" t="s">
        <v>305</v>
      </c>
      <c r="J152" s="524" t="s">
        <v>888</v>
      </c>
      <c r="K152" s="534">
        <f>'More Comp Group'!M453*BX8</f>
        <v>406960.89280999999</v>
      </c>
      <c r="L152" s="534">
        <f>'More Comp Group'!N453*BY8</f>
        <v>714082.20283199998</v>
      </c>
      <c r="M152" s="534">
        <f>'More Comp Group'!O453*BZ8</f>
        <v>428456.51452799997</v>
      </c>
      <c r="N152" s="534">
        <f>'More Comp Group'!P453*CA8</f>
        <v>365272.73744299996</v>
      </c>
      <c r="O152" s="534">
        <f>'More Comp Group'!Q453*CB8</f>
        <v>121426.22962799999</v>
      </c>
      <c r="P152" s="534">
        <f>'More Comp Group'!M457*BX8</f>
        <v>-22575.728019999999</v>
      </c>
      <c r="Q152" s="534">
        <f>'More Comp Group'!N457*BY8</f>
        <v>322857.37272799999</v>
      </c>
      <c r="R152" s="534">
        <f>'More Comp Group'!O457*BZ8</f>
        <v>191270.23424399999</v>
      </c>
      <c r="S152" s="534">
        <f>'More Comp Group'!P457*CA8</f>
        <v>176188.31763599999</v>
      </c>
      <c r="T152" s="534">
        <f>'More Comp Group'!Q457*CB8</f>
        <v>37788.393779999999</v>
      </c>
      <c r="U152" s="534">
        <f>'More Comp Group'!M456*BX8</f>
        <v>1767386.452786</v>
      </c>
      <c r="V152" s="534">
        <f>'More Comp Group'!N456*BY8</f>
        <v>1513299.8123679999</v>
      </c>
      <c r="W152" s="534">
        <f>'More Comp Group'!O456*BZ8</f>
        <v>1252450.269084</v>
      </c>
      <c r="X152" s="534">
        <f>'More Comp Group'!P456*CA8</f>
        <v>1038965.0588799999</v>
      </c>
      <c r="Y152" s="534">
        <f>'More Comp Group'!Q456*CB8</f>
        <v>753262.92089999991</v>
      </c>
      <c r="Z152" s="534">
        <f>'More Comp Group'!M451*BX8</f>
        <v>4575589.8369859997</v>
      </c>
      <c r="AA152" s="534">
        <f>'More Comp Group'!N451*BY8</f>
        <v>4250212.2966879997</v>
      </c>
      <c r="AB152" s="534">
        <f>'More Comp Group'!O451*BZ8</f>
        <v>3030505.2466079998</v>
      </c>
      <c r="AC152" s="534">
        <f>'More Comp Group'!P451*CA8</f>
        <v>2653974.2587739998</v>
      </c>
      <c r="AD152" s="534">
        <f>'More Comp Group'!Q451*CB8</f>
        <v>843960.26914199989</v>
      </c>
      <c r="AE152" s="538">
        <f t="shared" si="130"/>
        <v>4.4775086176055454E-2</v>
      </c>
      <c r="AF152" s="538">
        <f t="shared" si="131"/>
        <v>6.638659627293822E-2</v>
      </c>
      <c r="AG152" s="538">
        <f t="shared" si="132"/>
        <v>6.3114965551729685E-2</v>
      </c>
      <c r="AH152" s="538">
        <f t="shared" si="133"/>
        <v>0.16184435970591812</v>
      </c>
      <c r="AI152" s="538">
        <f t="shared" si="134"/>
        <v>0.2016511159002212</v>
      </c>
      <c r="AJ152" s="538">
        <f t="shared" si="135"/>
        <v>0.17740543378464529</v>
      </c>
      <c r="AK152" s="434"/>
      <c r="AL152" s="434"/>
      <c r="AM152" s="534">
        <f>'More Comp Group'!M461*BX8</f>
        <v>1475690.1400820001</v>
      </c>
      <c r="AN152" s="534">
        <f>'More Comp Group'!N461*BY8</f>
        <v>1554217.1404799998</v>
      </c>
      <c r="AO152" s="534">
        <f>'More Comp Group'!O461*BZ8</f>
        <v>1078153.1893559999</v>
      </c>
      <c r="AP152" s="534">
        <f>'More Comp Group'!P461*CA8</f>
        <v>873728.45346999995</v>
      </c>
      <c r="AQ152" s="534">
        <f>'More Comp Group'!Q461*CB8</f>
        <v>233486.00994599998</v>
      </c>
      <c r="AR152" s="719">
        <f>'Long Term Debt'!C108*BX8</f>
        <v>2849812.15711</v>
      </c>
      <c r="AS152" s="719">
        <f>'Long Term Debt'!D108*BY8</f>
        <v>2533079.0787839997</v>
      </c>
      <c r="AT152" s="719">
        <f>'Long Term Debt'!E108*BZ8</f>
        <v>1835068.1168519999</v>
      </c>
      <c r="AU152" s="719">
        <f>'Long Term Debt'!F108*CA8</f>
        <v>1707182.3016489998</v>
      </c>
      <c r="AV152" s="719">
        <f>'Long Term Debt'!G108*CB8</f>
        <v>564957.52268399997</v>
      </c>
      <c r="AW152" s="553">
        <f t="shared" si="106"/>
        <v>6.6887141533180955E-2</v>
      </c>
      <c r="AX152" s="553">
        <f t="shared" si="107"/>
        <v>0.10320416130475131</v>
      </c>
      <c r="AY152" s="553">
        <f t="shared" si="108"/>
        <v>0.1042305909451023</v>
      </c>
      <c r="AZ152" s="538">
        <f t="shared" si="109"/>
        <v>8.9356060721890396E-2</v>
      </c>
      <c r="BA152" s="538">
        <f t="shared" si="110"/>
        <v>0.14817524780247732</v>
      </c>
      <c r="BB152" s="455">
        <f t="shared" si="111"/>
        <v>0.13808177652640458</v>
      </c>
    </row>
    <row r="153" spans="1:54" s="200" customFormat="1" ht="15" customHeight="1">
      <c r="A153" s="535">
        <v>2005</v>
      </c>
      <c r="B153" s="676"/>
      <c r="C153" s="411" t="s">
        <v>487</v>
      </c>
      <c r="D153" s="536"/>
      <c r="E153" s="536"/>
      <c r="F153" s="536"/>
      <c r="G153" s="536"/>
      <c r="H153" s="536"/>
      <c r="I153" s="536" t="s">
        <v>318</v>
      </c>
      <c r="J153" s="524" t="s">
        <v>914</v>
      </c>
      <c r="K153" s="534">
        <f>'More Comp Group'!M486*BX8</f>
        <v>10443.409168</v>
      </c>
      <c r="L153" s="534">
        <f>'More Comp Group'!N486*BY8</f>
        <v>10099.8858</v>
      </c>
      <c r="M153" s="534">
        <f>'More Comp Group'!O486*BZ8</f>
        <v>8502.4222200000004</v>
      </c>
      <c r="N153" s="534">
        <f>'More Comp Group'!P486*CA8</f>
        <v>13653.022622999999</v>
      </c>
      <c r="O153" s="534">
        <f>'More Comp Group'!Q486*CB8</f>
        <v>7667.2426499999992</v>
      </c>
      <c r="P153" s="534">
        <f>'More Comp Group'!M490*BX8</f>
        <v>-503.76037200000002</v>
      </c>
      <c r="Q153" s="534">
        <f>'More Comp Group'!N490*BY8</f>
        <v>1611.1905919999999</v>
      </c>
      <c r="R153" s="534">
        <f>'More Comp Group'!O490*BZ8</f>
        <v>1560.923892</v>
      </c>
      <c r="S153" s="534">
        <f>'More Comp Group'!P490*CA8</f>
        <v>1520.8379089999999</v>
      </c>
      <c r="T153" s="534">
        <f>'More Comp Group'!Q490*CB8</f>
        <v>1661.5951739999998</v>
      </c>
      <c r="U153" s="534">
        <f>'More Comp Group'!M489*BX8</f>
        <v>529559.84278599999</v>
      </c>
      <c r="V153" s="534">
        <f>'More Comp Group'!N489*BY8</f>
        <v>430346.85111199995</v>
      </c>
      <c r="W153" s="534">
        <f>'More Comp Group'!O489*BZ8</f>
        <v>353819.874756</v>
      </c>
      <c r="X153" s="534">
        <f>'More Comp Group'!P489*CA8</f>
        <v>310942.23752999998</v>
      </c>
      <c r="Y153" s="534">
        <f>'More Comp Group'!Q489*CB8</f>
        <v>257467.56913799999</v>
      </c>
      <c r="Z153" s="534">
        <f>'More Comp Group'!M484*BX8</f>
        <v>562506.16664399998</v>
      </c>
      <c r="AA153" s="534">
        <f>'More Comp Group'!N484*BY8</f>
        <v>462304.24156799994</v>
      </c>
      <c r="AB153" s="534">
        <f>'More Comp Group'!O484*BZ8</f>
        <v>382246.51712400001</v>
      </c>
      <c r="AC153" s="534">
        <f>'More Comp Group'!P484*CA8</f>
        <v>338393.35401299997</v>
      </c>
      <c r="AD153" s="534">
        <f>'More Comp Group'!Q484*CB8</f>
        <v>283022.7156</v>
      </c>
      <c r="AE153" s="538">
        <f t="shared" si="130"/>
        <v>5.8708897993486704E-3</v>
      </c>
      <c r="AF153" s="538">
        <f t="shared" si="131"/>
        <v>4.4942901240949736E-3</v>
      </c>
      <c r="AG153" s="538">
        <f t="shared" si="132"/>
        <v>4.0835529483546334E-3</v>
      </c>
      <c r="AH153" s="538">
        <f t="shared" si="133"/>
        <v>6.5019982431748502E-2</v>
      </c>
      <c r="AI153" s="538">
        <f t="shared" si="134"/>
        <v>5.5401677740205157E-2</v>
      </c>
      <c r="AJ153" s="538">
        <f t="shared" si="135"/>
        <v>5.4910596608382392E-2</v>
      </c>
      <c r="AK153" s="434"/>
      <c r="AL153" s="434"/>
      <c r="AM153" s="534">
        <f>'More Comp Group'!M494*BX8</f>
        <v>32946.323858000003</v>
      </c>
      <c r="AN153" s="534">
        <f>'More Comp Group'!N494*BY8</f>
        <v>31957.390455999997</v>
      </c>
      <c r="AO153" s="534">
        <f>'More Comp Group'!O494*BZ8</f>
        <v>28426.642368000001</v>
      </c>
      <c r="AP153" s="534">
        <f>'More Comp Group'!P494*CA8</f>
        <v>27451.116482999998</v>
      </c>
      <c r="AQ153" s="534">
        <f>'More Comp Group'!Q494*CB8</f>
        <v>25555.146461999997</v>
      </c>
      <c r="AR153" s="719">
        <f>'Long Term Debt'!C109*BX8</f>
        <v>16076.464120000001</v>
      </c>
      <c r="AS153" s="719">
        <f>'Long Term Debt'!D109*BY8</f>
        <v>15342.073031999998</v>
      </c>
      <c r="AT153" s="719">
        <f>'Long Term Debt'!E109*BZ8</f>
        <v>13993.677228</v>
      </c>
      <c r="AU153" s="719">
        <f>'Long Term Debt'!F109*CA8</f>
        <v>306721.02215799998</v>
      </c>
      <c r="AV153" s="719">
        <f>'Long Term Debt'!G109*CB8</f>
        <v>10498.956425999999</v>
      </c>
      <c r="AW153" s="553">
        <f t="shared" si="106"/>
        <v>0.1582628888605695</v>
      </c>
      <c r="AX153" s="553">
        <f t="shared" si="107"/>
        <v>4.9583751980866071E-3</v>
      </c>
      <c r="AY153" s="553">
        <f t="shared" si="108"/>
        <v>0.11154494037326669</v>
      </c>
      <c r="AZ153" s="538">
        <f t="shared" si="109"/>
        <v>0.14984364899397595</v>
      </c>
      <c r="BA153" s="538">
        <f t="shared" si="110"/>
        <v>9.0504324369462975E-3</v>
      </c>
      <c r="BB153" s="455">
        <f t="shared" si="111"/>
        <v>0.10733319699869337</v>
      </c>
    </row>
    <row r="154" spans="1:54" s="200" customFormat="1" ht="15" customHeight="1">
      <c r="A154" s="535">
        <v>2005</v>
      </c>
      <c r="B154" s="676"/>
      <c r="C154" s="411" t="s">
        <v>487</v>
      </c>
      <c r="D154" s="536"/>
      <c r="E154" s="536"/>
      <c r="F154" s="536"/>
      <c r="G154" s="536"/>
      <c r="H154" s="536"/>
      <c r="I154" s="536" t="s">
        <v>318</v>
      </c>
      <c r="J154" s="524" t="s">
        <v>915</v>
      </c>
      <c r="K154" s="534">
        <f>'More Comp Group'!V486*BX8</f>
        <v>23745.056164000001</v>
      </c>
      <c r="L154" s="534">
        <f>'More Comp Group'!W486*BY8</f>
        <v>19537.739271999999</v>
      </c>
      <c r="M154" s="534">
        <f>'More Comp Group'!X486*BZ8</f>
        <v>17148.619908000001</v>
      </c>
      <c r="N154" s="534">
        <f>'More Comp Group'!Y486*CA8</f>
        <v>15678.577825999999</v>
      </c>
      <c r="O154" s="534">
        <f>'More Comp Group'!Z486*CB8</f>
        <v>13610.749409999999</v>
      </c>
      <c r="P154" s="534">
        <f>'More Comp Group'!V490*BX8</f>
        <v>5873.9681920000003</v>
      </c>
      <c r="Q154" s="534">
        <f>'More Comp Group'!W490*BY8</f>
        <v>5970.6110159999998</v>
      </c>
      <c r="R154" s="534">
        <f>'More Comp Group'!X490*BZ8</f>
        <v>5940.8460479999994</v>
      </c>
      <c r="S154" s="534">
        <f>'More Comp Group'!Y490*CA8</f>
        <v>5365.4589229999992</v>
      </c>
      <c r="T154" s="534">
        <f>'More Comp Group'!Z490*CB8</f>
        <v>4717.9372319999993</v>
      </c>
      <c r="U154" s="534">
        <f>'More Comp Group'!V489*BX8</f>
        <v>987362.23875000002</v>
      </c>
      <c r="V154" s="534">
        <f>'More Comp Group'!W489*BY8</f>
        <v>857272.14667199994</v>
      </c>
      <c r="W154" s="534">
        <f>'More Comp Group'!X489*BZ8</f>
        <v>685770.89200799994</v>
      </c>
      <c r="X154" s="534">
        <f>'More Comp Group'!Y489*CA8</f>
        <v>565713.45185399998</v>
      </c>
      <c r="Y154" s="534">
        <f>'More Comp Group'!Z489*CB8</f>
        <v>467649.76994999999</v>
      </c>
      <c r="Z154" s="534">
        <f>'More Comp Group'!V484*BX8</f>
        <v>1051878.4448500001</v>
      </c>
      <c r="AA154" s="534">
        <f>'More Comp Group'!W484*BY8</f>
        <v>913806.35368799989</v>
      </c>
      <c r="AB154" s="534">
        <f>'More Comp Group'!X484*BZ8</f>
        <v>733213.36207199993</v>
      </c>
      <c r="AC154" s="534">
        <f>'More Comp Group'!Y484*CA8</f>
        <v>609187.39880899992</v>
      </c>
      <c r="AD154" s="534">
        <f>'More Comp Group'!Z484*CB8</f>
        <v>505666.80588599999</v>
      </c>
      <c r="AE154" s="538">
        <f t="shared" si="130"/>
        <v>9.3301303883957815E-3</v>
      </c>
      <c r="AF154" s="538">
        <f t="shared" si="131"/>
        <v>8.8075671517332966E-3</v>
      </c>
      <c r="AG154" s="538">
        <f t="shared" si="132"/>
        <v>8.1024792445293994E-3</v>
      </c>
      <c r="AH154" s="538">
        <f t="shared" si="133"/>
        <v>0.12410060689482573</v>
      </c>
      <c r="AI154" s="538">
        <f t="shared" si="134"/>
        <v>0.12341780074750977</v>
      </c>
      <c r="AJ154" s="538">
        <f t="shared" si="135"/>
        <v>0.12522210669018255</v>
      </c>
      <c r="AK154" s="434"/>
      <c r="AL154" s="434"/>
      <c r="AM154" s="534">
        <f>'More Comp Group'!V494*BX8</f>
        <v>64514.228454000004</v>
      </c>
      <c r="AN154" s="534">
        <f>'More Comp Group'!W494*BY8</f>
        <v>56534.207015999993</v>
      </c>
      <c r="AO154" s="534">
        <f>'More Comp Group'!X494*BZ8</f>
        <v>47442.470064000001</v>
      </c>
      <c r="AP154" s="534">
        <f>'More Comp Group'!Y494*CA8</f>
        <v>43473.946954999999</v>
      </c>
      <c r="AQ154" s="534">
        <f>'More Comp Group'!Z494*CB8</f>
        <v>38017.035936</v>
      </c>
      <c r="AR154" s="719">
        <f>'Long Term Debt'!C110*BX8</f>
        <v>28092.641216</v>
      </c>
      <c r="AS154" s="719">
        <f>'Long Term Debt'!D110*BY8</f>
        <v>26621.091623999997</v>
      </c>
      <c r="AT154" s="719">
        <f>'Long Term Debt'!E110*BZ8</f>
        <v>29038.897944</v>
      </c>
      <c r="AU154" s="719">
        <f>'Long Term Debt'!F110*CA8</f>
        <v>15893.308134999999</v>
      </c>
      <c r="AV154" s="719">
        <f>'Long Term Debt'!G110*CB8</f>
        <v>15168.429845999999</v>
      </c>
      <c r="AW154" s="553">
        <f t="shared" si="106"/>
        <v>0.31103662540550603</v>
      </c>
      <c r="AX154" s="553">
        <f t="shared" si="107"/>
        <v>0.33759232989287286</v>
      </c>
      <c r="AY154" s="553">
        <f t="shared" si="108"/>
        <v>0.2045823522454816</v>
      </c>
      <c r="AZ154" s="538">
        <f t="shared" si="109"/>
        <v>0.29698240382969732</v>
      </c>
      <c r="BA154" s="538">
        <f t="shared" si="110"/>
        <v>0.32230801485716915</v>
      </c>
      <c r="BB154" s="455">
        <f t="shared" si="111"/>
        <v>0.19944735843769112</v>
      </c>
    </row>
    <row r="155" spans="1:54" s="684" customFormat="1" ht="15" customHeight="1">
      <c r="A155" s="535">
        <v>2007</v>
      </c>
      <c r="B155" s="676"/>
      <c r="C155" s="411" t="s">
        <v>487</v>
      </c>
      <c r="D155" s="536"/>
      <c r="E155" s="536"/>
      <c r="F155" s="536"/>
      <c r="G155" s="536"/>
      <c r="H155" s="536"/>
      <c r="I155" s="536" t="s">
        <v>327</v>
      </c>
      <c r="J155" s="524" t="s">
        <v>532</v>
      </c>
      <c r="K155" s="534">
        <f>'More Comp Group'!D876*BV8</f>
        <v>16761.082997000001</v>
      </c>
      <c r="L155" s="534">
        <f>'More Comp Group'!E876*BW8</f>
        <v>15442.72912</v>
      </c>
      <c r="M155" s="534">
        <f>'More Comp Group'!F876*BX8</f>
        <v>17710.898646000001</v>
      </c>
      <c r="N155" s="534">
        <f>'More Comp Group'!G876*BY8</f>
        <v>16.25564</v>
      </c>
      <c r="O155" s="534">
        <f>'More Comp Group'!H876*BZ8</f>
        <v>13810.406435999999</v>
      </c>
      <c r="P155" s="534">
        <f>'More Comp Group'!D880*BV8</f>
        <v>5122.072459</v>
      </c>
      <c r="Q155" s="534">
        <f>'More Comp Group'!E880*BW8</f>
        <v>4005.9132099999997</v>
      </c>
      <c r="R155" s="534">
        <f>'More Comp Group'!F880*BX8</f>
        <v>3544.8405619999999</v>
      </c>
      <c r="S155" s="534">
        <f>'More Comp Group'!G880*BY8</f>
        <v>4.1066880000000001</v>
      </c>
      <c r="T155" s="534">
        <f>'More Comp Group'!H880*BZ8</f>
        <v>4143.1063199999999</v>
      </c>
      <c r="U155" s="534">
        <f>'More Comp Group'!D879*BV8</f>
        <v>711745.58907800005</v>
      </c>
      <c r="V155" s="534">
        <f>'More Comp Group'!E879*BW8</f>
        <v>603926.60574999999</v>
      </c>
      <c r="W155" s="534">
        <f>'More Comp Group'!F879*BX8</f>
        <v>623683.20736600005</v>
      </c>
      <c r="X155" s="534">
        <f>'More Comp Group'!G879*BY8</f>
        <v>536.43611999999996</v>
      </c>
      <c r="Y155" s="534">
        <f>'More Comp Group'!H879*BZ8</f>
        <v>458226.46623600001</v>
      </c>
      <c r="Z155" s="534">
        <f>'More Comp Group'!D874*BV8</f>
        <v>765834.23690000002</v>
      </c>
      <c r="AA155" s="534">
        <f>'More Comp Group'!E874*BW8</f>
        <v>652149.98485000001</v>
      </c>
      <c r="AB155" s="534">
        <f>'More Comp Group'!F874*BX8</f>
        <v>674845.80831600004</v>
      </c>
      <c r="AC155" s="534">
        <f>'More Comp Group'!G874*BY8</f>
        <v>584.17636799999991</v>
      </c>
      <c r="AD155" s="534">
        <f>'More Comp Group'!H874*BZ8</f>
        <v>499555.59091199999</v>
      </c>
      <c r="AE155" s="538">
        <f t="shared" ref="AE155:AE156" si="208">T155/AD155</f>
        <v>8.2935841283174345E-3</v>
      </c>
      <c r="AF155" s="538">
        <f t="shared" ref="AF155:AF156" si="209">S155/AC155</f>
        <v>7.0298769771529011E-3</v>
      </c>
      <c r="AG155" s="538">
        <f t="shared" ref="AG155:AG156" si="210">R155/AB155</f>
        <v>5.2528155592249156E-3</v>
      </c>
      <c r="AH155" s="538">
        <f t="shared" ref="AH155:AH156" si="211">T155/AQ155</f>
        <v>0.10024665057583278</v>
      </c>
      <c r="AI155" s="538">
        <f t="shared" ref="AI155:AI156" si="212">S155/AP155</f>
        <v>8.6021505376344093E-2</v>
      </c>
      <c r="AJ155" s="538">
        <f t="shared" ref="AJ155:AJ156" si="213">R155/AO155</f>
        <v>6.9285777035930765E-2</v>
      </c>
      <c r="AK155" s="434"/>
      <c r="AL155" s="434"/>
      <c r="AM155" s="534">
        <f>'More Comp Group'!D884*BV8</f>
        <v>54088.647821999999</v>
      </c>
      <c r="AN155" s="534">
        <f>'More Comp Group'!E884*BW8</f>
        <v>48223.379099999998</v>
      </c>
      <c r="AO155" s="534">
        <f>'More Comp Group'!F884*BX8</f>
        <v>51162.60095</v>
      </c>
      <c r="AP155" s="534">
        <f>'More Comp Group'!G884*BY8</f>
        <v>47.740247999999994</v>
      </c>
      <c r="AQ155" s="534">
        <f>'More Comp Group'!H884*BZ8</f>
        <v>41329.124675999999</v>
      </c>
      <c r="AR155" s="719">
        <f>'More Comp Group'!D882*BV8</f>
        <v>19274.160367</v>
      </c>
      <c r="AS155" s="719">
        <f>'More Comp Group'!E882*BW8</f>
        <v>18857.6531</v>
      </c>
      <c r="AT155" s="719">
        <f>'More Comp Group'!F882*BX8</f>
        <v>21273.358236</v>
      </c>
      <c r="AU155" s="719">
        <f>'More Comp Group'!G882*BY8</f>
        <v>20.191215999999997</v>
      </c>
      <c r="AV155" s="719">
        <f>'More Comp Group'!H882*BZ8</f>
        <v>15206.168064</v>
      </c>
      <c r="AW155" s="553">
        <f t="shared" ref="AW155:AW156" si="214">T155/AV155</f>
        <v>0.27246222076215504</v>
      </c>
      <c r="AX155" s="553">
        <f t="shared" ref="AX155:AX156" si="215">S155/AU155</f>
        <v>0.20338983050847462</v>
      </c>
      <c r="AY155" s="553">
        <f t="shared" ref="AY155:AY156" si="216">R155/AT155</f>
        <v>0.16663286175481296</v>
      </c>
      <c r="AZ155" s="538">
        <f t="shared" ref="AZ155:AZ156" si="217">((AQ155/(AQ155+Y155))*AH155)+(Y155/(AQ155+Y155))*AW155</f>
        <v>0.25821451960364128</v>
      </c>
      <c r="BA155" s="538">
        <f t="shared" ref="BA155:BA156" si="218">((AP155/(AP155+X155))*AI155)+(X155/(AP155+X155))*AX155</f>
        <v>0.19379821870066433</v>
      </c>
      <c r="BB155" s="455">
        <f t="shared" ref="BB155:BB156" si="219">((AO155/(AO155+W155))*AJ155)+(W155/(AO155+W155))*AY155</f>
        <v>0.15925261283314246</v>
      </c>
    </row>
    <row r="156" spans="1:54" s="684" customFormat="1" ht="15" customHeight="1">
      <c r="A156" s="535">
        <v>2007</v>
      </c>
      <c r="B156" s="676"/>
      <c r="C156" s="411" t="s">
        <v>487</v>
      </c>
      <c r="D156" s="536"/>
      <c r="E156" s="536"/>
      <c r="F156" s="536"/>
      <c r="G156" s="536"/>
      <c r="H156" s="536"/>
      <c r="I156" s="536" t="s">
        <v>327</v>
      </c>
      <c r="J156" s="524" t="s">
        <v>531</v>
      </c>
      <c r="K156" s="534">
        <f>'More Comp Group'!D891*BV8</f>
        <v>26457.552649000001</v>
      </c>
      <c r="L156" s="534">
        <f>'More Comp Group'!E891*BW8</f>
        <v>22902.869729999999</v>
      </c>
      <c r="M156" s="534">
        <f>'More Comp Group'!F891*BX8</f>
        <v>23712.335112000001</v>
      </c>
      <c r="N156" s="534">
        <f>'More Comp Group'!G891*BY8</f>
        <v>20992.362384</v>
      </c>
      <c r="O156" s="534">
        <f>'More Comp Group'!H891*BZ8</f>
        <v>18286.178904</v>
      </c>
      <c r="P156" s="534">
        <f>'More Comp Group'!D895*BV8</f>
        <v>9105.0598819999996</v>
      </c>
      <c r="Q156" s="534">
        <f>'More Comp Group'!E895*BW8</f>
        <v>5582.2040299999999</v>
      </c>
      <c r="R156" s="534">
        <f>'More Comp Group'!F895*BX8</f>
        <v>4267.4004960000002</v>
      </c>
      <c r="S156" s="534">
        <f>'More Comp Group'!G895*BY8</f>
        <v>5970.6110159999998</v>
      </c>
      <c r="T156" s="534">
        <f>'More Comp Group'!H895*BZ8</f>
        <v>5980.8096960000003</v>
      </c>
      <c r="U156" s="534">
        <f>'More Comp Group'!D894*BV8</f>
        <v>1114476.757094</v>
      </c>
      <c r="V156" s="534">
        <f>'More Comp Group'!E894*BW8</f>
        <v>929959.17923999997</v>
      </c>
      <c r="W156" s="534">
        <f>'More Comp Group'!F894*BX8</f>
        <v>987576.00430400006</v>
      </c>
      <c r="X156" s="534">
        <f>'More Comp Group'!G894*BY8</f>
        <v>856644.33674399997</v>
      </c>
      <c r="Y156" s="534">
        <f>'More Comp Group'!H894*BZ8</f>
        <v>684626.620368</v>
      </c>
      <c r="Z156" s="534">
        <f>'More Comp Group'!D889*BV8</f>
        <v>1184459.5839</v>
      </c>
      <c r="AA156" s="534">
        <f>'More Comp Group'!E889*BW8</f>
        <v>989925.17402999999</v>
      </c>
      <c r="AB156" s="534">
        <f>'More Comp Group'!F889*BX8</f>
        <v>1050480.6087</v>
      </c>
      <c r="AC156" s="534">
        <f>'More Comp Group'!G889*BY8</f>
        <v>913178.54375999991</v>
      </c>
      <c r="AD156" s="534">
        <f>'More Comp Group'!H889*BZ8</f>
        <v>733219.91860800004</v>
      </c>
      <c r="AE156" s="538">
        <f t="shared" si="208"/>
        <v>8.1569111043169971E-3</v>
      </c>
      <c r="AF156" s="538">
        <f t="shared" si="209"/>
        <v>6.5382734371047446E-3</v>
      </c>
      <c r="AG156" s="538">
        <f t="shared" si="210"/>
        <v>4.0623315277385566E-3</v>
      </c>
      <c r="AH156" s="538">
        <f t="shared" si="211"/>
        <v>0.12307929542307705</v>
      </c>
      <c r="AI156" s="538">
        <f t="shared" si="212"/>
        <v>0.10561059102341758</v>
      </c>
      <c r="AJ156" s="538">
        <f t="shared" si="213"/>
        <v>6.7835749234075635E-2</v>
      </c>
      <c r="AK156" s="434"/>
      <c r="AL156" s="434"/>
      <c r="AM156" s="534">
        <f>'More Comp Group'!D899*BV8</f>
        <v>69982.826805999997</v>
      </c>
      <c r="AN156" s="534">
        <f>'More Comp Group'!E899*BW8</f>
        <v>15025.250109999999</v>
      </c>
      <c r="AO156" s="534">
        <f>'More Comp Group'!F899*BX8</f>
        <v>62907.840543999999</v>
      </c>
      <c r="AP156" s="534">
        <f>'More Comp Group'!G899*BY8</f>
        <v>56534.207015999993</v>
      </c>
      <c r="AQ156" s="534">
        <f>'More Comp Group'!H899*BZ8</f>
        <v>48593.142132000001</v>
      </c>
      <c r="AR156" s="719">
        <f>'More Comp Group'!D897*BV8</f>
        <v>35660.518182</v>
      </c>
      <c r="AS156" s="719">
        <f>'More Comp Group'!E897*BW8</f>
        <v>34677.599190000001</v>
      </c>
      <c r="AT156" s="719">
        <f>'More Comp Group'!F897*BX8</f>
        <v>28114.215536</v>
      </c>
      <c r="AU156" s="719">
        <f>'More Comp Group'!G897*BY8</f>
        <v>26643.507295999996</v>
      </c>
      <c r="AV156" s="719">
        <f>'More Comp Group'!H897*BZ8</f>
        <v>29184.858924</v>
      </c>
      <c r="AW156" s="553">
        <f t="shared" si="214"/>
        <v>0.2049285114440528</v>
      </c>
      <c r="AX156" s="553">
        <f t="shared" si="215"/>
        <v>0.22409253217561079</v>
      </c>
      <c r="AY156" s="553">
        <f t="shared" si="216"/>
        <v>0.15178799815828517</v>
      </c>
      <c r="AZ156" s="538">
        <f t="shared" si="217"/>
        <v>0.19950406601729709</v>
      </c>
      <c r="BA156" s="538">
        <f t="shared" si="218"/>
        <v>0.21675740298918081</v>
      </c>
      <c r="BB156" s="455">
        <f t="shared" si="219"/>
        <v>0.14676054846019054</v>
      </c>
    </row>
    <row r="157" spans="1:54" s="200" customFormat="1" ht="15" customHeight="1">
      <c r="A157" s="535">
        <v>2007</v>
      </c>
      <c r="B157" s="676"/>
      <c r="C157" s="411" t="s">
        <v>487</v>
      </c>
      <c r="D157" s="536"/>
      <c r="E157" s="536"/>
      <c r="F157" s="536"/>
      <c r="G157" s="536"/>
      <c r="H157" s="536"/>
      <c r="I157" s="536" t="s">
        <v>327</v>
      </c>
      <c r="J157" s="524" t="s">
        <v>916</v>
      </c>
      <c r="K157" s="534">
        <f>'More Comp Group'!M502*BV8</f>
        <v>193573.553212</v>
      </c>
      <c r="L157" s="534">
        <f>'More Comp Group'!N502*BW8</f>
        <v>155110.94702999998</v>
      </c>
      <c r="M157" s="534">
        <f>'More Comp Group'!O502*BX8</f>
        <v>219564.19185800001</v>
      </c>
      <c r="N157" s="534">
        <f>'More Comp Group'!P502*BY8</f>
        <v>359305.768736</v>
      </c>
      <c r="O157" s="534">
        <f>'More Comp Group'!Q502*BZ8</f>
        <v>269353.89476399997</v>
      </c>
      <c r="P157" s="534">
        <f>'More Comp Group'!M506*BV8</f>
        <v>37049.751327999998</v>
      </c>
      <c r="Q157" s="534">
        <f>'More Comp Group'!N506*BW8</f>
        <v>31452.641739999999</v>
      </c>
      <c r="R157" s="534">
        <f>'More Comp Group'!O506*BX8</f>
        <v>44795.659546000003</v>
      </c>
      <c r="S157" s="534">
        <f>'More Comp Group'!P506*BY8</f>
        <v>100972.33563999999</v>
      </c>
      <c r="T157" s="534">
        <f>'More Comp Group'!Q506*BZ8</f>
        <v>79924.017731999993</v>
      </c>
      <c r="U157" s="534">
        <f>'More Comp Group'!M505*BV8</f>
        <v>282902.10593700001</v>
      </c>
      <c r="V157" s="534">
        <f>'More Comp Group'!N505*BW8</f>
        <v>187651.4627</v>
      </c>
      <c r="W157" s="534">
        <f>'More Comp Group'!O505*BX8</f>
        <v>367362.84652399999</v>
      </c>
      <c r="X157" s="534">
        <f>'More Comp Group'!P505*BY8</f>
        <v>685576.654752</v>
      </c>
      <c r="Y157" s="534">
        <f>'More Comp Group'!Q505*BZ8</f>
        <v>499370.44682399998</v>
      </c>
      <c r="Z157" s="534">
        <f>'More Comp Group'!M500*BV8</f>
        <v>437514.01422000001</v>
      </c>
      <c r="AA157" s="534">
        <f>'More Comp Group'!N500*BW8</f>
        <v>328935.27484999999</v>
      </c>
      <c r="AB157" s="534">
        <f>'More Comp Group'!O500*BX8</f>
        <v>512590.38160399999</v>
      </c>
      <c r="AC157" s="534">
        <f>'More Comp Group'!P500*BY8</f>
        <v>845226.03298399993</v>
      </c>
      <c r="AD157" s="534">
        <f>'More Comp Group'!Q500*BZ8</f>
        <v>565098.93968399998</v>
      </c>
      <c r="AE157" s="538">
        <f t="shared" si="130"/>
        <v>0.14143367137919785</v>
      </c>
      <c r="AF157" s="538">
        <f t="shared" si="131"/>
        <v>0.11946193290275926</v>
      </c>
      <c r="AG157" s="538">
        <f t="shared" si="132"/>
        <v>8.7390753228387227E-2</v>
      </c>
      <c r="AH157" s="538">
        <f t="shared" si="133"/>
        <v>1.215975052488576</v>
      </c>
      <c r="AI157" s="538">
        <f t="shared" si="134"/>
        <v>0.63246306849544109</v>
      </c>
      <c r="AJ157" s="538">
        <f t="shared" si="135"/>
        <v>0.30845155859268614</v>
      </c>
      <c r="AK157" s="434"/>
      <c r="AL157" s="434"/>
      <c r="AM157" s="534">
        <f>'More Comp Group'!M510*BV8</f>
        <v>154611.908283</v>
      </c>
      <c r="AN157" s="534">
        <f>'More Comp Group'!N510*BW8</f>
        <v>141283.65237999998</v>
      </c>
      <c r="AO157" s="534">
        <f>'More Comp Group'!O510*BX8</f>
        <v>145227.53508</v>
      </c>
      <c r="AP157" s="534">
        <f>'More Comp Group'!P510*BY8</f>
        <v>159649.37823199999</v>
      </c>
      <c r="AQ157" s="534">
        <f>'More Comp Group'!Q510*BZ8</f>
        <v>65728.336752000003</v>
      </c>
      <c r="AR157" s="719">
        <f>'Long Term Debt'!C111*BV8</f>
        <v>3691.2584019999999</v>
      </c>
      <c r="AS157" s="719">
        <f>'Long Term Debt'!D111*BW8</f>
        <v>41540.519540000001</v>
      </c>
      <c r="AT157" s="719">
        <f>'Long Term Debt'!E111*BX8</f>
        <v>53645.984967999997</v>
      </c>
      <c r="AU157" s="719">
        <f>'Long Term Debt'!F111*BY8</f>
        <v>48007.011607999993</v>
      </c>
      <c r="AV157" s="719">
        <f>'Long Term Debt'!G111*BZ8</f>
        <v>36287.929032</v>
      </c>
      <c r="AW157" s="553">
        <f t="shared" si="106"/>
        <v>2.2024959776988133</v>
      </c>
      <c r="AX157" s="553">
        <f t="shared" si="107"/>
        <v>2.1032830884056475</v>
      </c>
      <c r="AY157" s="553">
        <f t="shared" si="108"/>
        <v>0.83502352641527144</v>
      </c>
      <c r="AZ157" s="538">
        <f t="shared" si="109"/>
        <v>2.0877507659417036</v>
      </c>
      <c r="BA157" s="538">
        <f t="shared" si="110"/>
        <v>1.8254692344702148</v>
      </c>
      <c r="BB157" s="455">
        <f t="shared" si="111"/>
        <v>0.68583471664907891</v>
      </c>
    </row>
    <row r="158" spans="1:54" s="200" customFormat="1" ht="15" customHeight="1">
      <c r="A158" s="535">
        <v>2007</v>
      </c>
      <c r="B158" s="676"/>
      <c r="C158" s="411" t="s">
        <v>487</v>
      </c>
      <c r="D158" s="536"/>
      <c r="E158" s="536"/>
      <c r="F158" s="536"/>
      <c r="G158" s="536"/>
      <c r="H158" s="536"/>
      <c r="I158" s="536" t="s">
        <v>327</v>
      </c>
      <c r="J158" s="524" t="s">
        <v>917</v>
      </c>
      <c r="K158" s="534">
        <f>'More Comp Group'!V502*BV8</f>
        <v>339936.37200000003</v>
      </c>
      <c r="L158" s="534">
        <f>'More Comp Group'!W502*BW8</f>
        <v>334238.83999999997</v>
      </c>
      <c r="M158" s="534">
        <f>'More Comp Group'!X502*BX8</f>
        <v>310310.636</v>
      </c>
      <c r="N158" s="534">
        <f>'More Comp Group'!Y502*BY8</f>
        <v>289692.61599999998</v>
      </c>
      <c r="O158" s="534">
        <f>'More Comp Group'!Z502*BZ8</f>
        <v>261324.79199999999</v>
      </c>
      <c r="P158" s="534">
        <f>'More Comp Group'!V506*BV8</f>
        <v>146444.32399999999</v>
      </c>
      <c r="Q158" s="534">
        <f>'More Comp Group'!W506*BW8</f>
        <v>107045.9</v>
      </c>
      <c r="R158" s="534">
        <f>'More Comp Group'!X506*BX8</f>
        <v>80903.7</v>
      </c>
      <c r="S158" s="534">
        <f>'More Comp Group'!Y506*BY8</f>
        <v>106260.552</v>
      </c>
      <c r="T158" s="534">
        <f>'More Comp Group'!Z506*BZ8</f>
        <v>121608.132</v>
      </c>
      <c r="U158" s="534">
        <f>'More Comp Group'!V505*BV8</f>
        <v>14877020.444</v>
      </c>
      <c r="V158" s="534">
        <f>'More Comp Group'!W505*BW8</f>
        <v>12464616.32</v>
      </c>
      <c r="W158" s="534">
        <f>'More Comp Group'!X505*BX8</f>
        <v>14193385.556</v>
      </c>
      <c r="X158" s="534">
        <f>'More Comp Group'!Y505*BY8</f>
        <v>11396401.423999999</v>
      </c>
      <c r="Y158" s="534">
        <f>'More Comp Group'!Z505*BZ8</f>
        <v>9232383.2280000001</v>
      </c>
      <c r="Z158" s="534">
        <f>'More Comp Group'!V500*BV8</f>
        <v>15967235.484999999</v>
      </c>
      <c r="AA158" s="534">
        <f>'More Comp Group'!W500*BW8</f>
        <v>13275768.609999999</v>
      </c>
      <c r="AB158" s="534">
        <f>'More Comp Group'!X500*BX8</f>
        <v>15038379.756000001</v>
      </c>
      <c r="AC158" s="534">
        <f>'More Comp Group'!Y500*BY8</f>
        <v>12145871.983999999</v>
      </c>
      <c r="AD158" s="534">
        <f>'More Comp Group'!Z500*BZ8</f>
        <v>9776887.932</v>
      </c>
      <c r="AE158" s="538">
        <f t="shared" si="130"/>
        <v>1.2438327292468345E-2</v>
      </c>
      <c r="AF158" s="538">
        <f t="shared" si="131"/>
        <v>8.7486968527232256E-3</v>
      </c>
      <c r="AG158" s="538">
        <f t="shared" si="132"/>
        <v>5.3798149343662572E-3</v>
      </c>
      <c r="AH158" s="538">
        <f t="shared" si="133"/>
        <v>0.22340120447375966</v>
      </c>
      <c r="AI158" s="538">
        <f t="shared" si="134"/>
        <v>0.14178082191780822</v>
      </c>
      <c r="AJ158" s="538">
        <f t="shared" si="135"/>
        <v>9.5724313975749833E-2</v>
      </c>
      <c r="AK158" s="434"/>
      <c r="AL158" s="434"/>
      <c r="AM158" s="534">
        <f>'More Comp Group'!V510*BV8</f>
        <v>1090215.041</v>
      </c>
      <c r="AN158" s="534">
        <f>'More Comp Group'!W510*BW8</f>
        <v>811152.28999999992</v>
      </c>
      <c r="AO158" s="534">
        <f>'More Comp Group'!X510*BX8</f>
        <v>845173.98600000003</v>
      </c>
      <c r="AP158" s="534">
        <f>'More Comp Group'!Y510*BY8</f>
        <v>749470.55999999994</v>
      </c>
      <c r="AQ158" s="534">
        <f>'More Comp Group'!Z510*BZ8</f>
        <v>544348.59600000002</v>
      </c>
      <c r="AR158" s="719">
        <f>'Long Term Debt'!C112*BV8</f>
        <v>663140.98300000001</v>
      </c>
      <c r="AS158" s="719">
        <f>'Long Term Debt'!D112*BW8</f>
        <v>823454.58</v>
      </c>
      <c r="AT158" s="719">
        <f>'Long Term Debt'!E112*BX8</f>
        <v>583944.92799999996</v>
      </c>
      <c r="AU158" s="719">
        <f>'Long Term Debt'!F112*BY8</f>
        <v>502555.94399999996</v>
      </c>
      <c r="AV158" s="719">
        <f>'Long Term Debt'!G112*BZ8</f>
        <v>579785.11199999996</v>
      </c>
      <c r="AW158" s="553">
        <f t="shared" si="106"/>
        <v>0.20974690360796985</v>
      </c>
      <c r="AX158" s="553">
        <f t="shared" si="107"/>
        <v>0.21144024514811033</v>
      </c>
      <c r="AY158" s="553">
        <f t="shared" si="108"/>
        <v>0.13854679802955666</v>
      </c>
      <c r="AZ158" s="538">
        <f t="shared" si="109"/>
        <v>0.21050714738262349</v>
      </c>
      <c r="BA158" s="538">
        <f t="shared" si="110"/>
        <v>0.20714185578533212</v>
      </c>
      <c r="BB158" s="455">
        <f t="shared" si="111"/>
        <v>0.1361401546647385</v>
      </c>
    </row>
    <row r="159" spans="1:54" s="684" customFormat="1" ht="15" customHeight="1">
      <c r="A159" s="535">
        <v>2007</v>
      </c>
      <c r="B159" s="676"/>
      <c r="C159" s="411" t="s">
        <v>487</v>
      </c>
      <c r="D159" s="536"/>
      <c r="E159" s="536"/>
      <c r="F159" s="536"/>
      <c r="G159" s="536"/>
      <c r="H159" s="536"/>
      <c r="I159" s="536" t="s">
        <v>328</v>
      </c>
      <c r="J159" s="524" t="s">
        <v>921</v>
      </c>
      <c r="K159" s="534">
        <f>'More Comp Group'!D831*BV8</f>
        <v>1287163.605765</v>
      </c>
      <c r="L159" s="534">
        <f>'More Comp Group'!E831*BW8</f>
        <v>1022947.23648</v>
      </c>
      <c r="M159" s="534">
        <f>'More Comp Group'!F831*BX8</f>
        <v>894100.94804000005</v>
      </c>
      <c r="N159" s="534">
        <f>'More Comp Group'!G831*BY8</f>
        <v>902562.07083199988</v>
      </c>
      <c r="O159" s="534">
        <f>'More Comp Group'!H831*BZ8</f>
        <v>729937.12347600004</v>
      </c>
      <c r="P159" s="534">
        <f>'More Comp Group'!D835*BV8</f>
        <v>24678.353509</v>
      </c>
      <c r="Q159" s="534">
        <f>'More Comp Group'!E835*BW8</f>
        <v>22077.497909999998</v>
      </c>
      <c r="R159" s="534">
        <f>'More Comp Group'!F835*BX8</f>
        <v>14114.819074000001</v>
      </c>
      <c r="S159" s="534">
        <f>'More Comp Group'!G835*BY8</f>
        <v>11776.783399999998</v>
      </c>
      <c r="T159" s="534">
        <f>'More Comp Group'!H835*BZ8</f>
        <v>10536.665568</v>
      </c>
      <c r="U159" s="534">
        <f>'More Comp Group'!D834*BV8</f>
        <v>180480.03909400001</v>
      </c>
      <c r="V159" s="534">
        <f>'More Comp Group'!E834*BW8</f>
        <v>159808.18502999999</v>
      </c>
      <c r="W159" s="534">
        <f>'More Comp Group'!F834*BX8</f>
        <v>124817.86878800001</v>
      </c>
      <c r="X159" s="534">
        <f>'More Comp Group'!G834*BY8</f>
        <v>126032.71471199999</v>
      </c>
      <c r="Y159" s="534">
        <f>'More Comp Group'!H834*BZ8</f>
        <v>105644.05959599999</v>
      </c>
      <c r="Z159" s="534">
        <f>'More Comp Group'!D829*BV8</f>
        <v>201122.72498200001</v>
      </c>
      <c r="AA159" s="534">
        <f>'More Comp Group'!E829*BW8</f>
        <v>179716.80518999998</v>
      </c>
      <c r="AB159" s="534">
        <f>'More Comp Group'!F829*BX8</f>
        <v>147015.14727799999</v>
      </c>
      <c r="AC159" s="534">
        <f>'More Comp Group'!G829*BY8</f>
        <v>150175.59123999998</v>
      </c>
      <c r="AD159" s="534">
        <f>'More Comp Group'!H829*BZ8</f>
        <v>127603.615848</v>
      </c>
      <c r="AE159" s="538">
        <f t="shared" ref="AE159:AE161" si="220">T159/AD159</f>
        <v>8.2573409052539376E-2</v>
      </c>
      <c r="AF159" s="538">
        <f t="shared" ref="AF159:AF161" si="221">S159/AC159</f>
        <v>7.8420090127557268E-2</v>
      </c>
      <c r="AG159" s="538">
        <f t="shared" ref="AG159:AG161" si="222">R159/AB159</f>
        <v>9.6009284317550084E-2</v>
      </c>
      <c r="AH159" s="538">
        <f t="shared" ref="AH159:AH161" si="223">T159/AQ159</f>
        <v>0.47982142476309642</v>
      </c>
      <c r="AI159" s="538">
        <f t="shared" ref="AI159:AI161" si="224">S159/AP159</f>
        <v>0.48779537046224503</v>
      </c>
      <c r="AJ159" s="538">
        <f t="shared" ref="AJ159:AJ161" si="225">R159/AO159</f>
        <v>0.63588061393917306</v>
      </c>
      <c r="AK159" s="434"/>
      <c r="AL159" s="434"/>
      <c r="AM159" s="534">
        <f>'More Comp Group'!D839*BV8</f>
        <v>20642.685888</v>
      </c>
      <c r="AN159" s="534">
        <f>'More Comp Group'!E839*BW8</f>
        <v>19908.620159999999</v>
      </c>
      <c r="AO159" s="534">
        <f>'More Comp Group'!F839*BX8</f>
        <v>22197.278490000001</v>
      </c>
      <c r="AP159" s="534">
        <f>'More Comp Group'!G839*BY8</f>
        <v>24142.876527999997</v>
      </c>
      <c r="AQ159" s="534">
        <f>'More Comp Group'!H839*BZ8</f>
        <v>21959.556251999998</v>
      </c>
      <c r="AR159" s="719">
        <f>'More Comp Group'!D837*BV8</f>
        <v>309.78607</v>
      </c>
      <c r="AS159" s="719">
        <f>'More Comp Group'!E837*BW8</f>
        <v>0</v>
      </c>
      <c r="AT159" s="719">
        <f>'More Comp Group'!F837*BX8</f>
        <v>0</v>
      </c>
      <c r="AU159" s="719">
        <f>'More Comp Group'!G837*BY8</f>
        <v>0</v>
      </c>
      <c r="AV159" s="719">
        <f>'More Comp Group'!H837*BZ8</f>
        <v>0</v>
      </c>
      <c r="AW159" s="553" t="e">
        <f t="shared" ref="AW159:AW161" si="226">T159/AV159</f>
        <v>#DIV/0!</v>
      </c>
      <c r="AX159" s="553" t="e">
        <f t="shared" ref="AX159:AX161" si="227">S159/AU159</f>
        <v>#DIV/0!</v>
      </c>
      <c r="AY159" s="553" t="e">
        <f t="shared" ref="AY159:AY161" si="228">R159/AT159</f>
        <v>#DIV/0!</v>
      </c>
      <c r="AZ159" s="538" t="e">
        <f t="shared" ref="AZ159:AZ161" si="229">((AQ159/(AQ159+Y159))*AH159)+(Y159/(AQ159+Y159))*AW159</f>
        <v>#DIV/0!</v>
      </c>
      <c r="BA159" s="538" t="e">
        <f t="shared" ref="BA159:BA161" si="230">((AP159/(AP159+X159))*AI159)+(X159/(AP159+X159))*AX159</f>
        <v>#DIV/0!</v>
      </c>
      <c r="BB159" s="455" t="e">
        <f t="shared" ref="BB159:BB161" si="231">((AO159/(AO159+W159))*AJ159)+(W159/(AO159+W159))*AY159</f>
        <v>#DIV/0!</v>
      </c>
    </row>
    <row r="160" spans="1:54" s="684" customFormat="1" ht="15" customHeight="1">
      <c r="A160" s="535">
        <v>2007</v>
      </c>
      <c r="B160" s="676"/>
      <c r="C160" s="411" t="s">
        <v>487</v>
      </c>
      <c r="D160" s="536"/>
      <c r="E160" s="536"/>
      <c r="F160" s="536"/>
      <c r="G160" s="536"/>
      <c r="H160" s="536"/>
      <c r="I160" s="536" t="s">
        <v>328</v>
      </c>
      <c r="J160" s="524" t="s">
        <v>927</v>
      </c>
      <c r="K160" s="534">
        <f>'More Comp Group'!D846*BV8</f>
        <v>30881.363992999999</v>
      </c>
      <c r="L160" s="534">
        <f>'More Comp Group'!E846*BW8</f>
        <v>45017.114739999997</v>
      </c>
      <c r="M160" s="534">
        <f>'More Comp Group'!F846*BX8</f>
        <v>56529.572622</v>
      </c>
      <c r="N160" s="534">
        <f>'More Comp Group'!G846*BY8</f>
        <v>45355.631168</v>
      </c>
      <c r="O160" s="534">
        <f>'More Comp Group'!H846*BZ8</f>
        <v>31793.735819999998</v>
      </c>
      <c r="P160" s="534">
        <f>'More Comp Group'!D850*BV8</f>
        <v>1148.1963909999999</v>
      </c>
      <c r="Q160" s="534">
        <f>'More Comp Group'!E850*BW8</f>
        <v>1451.35068</v>
      </c>
      <c r="R160" s="534">
        <f>'More Comp Group'!F850*BX8</f>
        <v>4231.8028679999998</v>
      </c>
      <c r="S160" s="534">
        <f>'More Comp Group'!G850*BY8</f>
        <v>1285.9066799999998</v>
      </c>
      <c r="T160" s="534">
        <f>'More Comp Group'!H850*BZ8</f>
        <v>1086.199464</v>
      </c>
      <c r="U160" s="534">
        <f>'More Comp Group'!D849*BV8</f>
        <v>8993.2387070000004</v>
      </c>
      <c r="V160" s="534">
        <f>'More Comp Group'!E849*BW8</f>
        <v>13711.14186</v>
      </c>
      <c r="W160" s="534">
        <f>'More Comp Group'!F849*BX8</f>
        <v>24909.350300000002</v>
      </c>
      <c r="X160" s="534">
        <f>'More Comp Group'!G849*BY8</f>
        <v>27315.464119999997</v>
      </c>
      <c r="Y160" s="534">
        <f>'More Comp Group'!H849*BZ8</f>
        <v>20842.291295999999</v>
      </c>
      <c r="Z160" s="534">
        <f>'More Comp Group'!D844*BV8</f>
        <v>27356.429235</v>
      </c>
      <c r="AA160" s="534">
        <f>'More Comp Group'!E844*BW8</f>
        <v>29113.44917</v>
      </c>
      <c r="AB160" s="534">
        <f>'More Comp Group'!F844*BX8</f>
        <v>41370.55646</v>
      </c>
      <c r="AC160" s="534">
        <f>'More Comp Group'!G844*BY8</f>
        <v>39481.356207999997</v>
      </c>
      <c r="AD160" s="534">
        <f>'More Comp Group'!H844*BZ8</f>
        <v>31214.731248</v>
      </c>
      <c r="AE160" s="538">
        <f t="shared" si="220"/>
        <v>3.4797655484206526E-2</v>
      </c>
      <c r="AF160" s="538">
        <f t="shared" si="221"/>
        <v>3.2569972349111964E-2</v>
      </c>
      <c r="AG160" s="538">
        <f t="shared" si="222"/>
        <v>0.10229020903046368</v>
      </c>
      <c r="AH160" s="538">
        <f t="shared" si="223"/>
        <v>0.10471818797501693</v>
      </c>
      <c r="AI160" s="538">
        <f t="shared" si="224"/>
        <v>0.10569917578553545</v>
      </c>
      <c r="AJ160" s="538">
        <f t="shared" si="225"/>
        <v>0.25707732634338137</v>
      </c>
      <c r="AK160" s="434"/>
      <c r="AL160" s="434"/>
      <c r="AM160" s="534">
        <f>'More Comp Group'!D854*BV8</f>
        <v>18362.859206000001</v>
      </c>
      <c r="AN160" s="534">
        <f>'More Comp Group'!E854*BW8</f>
        <v>15402.30731</v>
      </c>
      <c r="AO160" s="534">
        <f>'More Comp Group'!F854*BX8</f>
        <v>16461.206160000002</v>
      </c>
      <c r="AP160" s="534">
        <f>'More Comp Group'!G854*BY8</f>
        <v>12165.720975999999</v>
      </c>
      <c r="AQ160" s="534">
        <f>'More Comp Group'!H854*BZ8</f>
        <v>10372.59606</v>
      </c>
      <c r="AR160" s="719">
        <f>'More Comp Group'!D852*BV8</f>
        <v>1318.495899</v>
      </c>
      <c r="AS160" s="719">
        <f>'More Comp Group'!E852*BW8</f>
        <v>4583.3219899999995</v>
      </c>
      <c r="AT160" s="719">
        <f>'More Comp Group'!F852*BX8</f>
        <v>9813.0794519999999</v>
      </c>
      <c r="AU160" s="719">
        <f>'More Comp Group'!G852*BY8</f>
        <v>15194.403375999998</v>
      </c>
      <c r="AV160" s="719">
        <f>'More Comp Group'!H852*BZ8</f>
        <v>12327.224328</v>
      </c>
      <c r="AW160" s="553">
        <f t="shared" si="226"/>
        <v>8.8113871792923543E-2</v>
      </c>
      <c r="AX160" s="553">
        <f t="shared" si="227"/>
        <v>8.4630284465866346E-2</v>
      </c>
      <c r="AY160" s="553">
        <f t="shared" si="228"/>
        <v>0.43124106848411564</v>
      </c>
      <c r="AZ160" s="538">
        <f t="shared" si="229"/>
        <v>9.3631427010891388E-2</v>
      </c>
      <c r="BA160" s="538">
        <f t="shared" si="230"/>
        <v>9.1122446553846118E-2</v>
      </c>
      <c r="BB160" s="455">
        <f t="shared" si="231"/>
        <v>0.36194189752063888</v>
      </c>
    </row>
    <row r="161" spans="1:54" s="684" customFormat="1" ht="15" customHeight="1">
      <c r="A161" s="535">
        <v>2007</v>
      </c>
      <c r="B161" s="676"/>
      <c r="C161" s="411" t="s">
        <v>487</v>
      </c>
      <c r="D161" s="536"/>
      <c r="E161" s="536"/>
      <c r="F161" s="536"/>
      <c r="G161" s="536"/>
      <c r="H161" s="536"/>
      <c r="I161" s="536" t="s">
        <v>328</v>
      </c>
      <c r="J161" s="524" t="s">
        <v>1066</v>
      </c>
      <c r="K161" s="534">
        <f>'More Comp Group'!D861*BV8</f>
        <v>2450.623173</v>
      </c>
      <c r="L161" s="534">
        <f>'More Comp Group'!E861*BW8</f>
        <v>2460.4580000000001</v>
      </c>
      <c r="M161" s="534">
        <f>'More Comp Group'!F861*BX8</f>
        <v>3645.880294</v>
      </c>
      <c r="N161" s="534">
        <f>'More Comp Group'!G861*BY8</f>
        <v>3932.4959839999997</v>
      </c>
      <c r="O161" s="534">
        <f>'More Comp Group'!H861*BZ8</f>
        <v>4651.8622919999998</v>
      </c>
      <c r="P161" s="534">
        <f>'More Comp Group'!D865*BV8</f>
        <v>25594.624500000002</v>
      </c>
      <c r="Q161" s="534">
        <f>'More Comp Group'!E865*BW8</f>
        <v>17672.319469999999</v>
      </c>
      <c r="R161" s="534">
        <f>'More Comp Group'!F865*BX8</f>
        <v>-49203.652694000004</v>
      </c>
      <c r="S161" s="534">
        <f>'More Comp Group'!G865*BY8</f>
        <v>4447.8853279999994</v>
      </c>
      <c r="T161" s="534">
        <f>'More Comp Group'!H865*BZ8</f>
        <v>474.41221200000001</v>
      </c>
      <c r="U161" s="534">
        <f>'More Comp Group'!D864*BV8</f>
        <v>190337.531238</v>
      </c>
      <c r="V161" s="534">
        <f>'More Comp Group'!E864*BW8</f>
        <v>210584.20942</v>
      </c>
      <c r="W161" s="534">
        <f>'More Comp Group'!F864*BX8</f>
        <v>259046.09638800001</v>
      </c>
      <c r="X161" s="534">
        <f>'More Comp Group'!G864*BY8</f>
        <v>56580.578367999995</v>
      </c>
      <c r="Y161" s="534">
        <f>'More Comp Group'!H864*BZ8</f>
        <v>44808.615888</v>
      </c>
      <c r="Z161" s="534">
        <f>'More Comp Group'!D859*BV8</f>
        <v>398712.89480000001</v>
      </c>
      <c r="AA161" s="534">
        <f>'More Comp Group'!E859*BW8</f>
        <v>409753.17187999998</v>
      </c>
      <c r="AB161" s="534">
        <f>'More Comp Group'!F859*BX8</f>
        <v>425815.05063000001</v>
      </c>
      <c r="AC161" s="534">
        <f>'More Comp Group'!G859*BY8</f>
        <v>261760.97756799997</v>
      </c>
      <c r="AD161" s="534">
        <f>'More Comp Group'!H859*BZ8</f>
        <v>122276.27424</v>
      </c>
      <c r="AE161" s="538">
        <f t="shared" si="220"/>
        <v>3.8798386273107958E-3</v>
      </c>
      <c r="AF161" s="538">
        <f t="shared" si="221"/>
        <v>1.6992163497114587E-2</v>
      </c>
      <c r="AG161" s="538">
        <f t="shared" si="222"/>
        <v>-0.11555169931453205</v>
      </c>
      <c r="AH161" s="538">
        <f t="shared" si="223"/>
        <v>6.123991173714597E-3</v>
      </c>
      <c r="AI161" s="538">
        <f t="shared" si="224"/>
        <v>2.1677943189011083E-2</v>
      </c>
      <c r="AJ161" s="538">
        <f t="shared" si="225"/>
        <v>-0.29504052402010356</v>
      </c>
      <c r="AK161" s="434"/>
      <c r="AL161" s="434"/>
      <c r="AM161" s="534">
        <f>'More Comp Group'!D869*BV8</f>
        <v>208375.36356200001</v>
      </c>
      <c r="AN161" s="534">
        <f>'More Comp Group'!E869*BW8</f>
        <v>199169.12223000001</v>
      </c>
      <c r="AO161" s="534">
        <f>'More Comp Group'!F869*BX8</f>
        <v>166769.134028</v>
      </c>
      <c r="AP161" s="534">
        <f>'More Comp Group'!G869*BY8</f>
        <v>205180.22808799997</v>
      </c>
      <c r="AQ161" s="534">
        <f>'More Comp Group'!H869*BZ8</f>
        <v>77467.814459999994</v>
      </c>
      <c r="AR161" s="719">
        <f>'More Comp Group'!D867*BV8</f>
        <v>107406.64067200001</v>
      </c>
      <c r="AS161" s="719">
        <f>'More Comp Group'!E867*BW8</f>
        <v>112524.73284</v>
      </c>
      <c r="AT161" s="719">
        <f>'More Comp Group'!F867*BX8</f>
        <v>145579.735854</v>
      </c>
      <c r="AU161" s="719">
        <f>'More Comp Group'!G867*BY8</f>
        <v>11865.932751999999</v>
      </c>
      <c r="AV161" s="719">
        <f>'More Comp Group'!H867*BZ8</f>
        <v>17005.468872000001</v>
      </c>
      <c r="AW161" s="553">
        <f t="shared" si="226"/>
        <v>2.7897626085519669E-2</v>
      </c>
      <c r="AX161" s="553">
        <f t="shared" si="227"/>
        <v>0.37484498024399387</v>
      </c>
      <c r="AY161" s="553">
        <f t="shared" si="228"/>
        <v>-0.33798421466670125</v>
      </c>
      <c r="AZ161" s="538">
        <f t="shared" si="229"/>
        <v>1.4103014117645167E-2</v>
      </c>
      <c r="BA161" s="538">
        <f t="shared" si="230"/>
        <v>9.8016320532919157E-2</v>
      </c>
      <c r="BB161" s="455">
        <f t="shared" si="231"/>
        <v>-0.32116545951296283</v>
      </c>
    </row>
    <row r="162" spans="1:54" s="200" customFormat="1" ht="15" customHeight="1">
      <c r="A162" s="535">
        <v>2007</v>
      </c>
      <c r="B162" s="676"/>
      <c r="C162" s="411" t="s">
        <v>487</v>
      </c>
      <c r="D162" s="536"/>
      <c r="E162" s="536"/>
      <c r="F162" s="536"/>
      <c r="G162" s="536"/>
      <c r="H162" s="536"/>
      <c r="I162" s="536" t="s">
        <v>328</v>
      </c>
      <c r="J162" s="524" t="s">
        <v>920</v>
      </c>
      <c r="K162" s="534">
        <f>'More Comp Group'!M517*BV8</f>
        <v>9723803.7170000002</v>
      </c>
      <c r="L162" s="534">
        <f>'More Comp Group'!N517*BW8</f>
        <v>8983547.5600000005</v>
      </c>
      <c r="M162" s="534">
        <f>'More Comp Group'!O517*BX8</f>
        <v>11790186.094000001</v>
      </c>
      <c r="N162" s="534">
        <f>'More Comp Group'!P517*BY8</f>
        <v>10928410.103999998</v>
      </c>
      <c r="O162" s="534">
        <f>'More Comp Group'!Q517*BZ8</f>
        <v>8224237.7639999995</v>
      </c>
      <c r="P162" s="534">
        <f>'More Comp Group'!M521*BV8</f>
        <v>-151745.476</v>
      </c>
      <c r="Q162" s="534">
        <f>'More Comp Group'!N521*BW8</f>
        <v>413964.07</v>
      </c>
      <c r="R162" s="534">
        <f>'More Comp Group'!O521*BX8</f>
        <v>-508434.80800000002</v>
      </c>
      <c r="S162" s="534">
        <f>'More Comp Group'!P521*BY8</f>
        <v>1437169.6879999998</v>
      </c>
      <c r="T162" s="534">
        <f>'More Comp Group'!Q521*BZ8</f>
        <v>1754029.4879999999</v>
      </c>
      <c r="U162" s="534">
        <f>'More Comp Group'!M520*BV8</f>
        <v>6727493.21</v>
      </c>
      <c r="V162" s="534">
        <f>'More Comp Group'!N520*BW8</f>
        <v>7311234.9699999997</v>
      </c>
      <c r="W162" s="534">
        <f>'More Comp Group'!O520*BX8</f>
        <v>9862520.602</v>
      </c>
      <c r="X162" s="534">
        <f>'More Comp Group'!P520*BY8</f>
        <v>6763715.135999999</v>
      </c>
      <c r="Y162" s="534">
        <f>'More Comp Group'!Q520*BZ8</f>
        <v>4917870.324</v>
      </c>
      <c r="Z162" s="534">
        <f>'More Comp Group'!M515*BV8</f>
        <v>14502129.601</v>
      </c>
      <c r="AA162" s="534">
        <f>'More Comp Group'!N515*BW8</f>
        <v>15127982.219999999</v>
      </c>
      <c r="AB162" s="534">
        <f>'More Comp Group'!O515*BX8</f>
        <v>18864225.835999999</v>
      </c>
      <c r="AC162" s="534">
        <f>'More Comp Group'!P515*BY8</f>
        <v>16220048.703999998</v>
      </c>
      <c r="AD162" s="534">
        <f>'More Comp Group'!Q515*BZ8</f>
        <v>12428070.095999999</v>
      </c>
      <c r="AE162" s="538">
        <f t="shared" si="130"/>
        <v>0.14113450233633121</v>
      </c>
      <c r="AF162" s="538">
        <f t="shared" si="131"/>
        <v>8.8604523588488485E-2</v>
      </c>
      <c r="AG162" s="538">
        <f t="shared" si="132"/>
        <v>-2.6952328307569145E-2</v>
      </c>
      <c r="AH162" s="538">
        <f t="shared" si="133"/>
        <v>0.23355297345611006</v>
      </c>
      <c r="AI162" s="538">
        <f t="shared" si="134"/>
        <v>0.15197958888245511</v>
      </c>
      <c r="AJ162" s="538">
        <f t="shared" si="135"/>
        <v>-5.6482054764425103E-2</v>
      </c>
      <c r="AK162" s="434"/>
      <c r="AL162" s="434"/>
      <c r="AM162" s="534">
        <f>'More Comp Group'!M525*BV8</f>
        <v>7774636.3909999998</v>
      </c>
      <c r="AN162" s="534">
        <f>'More Comp Group'!N525*BW8</f>
        <v>7816747.25</v>
      </c>
      <c r="AO162" s="534">
        <f>'More Comp Group'!O525*BX8</f>
        <v>9001705.2339999992</v>
      </c>
      <c r="AP162" s="534">
        <f>'More Comp Group'!P525*BY8</f>
        <v>9456333.568</v>
      </c>
      <c r="AQ162" s="534">
        <f>'More Comp Group'!Q525*BZ8</f>
        <v>7510199.7719999999</v>
      </c>
      <c r="AR162" s="719">
        <f>'Long Term Debt'!C113*BV8</f>
        <v>4290785.5609999998</v>
      </c>
      <c r="AS162" s="719">
        <f>'Long Term Debt'!D113*BW8</f>
        <v>5333282.37</v>
      </c>
      <c r="AT162" s="719">
        <f>'Long Term Debt'!E113*BX8</f>
        <v>6262126.1660000002</v>
      </c>
      <c r="AU162" s="719">
        <f>'Long Term Debt'!F113*BY8</f>
        <v>3804675.32</v>
      </c>
      <c r="AV162" s="719">
        <f>'Long Term Debt'!G113*BZ8</f>
        <v>2522236.9559999998</v>
      </c>
      <c r="AW162" s="553">
        <f t="shared" si="106"/>
        <v>0.69542613108869222</v>
      </c>
      <c r="AX162" s="553">
        <f t="shared" si="107"/>
        <v>0.37773780076456037</v>
      </c>
      <c r="AY162" s="553">
        <f t="shared" si="108"/>
        <v>-8.1192041572162726E-2</v>
      </c>
      <c r="AZ162" s="538">
        <f t="shared" si="109"/>
        <v>0.41631926603636471</v>
      </c>
      <c r="BA162" s="538">
        <f t="shared" si="110"/>
        <v>0.24612013449047956</v>
      </c>
      <c r="BB162" s="455">
        <f t="shared" si="111"/>
        <v>-6.9400833201724368E-2</v>
      </c>
    </row>
    <row r="163" spans="1:54" s="200" customFormat="1" ht="15" customHeight="1">
      <c r="A163" s="535">
        <v>2007</v>
      </c>
      <c r="B163" s="676"/>
      <c r="C163" s="411" t="s">
        <v>487</v>
      </c>
      <c r="D163" s="536"/>
      <c r="E163" s="536"/>
      <c r="F163" s="536"/>
      <c r="G163" s="536"/>
      <c r="H163" s="536"/>
      <c r="I163" s="536" t="s">
        <v>328</v>
      </c>
      <c r="J163" s="524" t="s">
        <v>918</v>
      </c>
      <c r="K163" s="534">
        <f>'More Comp Group'!V517*BV8</f>
        <v>2111308.1954109999</v>
      </c>
      <c r="L163" s="534">
        <f>'More Comp Group'!W517*BW8</f>
        <v>1809332.77993</v>
      </c>
      <c r="M163" s="534">
        <f>'More Comp Group'!X517*BX8</f>
        <v>735036.18347000005</v>
      </c>
      <c r="N163" s="534">
        <f>'More Comp Group'!Y517*BY8</f>
        <v>593580.17018399993</v>
      </c>
      <c r="O163" s="534">
        <f>'More Comp Group'!Z517*BZ8</f>
        <v>424652.16256799997</v>
      </c>
      <c r="P163" s="534">
        <f>'More Comp Group'!V521*BV8</f>
        <v>202360.37831299999</v>
      </c>
      <c r="Q163" s="534">
        <f>'More Comp Group'!W521*BW8</f>
        <v>115568.51110999999</v>
      </c>
      <c r="R163" s="534">
        <f>'More Comp Group'!X521*BX8</f>
        <v>22022.526497999999</v>
      </c>
      <c r="S163" s="534">
        <f>'More Comp Group'!Y521*BY8</f>
        <v>85381.807983999999</v>
      </c>
      <c r="T163" s="534">
        <f>'More Comp Group'!Z521*BZ8</f>
        <v>41273.550228</v>
      </c>
      <c r="U163" s="534">
        <f>'More Comp Group'!V520*BV8</f>
        <v>1645241.348214</v>
      </c>
      <c r="V163" s="534">
        <f>'More Comp Group'!W520*BW8</f>
        <v>1469201.3027899999</v>
      </c>
      <c r="W163" s="534">
        <f>'More Comp Group'!X520*BX8</f>
        <v>1863461.2146099999</v>
      </c>
      <c r="X163" s="534">
        <f>'More Comp Group'!Y520*BY8</f>
        <v>784448.93281599996</v>
      </c>
      <c r="Y163" s="534">
        <f>'More Comp Group'!Z520*BZ8</f>
        <v>500998.34104799997</v>
      </c>
      <c r="Z163" s="534">
        <f>'More Comp Group'!V515*BV8</f>
        <v>3154555.6923350003</v>
      </c>
      <c r="AA163" s="534">
        <f>'More Comp Group'!W515*BW8</f>
        <v>2602846.4619299998</v>
      </c>
      <c r="AB163" s="534">
        <f>'More Comp Group'!X515*BX8</f>
        <v>2873816.6444720002</v>
      </c>
      <c r="AC163" s="534">
        <f>'More Comp Group'!Y515*BY8</f>
        <v>1508015.18936</v>
      </c>
      <c r="AD163" s="534">
        <f>'More Comp Group'!Z515*BZ8</f>
        <v>1068763.137048</v>
      </c>
      <c r="AE163" s="538">
        <f t="shared" si="130"/>
        <v>3.8618051837005243E-2</v>
      </c>
      <c r="AF163" s="538">
        <f t="shared" si="131"/>
        <v>5.6618665771023133E-2</v>
      </c>
      <c r="AG163" s="538">
        <f t="shared" si="132"/>
        <v>7.6631633894813592E-3</v>
      </c>
      <c r="AH163" s="538">
        <f t="shared" si="133"/>
        <v>7.2694803409403361E-2</v>
      </c>
      <c r="AI163" s="538">
        <f t="shared" si="134"/>
        <v>0.11800139573018185</v>
      </c>
      <c r="AJ163" s="538">
        <f t="shared" si="135"/>
        <v>2.1796807270335714E-2</v>
      </c>
      <c r="AK163" s="434"/>
      <c r="AL163" s="434"/>
      <c r="AM163" s="534">
        <f>'More Comp Group'!V525*BV8</f>
        <v>1509314.344121</v>
      </c>
      <c r="AN163" s="534">
        <f>'More Comp Group'!W525*BW8</f>
        <v>1133645.1591399999</v>
      </c>
      <c r="AO163" s="534">
        <f>'More Comp Group'!X525*BX8</f>
        <v>1010355.609648</v>
      </c>
      <c r="AP163" s="534">
        <f>'More Comp Group'!Y525*BY8</f>
        <v>723566.08543199999</v>
      </c>
      <c r="AQ163" s="534">
        <f>'More Comp Group'!Z525*BZ8</f>
        <v>567764.79599999997</v>
      </c>
      <c r="AR163" s="719">
        <f>'Long Term Debt'!C114*BV8</f>
        <v>1143361.5747150001</v>
      </c>
      <c r="AS163" s="719">
        <f>'Long Term Debt'!D114*BW8</f>
        <v>1010247.43872</v>
      </c>
      <c r="AT163" s="719">
        <f>'Long Term Debt'!E114*BX8</f>
        <v>1361242.147988</v>
      </c>
      <c r="AU163" s="719">
        <f>'Long Term Debt'!F114*BY8</f>
        <v>502026.18124799995</v>
      </c>
      <c r="AV163" s="719">
        <f>'Long Term Debt'!G114*BZ8</f>
        <v>315755.90500799997</v>
      </c>
      <c r="AW163" s="553">
        <f t="shared" si="106"/>
        <v>0.13071347066954866</v>
      </c>
      <c r="AX163" s="553">
        <f t="shared" si="107"/>
        <v>0.17007441279605606</v>
      </c>
      <c r="AY163" s="553">
        <f t="shared" si="108"/>
        <v>1.6178257873186379E-2</v>
      </c>
      <c r="AZ163" s="538">
        <f t="shared" si="109"/>
        <v>9.9891901662094357E-2</v>
      </c>
      <c r="BA163" s="538">
        <f t="shared" si="110"/>
        <v>0.14508907202752536</v>
      </c>
      <c r="BB163" s="455">
        <f t="shared" si="111"/>
        <v>1.8153586590582943E-2</v>
      </c>
    </row>
    <row r="164" spans="1:54" s="200" customFormat="1" ht="15" customHeight="1">
      <c r="A164" s="535">
        <v>2007</v>
      </c>
      <c r="B164" s="676"/>
      <c r="C164" s="411" t="s">
        <v>487</v>
      </c>
      <c r="D164" s="536"/>
      <c r="E164" s="536"/>
      <c r="F164" s="536"/>
      <c r="G164" s="536"/>
      <c r="H164" s="536"/>
      <c r="I164" s="536" t="s">
        <v>328</v>
      </c>
      <c r="J164" s="524" t="s">
        <v>919</v>
      </c>
      <c r="K164" s="534">
        <f>'More Comp Group'!AE517*BV8</f>
        <v>123006.771381</v>
      </c>
      <c r="L164" s="534">
        <f>'More Comp Group'!AF517*BW8</f>
        <v>95757.350649999993</v>
      </c>
      <c r="M164" s="534">
        <f>'More Comp Group'!AG517*BX8</f>
        <v>155789.06365</v>
      </c>
      <c r="N164" s="534">
        <f>'More Comp Group'!AH517*BY8</f>
        <v>147297.316288</v>
      </c>
      <c r="O164" s="534">
        <f>'More Comp Group'!AI517*BZ8</f>
        <v>55568.359788000002</v>
      </c>
      <c r="P164" s="534">
        <f>'More Comp Group'!AE521*BV8</f>
        <v>-6234.8173960000004</v>
      </c>
      <c r="Q164" s="534">
        <f>'More Comp Group'!AF521*BW8</f>
        <v>-6251.8000999999995</v>
      </c>
      <c r="R164" s="534">
        <f>'More Comp Group'!AG521*BX8</f>
        <v>991.69957599999998</v>
      </c>
      <c r="S164" s="534">
        <f>'More Comp Group'!AH521*BY8</f>
        <v>8899.5351199999986</v>
      </c>
      <c r="T164" s="534">
        <f>'More Comp Group'!AI521*BZ8</f>
        <v>4412.5487279999998</v>
      </c>
      <c r="U164" s="534">
        <f>'More Comp Group'!AE520*BV8</f>
        <v>77470.372684000002</v>
      </c>
      <c r="V164" s="534">
        <f>'More Comp Group'!AF520*BW8</f>
        <v>56670.259229999996</v>
      </c>
      <c r="W164" s="534">
        <f>'More Comp Group'!AG520*BX8</f>
        <v>65912.424176</v>
      </c>
      <c r="X164" s="534">
        <f>'More Comp Group'!AH520*BY8</f>
        <v>59603.956295999997</v>
      </c>
      <c r="Y164" s="534">
        <f>'More Comp Group'!AI520*BZ8</f>
        <v>35749.668647999999</v>
      </c>
      <c r="Z164" s="534">
        <f>'More Comp Group'!AE515*BV8</f>
        <v>115168.18984400001</v>
      </c>
      <c r="AA164" s="534">
        <f>'More Comp Group'!AF515*BW8</f>
        <v>97673.472259999995</v>
      </c>
      <c r="AB164" s="534">
        <f>'More Comp Group'!AG515*BX8</f>
        <v>121573.09106000001</v>
      </c>
      <c r="AC164" s="534">
        <f>'More Comp Group'!AH515*BY8</f>
        <v>117173.21979999999</v>
      </c>
      <c r="AD164" s="534">
        <f>'More Comp Group'!AI515*BZ8</f>
        <v>81802.465295999995</v>
      </c>
      <c r="AE164" s="538">
        <f t="shared" si="130"/>
        <v>5.3941512789783437E-2</v>
      </c>
      <c r="AF164" s="538">
        <f t="shared" si="131"/>
        <v>7.5951955021722459E-2</v>
      </c>
      <c r="AG164" s="538">
        <f t="shared" si="132"/>
        <v>8.1572292630987409E-3</v>
      </c>
      <c r="AH164" s="538">
        <f t="shared" si="133"/>
        <v>9.5814026012765716E-2</v>
      </c>
      <c r="AI164" s="538">
        <f t="shared" si="134"/>
        <v>0.1545883094262904</v>
      </c>
      <c r="AJ164" s="538">
        <f t="shared" si="135"/>
        <v>1.781682520712544E-2</v>
      </c>
      <c r="AK164" s="434"/>
      <c r="AL164" s="434"/>
      <c r="AM164" s="534">
        <f>'More Comp Group'!AE525*BV8</f>
        <v>37697.982820999998</v>
      </c>
      <c r="AN164" s="534">
        <f>'More Comp Group'!AF525*BW8</f>
        <v>41003.372799999997</v>
      </c>
      <c r="AO164" s="534">
        <f>'More Comp Group'!AG525*BX8</f>
        <v>55660.846669999999</v>
      </c>
      <c r="AP164" s="534">
        <f>'More Comp Group'!AH525*BY8</f>
        <v>57569.263503999995</v>
      </c>
      <c r="AQ164" s="534">
        <f>'More Comp Group'!AI525*BZ8</f>
        <v>46053.264971999997</v>
      </c>
      <c r="AR164" s="719">
        <f>'Long Term Debt'!C115*BV8</f>
        <v>22675.843341</v>
      </c>
      <c r="AS164" s="719">
        <f>'Long Term Debt'!D115*BW8</f>
        <v>24957.991239999999</v>
      </c>
      <c r="AT164" s="719">
        <f>'Long Term Debt'!E115*BX8</f>
        <v>23210.192814000002</v>
      </c>
      <c r="AU164" s="719">
        <f>'Long Term Debt'!F115*BY8</f>
        <v>19096.954759999997</v>
      </c>
      <c r="AV164" s="719">
        <f>'Long Term Debt'!G115*BZ8</f>
        <v>7330.9877879999995</v>
      </c>
      <c r="AW164" s="553">
        <f t="shared" si="106"/>
        <v>0.60190370733161558</v>
      </c>
      <c r="AX164" s="553">
        <f t="shared" si="107"/>
        <v>0.46601854755611311</v>
      </c>
      <c r="AY164" s="553">
        <f t="shared" si="108"/>
        <v>4.2726899511227816E-2</v>
      </c>
      <c r="AZ164" s="538">
        <f t="shared" si="109"/>
        <v>0.31698627024261511</v>
      </c>
      <c r="BA164" s="538">
        <f t="shared" si="110"/>
        <v>0.31300739472945649</v>
      </c>
      <c r="BB164" s="455">
        <f t="shared" si="111"/>
        <v>3.1322124294352348E-2</v>
      </c>
    </row>
    <row r="165" spans="1:54" s="200" customFormat="1" ht="15" customHeight="1">
      <c r="A165" s="535">
        <v>2005</v>
      </c>
      <c r="B165" s="676"/>
      <c r="C165" s="411" t="s">
        <v>487</v>
      </c>
      <c r="D165" s="536"/>
      <c r="E165" s="536"/>
      <c r="F165" s="536"/>
      <c r="G165" s="536"/>
      <c r="H165" s="536"/>
      <c r="I165" s="536" t="s">
        <v>343</v>
      </c>
      <c r="J165" s="524" t="s">
        <v>921</v>
      </c>
      <c r="K165" s="534">
        <f>'More Comp Group'!M532*BX8</f>
        <v>894100.94804000005</v>
      </c>
      <c r="L165" s="534">
        <f>'More Comp Group'!N532*BY8</f>
        <v>902562.07083199988</v>
      </c>
      <c r="M165" s="534">
        <f>'More Comp Group'!O532*BZ8</f>
        <v>729937.12347600004</v>
      </c>
      <c r="N165" s="534">
        <f>'More Comp Group'!P532*CA8</f>
        <v>542100.11486899992</v>
      </c>
      <c r="O165" s="534">
        <f>'More Comp Group'!Q532*CB8</f>
        <v>458310.52578599995</v>
      </c>
      <c r="P165" s="534">
        <f>'More Comp Group'!M536*BX8</f>
        <v>14114.819074000001</v>
      </c>
      <c r="Q165" s="534">
        <f>'More Comp Group'!N536*BY8</f>
        <v>11776.783399999998</v>
      </c>
      <c r="R165" s="534">
        <f>'More Comp Group'!O536*BZ8</f>
        <v>10536.665568</v>
      </c>
      <c r="S165" s="534">
        <f>'More Comp Group'!P536*CA8</f>
        <v>8241.6944449999992</v>
      </c>
      <c r="T165" s="534">
        <f>'More Comp Group'!Q536*CB8</f>
        <v>7141.5738179999998</v>
      </c>
      <c r="U165" s="534">
        <f>'More Comp Group'!M535*BX8</f>
        <v>124817.86878800001</v>
      </c>
      <c r="V165" s="534">
        <f>'More Comp Group'!N535*BY8</f>
        <v>126032.71471199999</v>
      </c>
      <c r="W165" s="534">
        <f>'More Comp Group'!O535*BZ8</f>
        <v>105644.05959599999</v>
      </c>
      <c r="X165" s="534">
        <f>'More Comp Group'!P535*CA8</f>
        <v>84163.707876</v>
      </c>
      <c r="Y165" s="534">
        <f>'More Comp Group'!Q535*CB8</f>
        <v>55146.614885999996</v>
      </c>
      <c r="Z165" s="534">
        <f>'More Comp Group'!M530*BX8</f>
        <v>147015.14727799999</v>
      </c>
      <c r="AA165" s="534">
        <f>'More Comp Group'!N530*BY8</f>
        <v>150175.59123999998</v>
      </c>
      <c r="AB165" s="534">
        <f>'More Comp Group'!O530*BZ8</f>
        <v>127603.615848</v>
      </c>
      <c r="AC165" s="534">
        <f>'More Comp Group'!P530*CA8</f>
        <v>101293.46453899999</v>
      </c>
      <c r="AD165" s="534">
        <f>'More Comp Group'!Q530*CB8</f>
        <v>71137.145592000001</v>
      </c>
      <c r="AE165" s="538">
        <f t="shared" si="130"/>
        <v>0.10039162744819399</v>
      </c>
      <c r="AF165" s="538">
        <f t="shared" si="131"/>
        <v>8.1364523195144381E-2</v>
      </c>
      <c r="AG165" s="538">
        <f t="shared" si="132"/>
        <v>8.2573409052539376E-2</v>
      </c>
      <c r="AH165" s="538">
        <f t="shared" si="133"/>
        <v>0.44661683494170806</v>
      </c>
      <c r="AI165" s="538">
        <f t="shared" si="134"/>
        <v>0.4811331887044214</v>
      </c>
      <c r="AJ165" s="538">
        <f t="shared" si="135"/>
        <v>0.47982142476309642</v>
      </c>
      <c r="AK165" s="434"/>
      <c r="AL165" s="434"/>
      <c r="AM165" s="534">
        <f>'More Comp Group'!M540*BX8</f>
        <v>22197.278490000001</v>
      </c>
      <c r="AN165" s="534">
        <f>'More Comp Group'!N540*BY8</f>
        <v>24142.876527999997</v>
      </c>
      <c r="AO165" s="534">
        <f>'More Comp Group'!O540*BZ8</f>
        <v>21959.556251999998</v>
      </c>
      <c r="AP165" s="534">
        <f>'More Comp Group'!P540*CA8</f>
        <v>17129.756663</v>
      </c>
      <c r="AQ165" s="534">
        <f>'More Comp Group'!Q540*CB8</f>
        <v>15990.382043999998</v>
      </c>
      <c r="AR165" s="719">
        <f>'Long Term Debt'!C116*BX8</f>
        <v>424195.89791400003</v>
      </c>
      <c r="AS165" s="719">
        <f>'Long Term Debt'!D116*BY8</f>
        <v>407287.62688</v>
      </c>
      <c r="AT165" s="719">
        <f>'Long Term Debt'!E116*BZ8</f>
        <v>318154.036104</v>
      </c>
      <c r="AU165" s="719">
        <f>'Long Term Debt'!F116*CA8</f>
        <v>95932.514796999996</v>
      </c>
      <c r="AV165" s="719">
        <f>'Long Term Debt'!G116*CB8</f>
        <v>61386.256349999996</v>
      </c>
      <c r="AW165" s="553">
        <f t="shared" si="106"/>
        <v>0.11633831809650663</v>
      </c>
      <c r="AX165" s="553">
        <f t="shared" si="107"/>
        <v>8.5911376997048483E-2</v>
      </c>
      <c r="AY165" s="553">
        <f t="shared" si="108"/>
        <v>3.3118126354856975E-2</v>
      </c>
      <c r="AZ165" s="538">
        <f t="shared" si="109"/>
        <v>0.1905792882414416</v>
      </c>
      <c r="BA165" s="538">
        <f t="shared" si="110"/>
        <v>0.15274741121967789</v>
      </c>
      <c r="BB165" s="455">
        <f t="shared" si="111"/>
        <v>0.10999217215803023</v>
      </c>
    </row>
    <row r="166" spans="1:54" s="200" customFormat="1" ht="15" customHeight="1">
      <c r="A166" s="535">
        <v>2005</v>
      </c>
      <c r="B166" s="676"/>
      <c r="C166" s="411" t="s">
        <v>487</v>
      </c>
      <c r="D166" s="536"/>
      <c r="E166" s="536"/>
      <c r="F166" s="536"/>
      <c r="G166" s="536"/>
      <c r="H166" s="536"/>
      <c r="I166" s="536" t="s">
        <v>343</v>
      </c>
      <c r="J166" s="524" t="s">
        <v>927</v>
      </c>
      <c r="K166" s="534">
        <f>'More Comp Group'!V532*BX8</f>
        <v>56529.572622</v>
      </c>
      <c r="L166" s="534">
        <f>'More Comp Group'!W532*BY8</f>
        <v>45355.631168</v>
      </c>
      <c r="M166" s="534">
        <f>'More Comp Group'!X532*BZ8</f>
        <v>31793.735819999998</v>
      </c>
      <c r="N166" s="534">
        <f>'More Comp Group'!Y532*CA8</f>
        <v>29820.924331999999</v>
      </c>
      <c r="O166" s="534">
        <f>'More Comp Group'!Z532*CB8</f>
        <v>25737.406073999999</v>
      </c>
      <c r="P166" s="534">
        <f>'More Comp Group'!V536*BX8</f>
        <v>4231.8028679999998</v>
      </c>
      <c r="Q166" s="534">
        <f>'More Comp Group'!W536*BY8</f>
        <v>1285.9066799999998</v>
      </c>
      <c r="R166" s="534">
        <f>'More Comp Group'!X536*BZ8</f>
        <v>1086.199464</v>
      </c>
      <c r="S166" s="534">
        <f>'More Comp Group'!Y536*CA8</f>
        <v>1057.014222</v>
      </c>
      <c r="T166" s="534">
        <f>'More Comp Group'!Z536*CB8</f>
        <v>273.83540399999998</v>
      </c>
      <c r="U166" s="534">
        <f>'More Comp Group'!V535*BX8</f>
        <v>24909.350300000002</v>
      </c>
      <c r="V166" s="534">
        <f>'More Comp Group'!W535*BY8</f>
        <v>27315.464119999997</v>
      </c>
      <c r="W166" s="534">
        <f>'More Comp Group'!X535*BZ8</f>
        <v>20842.291295999999</v>
      </c>
      <c r="X166" s="534">
        <f>'More Comp Group'!Y535*CA8</f>
        <v>20794.010436999997</v>
      </c>
      <c r="Y166" s="534">
        <f>'More Comp Group'!Z535*CB8</f>
        <v>20373.086465999997</v>
      </c>
      <c r="Z166" s="534">
        <f>'More Comp Group'!V530*BX8</f>
        <v>41370.55646</v>
      </c>
      <c r="AA166" s="534">
        <f>'More Comp Group'!W530*BY8</f>
        <v>39481.356207999997</v>
      </c>
      <c r="AB166" s="534">
        <f>'More Comp Group'!X530*BZ8</f>
        <v>31214.731248</v>
      </c>
      <c r="AC166" s="534">
        <f>'More Comp Group'!Y530*CA8</f>
        <v>30299.985940999999</v>
      </c>
      <c r="AD166" s="534">
        <f>'More Comp Group'!Z530*CB8</f>
        <v>26741.171897999997</v>
      </c>
      <c r="AE166" s="538">
        <f t="shared" si="130"/>
        <v>1.0240217034784494E-2</v>
      </c>
      <c r="AF166" s="538">
        <f t="shared" si="131"/>
        <v>3.4884974008179859E-2</v>
      </c>
      <c r="AG166" s="538">
        <f t="shared" si="132"/>
        <v>3.4797655484206526E-2</v>
      </c>
      <c r="AH166" s="538">
        <f t="shared" si="133"/>
        <v>4.2999206312152767E-2</v>
      </c>
      <c r="AI166" s="538">
        <f t="shared" si="134"/>
        <v>0.11119471342580477</v>
      </c>
      <c r="AJ166" s="538">
        <f t="shared" si="135"/>
        <v>0.10471818797501693</v>
      </c>
      <c r="AK166" s="434"/>
      <c r="AL166" s="434"/>
      <c r="AM166" s="534">
        <f>'More Comp Group'!V540*BX8</f>
        <v>16461.206160000002</v>
      </c>
      <c r="AN166" s="534">
        <f>'More Comp Group'!W540*BY8</f>
        <v>12165.720975999999</v>
      </c>
      <c r="AO166" s="534">
        <f>'More Comp Group'!X540*BZ8</f>
        <v>10372.59606</v>
      </c>
      <c r="AP166" s="534">
        <f>'More Comp Group'!Y540*CA8</f>
        <v>9505.975504</v>
      </c>
      <c r="AQ166" s="534">
        <f>'More Comp Group'!Z540*CB8</f>
        <v>6368.3827559999991</v>
      </c>
      <c r="AR166" s="719">
        <f>'Long Term Debt'!C117*BX8</f>
        <v>9813.0794519999999</v>
      </c>
      <c r="AS166" s="719">
        <f>'Long Term Debt'!D117*BY8</f>
        <v>15194.403375999998</v>
      </c>
      <c r="AT166" s="719">
        <f>'Long Term Debt'!E117*BZ8</f>
        <v>12327.224328</v>
      </c>
      <c r="AU166" s="719">
        <f>'Long Term Debt'!F117*CA8</f>
        <v>13477.320052999999</v>
      </c>
      <c r="AV166" s="719">
        <f>'Long Term Debt'!G117*CB8</f>
        <v>16187.507855999998</v>
      </c>
      <c r="AW166" s="553">
        <f t="shared" si="106"/>
        <v>1.6916464624201013E-2</v>
      </c>
      <c r="AX166" s="553">
        <f t="shared" si="107"/>
        <v>7.8429110375301411E-2</v>
      </c>
      <c r="AY166" s="553">
        <f t="shared" si="108"/>
        <v>8.8113871792923543E-2</v>
      </c>
      <c r="AZ166" s="538">
        <f t="shared" si="109"/>
        <v>2.312797383544888E-2</v>
      </c>
      <c r="BA166" s="538">
        <f t="shared" si="110"/>
        <v>8.8708620754559125E-2</v>
      </c>
      <c r="BB166" s="455">
        <f t="shared" si="111"/>
        <v>9.3631427010891388E-2</v>
      </c>
    </row>
    <row r="167" spans="1:54" s="200" customFormat="1" ht="15" customHeight="1">
      <c r="A167" s="535">
        <v>2007</v>
      </c>
      <c r="B167" s="676"/>
      <c r="C167" s="411" t="s">
        <v>487</v>
      </c>
      <c r="D167" s="536"/>
      <c r="E167" s="536"/>
      <c r="F167" s="536"/>
      <c r="G167" s="411"/>
      <c r="H167" s="536"/>
      <c r="I167" s="536" t="s">
        <v>335</v>
      </c>
      <c r="J167" s="524" t="s">
        <v>888</v>
      </c>
      <c r="K167" s="534">
        <f>'More Comp Group'!M548*BV8</f>
        <v>438572.75367100001</v>
      </c>
      <c r="L167" s="534">
        <f>'More Comp Group'!N548*BW8</f>
        <v>353914.35573000001</v>
      </c>
      <c r="M167" s="534">
        <f>'More Comp Group'!O548*BX8</f>
        <v>406960.89280999999</v>
      </c>
      <c r="N167" s="534">
        <f>'More Comp Group'!P548*BY8</f>
        <v>714082.20283199998</v>
      </c>
      <c r="O167" s="534">
        <f>'More Comp Group'!Q548*BZ8</f>
        <v>428456.51452799997</v>
      </c>
      <c r="P167" s="534">
        <f>'More Comp Group'!M552*BV8</f>
        <v>219340.29949100001</v>
      </c>
      <c r="Q167" s="534">
        <f>'More Comp Group'!N552*BW8</f>
        <v>88660.686789999992</v>
      </c>
      <c r="R167" s="534">
        <f>'More Comp Group'!O552*BX8</f>
        <v>-22575.728019999999</v>
      </c>
      <c r="S167" s="534">
        <f>'More Comp Group'!P552*BY8</f>
        <v>322857.37272799999</v>
      </c>
      <c r="T167" s="534">
        <f>'More Comp Group'!Q552*BZ8</f>
        <v>191270.23424399999</v>
      </c>
      <c r="U167" s="534">
        <f>'More Comp Group'!M551*BV8</f>
        <v>3215334.5596420001</v>
      </c>
      <c r="V167" s="534">
        <f>'More Comp Group'!N551*BW8</f>
        <v>2850693.9882199997</v>
      </c>
      <c r="W167" s="534">
        <f>'More Comp Group'!O551*BX8</f>
        <v>1767386.452786</v>
      </c>
      <c r="X167" s="534">
        <f>'More Comp Group'!P551*BY8</f>
        <v>1513299.8123679999</v>
      </c>
      <c r="Y167" s="534">
        <f>'More Comp Group'!Q551*BZ8</f>
        <v>1252450.269084</v>
      </c>
      <c r="Z167" s="534">
        <f>'More Comp Group'!M546*BV8</f>
        <v>4814780.5810160004</v>
      </c>
      <c r="AA167" s="534">
        <f>'More Comp Group'!N546*BW8</f>
        <v>4179913.44459</v>
      </c>
      <c r="AB167" s="534">
        <f>'More Comp Group'!O546*BX8</f>
        <v>4575589.8369859997</v>
      </c>
      <c r="AC167" s="534">
        <f>'More Comp Group'!P546*BY8</f>
        <v>4250212.2966879997</v>
      </c>
      <c r="AD167" s="534">
        <f>'More Comp Group'!Q546*BZ8</f>
        <v>3030505.2466079998</v>
      </c>
      <c r="AE167" s="538">
        <f t="shared" si="130"/>
        <v>6.3114965551729685E-2</v>
      </c>
      <c r="AF167" s="538">
        <f t="shared" si="131"/>
        <v>7.5962646143485177E-2</v>
      </c>
      <c r="AG167" s="538">
        <f t="shared" si="132"/>
        <v>-4.9339492446444722E-3</v>
      </c>
      <c r="AH167" s="538">
        <f t="shared" si="133"/>
        <v>0.17740543378464529</v>
      </c>
      <c r="AI167" s="538">
        <f t="shared" si="134"/>
        <v>0.20772990100230762</v>
      </c>
      <c r="AJ167" s="538">
        <f t="shared" si="135"/>
        <v>-1.5298420316575082E-2</v>
      </c>
      <c r="AK167" s="434"/>
      <c r="AL167" s="434"/>
      <c r="AM167" s="534">
        <f>'More Comp Group'!M556*BV8</f>
        <v>1599446.3526960001</v>
      </c>
      <c r="AN167" s="534">
        <f>'More Comp Group'!N556*BW8</f>
        <v>1329219.45637</v>
      </c>
      <c r="AO167" s="534">
        <f>'More Comp Group'!O556*BX8</f>
        <v>1475690.1400820001</v>
      </c>
      <c r="AP167" s="534">
        <f>'More Comp Group'!P556*BY8</f>
        <v>1554217.1404799998</v>
      </c>
      <c r="AQ167" s="534">
        <f>'More Comp Group'!Q556*BZ8</f>
        <v>1078153.1893559999</v>
      </c>
      <c r="AR167" s="719">
        <f>'Long Term Debt'!C118*BV8</f>
        <v>2991792.4345470001</v>
      </c>
      <c r="AS167" s="719">
        <f>'Long Term Debt'!D118*BW8</f>
        <v>2630762.4349500001</v>
      </c>
      <c r="AT167" s="719">
        <f>'Long Term Debt'!E118*BX8</f>
        <v>2849812.15711</v>
      </c>
      <c r="AU167" s="719">
        <f>'Long Term Debt'!F118*BY8</f>
        <v>2533079.0787839997</v>
      </c>
      <c r="AV167" s="719">
        <f>'Long Term Debt'!G118*BZ8</f>
        <v>1835068.1168519999</v>
      </c>
      <c r="AW167" s="553">
        <f t="shared" si="106"/>
        <v>0.1042305909451023</v>
      </c>
      <c r="AX167" s="553">
        <f t="shared" si="107"/>
        <v>0.12745649175823881</v>
      </c>
      <c r="AY167" s="553">
        <f t="shared" si="108"/>
        <v>-7.9218302033261332E-3</v>
      </c>
      <c r="AZ167" s="538">
        <f t="shared" si="109"/>
        <v>0.13808177652640458</v>
      </c>
      <c r="BA167" s="538">
        <f t="shared" si="110"/>
        <v>0.16812857621275612</v>
      </c>
      <c r="BB167" s="455">
        <f t="shared" si="111"/>
        <v>-1.1278384076116796E-2</v>
      </c>
    </row>
    <row r="168" spans="1:54" s="684" customFormat="1" ht="15" customHeight="1">
      <c r="A168" s="535">
        <v>2003</v>
      </c>
      <c r="B168" s="676"/>
      <c r="C168" s="411" t="s">
        <v>487</v>
      </c>
      <c r="D168" s="536"/>
      <c r="E168" s="536"/>
      <c r="F168" s="536"/>
      <c r="G168" s="411"/>
      <c r="H168" s="536"/>
      <c r="I168" s="536" t="s">
        <v>344</v>
      </c>
      <c r="J168" s="524" t="s">
        <v>539</v>
      </c>
      <c r="K168" s="534">
        <f>'More Comp Group'!D801*BZ8</f>
        <v>61357.156643999995</v>
      </c>
      <c r="L168" s="534">
        <f>'More Comp Group'!E801*CA8</f>
        <v>41539.819283999997</v>
      </c>
      <c r="M168" s="534">
        <f>'More Comp Group'!F801*CB8</f>
        <v>35739.236771999997</v>
      </c>
      <c r="N168" s="534">
        <f>'More Comp Group'!G801*CC8</f>
        <v>25316.989055999999</v>
      </c>
      <c r="O168" s="534">
        <f>'More Comp Group'!H801*CD8</f>
        <v>21866.472365999998</v>
      </c>
      <c r="P168" s="534">
        <f>'More Comp Group'!D805*BZ8</f>
        <v>5965.6672200000003</v>
      </c>
      <c r="Q168" s="534">
        <f>'More Comp Group'!E805*CA8</f>
        <v>1284.4946289999998</v>
      </c>
      <c r="R168" s="534">
        <f>'More Comp Group'!F805*CB8</f>
        <v>1164.915432</v>
      </c>
      <c r="S168" s="534">
        <f>'More Comp Group'!G805*CC8</f>
        <v>-1012.6626209999999</v>
      </c>
      <c r="T168" s="534">
        <f>'More Comp Group'!H805*CD8</f>
        <v>-11888.578469999999</v>
      </c>
      <c r="U168" s="534">
        <f>'More Comp Group'!D804*BZ8</f>
        <v>20407.530515999999</v>
      </c>
      <c r="V168" s="534">
        <f>'More Comp Group'!E804*CA8</f>
        <v>13283.42527</v>
      </c>
      <c r="W168" s="534">
        <f>'More Comp Group'!F804*CB8</f>
        <v>10171.008054</v>
      </c>
      <c r="X168" s="534">
        <f>'More Comp Group'!G804*CC8</f>
        <v>6116.9170560000002</v>
      </c>
      <c r="Y168" s="534">
        <f>'More Comp Group'!H804*CD8</f>
        <v>5847.5560419999993</v>
      </c>
      <c r="Z168" s="534">
        <f>'More Comp Group'!D799*BZ8</f>
        <v>57205.620492000002</v>
      </c>
      <c r="AA168" s="534">
        <f>'More Comp Group'!E799*CA8</f>
        <v>36933.924125999998</v>
      </c>
      <c r="AB168" s="534">
        <f>'More Comp Group'!F799*CB8</f>
        <v>26532.450449999997</v>
      </c>
      <c r="AC168" s="534">
        <f>'More Comp Group'!G799*CC8</f>
        <v>16777.615857000001</v>
      </c>
      <c r="AD168" s="534">
        <f>'More Comp Group'!H799*CD8</f>
        <v>16060.723141999999</v>
      </c>
      <c r="AE168" s="538">
        <f t="shared" ref="AE168:AE169" si="232">T168/AD168</f>
        <v>-0.74022684812432082</v>
      </c>
      <c r="AF168" s="538">
        <f t="shared" ref="AF168:AF169" si="233">S168/AC168</f>
        <v>-6.0357957270638918E-2</v>
      </c>
      <c r="AG168" s="538">
        <f t="shared" ref="AG168:AG169" si="234">R168/AB168</f>
        <v>4.3905308866788069E-2</v>
      </c>
      <c r="AH168" s="538">
        <f t="shared" ref="AH168:AH169" si="235">T168/AQ168</f>
        <v>-1.1640442532267978</v>
      </c>
      <c r="AI168" s="538">
        <f t="shared" ref="AI168:AI169" si="236">S168/AP168</f>
        <v>-9.4990266576615939E-2</v>
      </c>
      <c r="AJ168" s="538">
        <f t="shared" ref="AJ168:AJ169" si="237">R168/AO168</f>
        <v>7.1198822439077589E-2</v>
      </c>
      <c r="AK168" s="434"/>
      <c r="AL168" s="434"/>
      <c r="AM168" s="534">
        <f>'More Comp Group'!D809*BZ8</f>
        <v>36798.089975999996</v>
      </c>
      <c r="AN168" s="534">
        <f>'More Comp Group'!E809*CA8</f>
        <v>23650.498855999998</v>
      </c>
      <c r="AO168" s="534">
        <f>'More Comp Group'!F809*CB8</f>
        <v>16361.442395999999</v>
      </c>
      <c r="AP168" s="534">
        <f>'More Comp Group'!G809*CC8</f>
        <v>10660.698801</v>
      </c>
      <c r="AQ168" s="534">
        <f>'More Comp Group'!H809*CD8</f>
        <v>10213.167099999999</v>
      </c>
      <c r="AR168" s="719">
        <f>'More Comp Group'!D807*BZ8</f>
        <v>6593.22138</v>
      </c>
      <c r="AS168" s="719">
        <f>'More Comp Group'!E807*CA8</f>
        <v>2516.900443</v>
      </c>
      <c r="AT168" s="719">
        <f>'More Comp Group'!F807*CB8</f>
        <v>0</v>
      </c>
      <c r="AU168" s="719">
        <f>'More Comp Group'!G807*CC8</f>
        <v>0</v>
      </c>
      <c r="AV168" s="719">
        <f>'More Comp Group'!H807*CD8</f>
        <v>9.2904039999999988</v>
      </c>
      <c r="AW168" s="553">
        <f t="shared" ref="AW168:AW169" si="238">T168/AV168</f>
        <v>-1279.6621621621621</v>
      </c>
      <c r="AX168" s="553" t="e">
        <f t="shared" ref="AX168:AX169" si="239">S168/AU168</f>
        <v>#DIV/0!</v>
      </c>
      <c r="AY168" s="553" t="e">
        <f t="shared" ref="AY168:AY169" si="240">R168/AT168</f>
        <v>#DIV/0!</v>
      </c>
      <c r="AZ168" s="538">
        <f t="shared" ref="AZ168:AZ169" si="241">((AQ168/(AQ168+Y168))*AH168)+(Y168/(AQ168+Y168))*AW168</f>
        <v>-466.65300934929314</v>
      </c>
      <c r="BA168" s="538" t="e">
        <f t="shared" ref="BA168:BA169" si="242">((AP168/(AP168+X168))*AI168)+(X168/(AP168+X168))*AX168</f>
        <v>#DIV/0!</v>
      </c>
      <c r="BB168" s="455" t="e">
        <f t="shared" ref="BB168:BB169" si="243">((AO168/(AO168+W168))*AJ168)+(W168/(AO168+W168))*AY168</f>
        <v>#DIV/0!</v>
      </c>
    </row>
    <row r="169" spans="1:54" s="684" customFormat="1" ht="15" customHeight="1">
      <c r="A169" s="535">
        <v>2003</v>
      </c>
      <c r="B169" s="676"/>
      <c r="C169" s="411" t="s">
        <v>487</v>
      </c>
      <c r="D169" s="536"/>
      <c r="E169" s="536"/>
      <c r="F169" s="536"/>
      <c r="G169" s="411"/>
      <c r="H169" s="536"/>
      <c r="I169" s="536" t="s">
        <v>344</v>
      </c>
      <c r="J169" s="524" t="s">
        <v>861</v>
      </c>
      <c r="K169" s="534">
        <f>'More Comp Group'!D816*BZ8</f>
        <v>14217848.316</v>
      </c>
      <c r="L169" s="534">
        <f>'More Comp Group'!E816*CA8</f>
        <v>10717390.302999999</v>
      </c>
      <c r="M169" s="534">
        <f>'More Comp Group'!F816*CB8</f>
        <v>9113277.9239999987</v>
      </c>
      <c r="N169" s="534">
        <f>'More Comp Group'!G816*CC8</f>
        <v>7499463.4169999994</v>
      </c>
      <c r="O169" s="534">
        <f>'More Comp Group'!H816*CD8</f>
        <v>6129908.9959999993</v>
      </c>
      <c r="P169" s="534">
        <f>'More Comp Group'!D820*BZ8</f>
        <v>2485239.36</v>
      </c>
      <c r="Q169" s="534">
        <f>'More Comp Group'!E820*CA8</f>
        <v>1188868.8939999999</v>
      </c>
      <c r="R169" s="534">
        <f>'More Comp Group'!F820*CB8</f>
        <v>981466.52399999998</v>
      </c>
      <c r="S169" s="534">
        <f>'More Comp Group'!G820*CC8</f>
        <v>712943.85</v>
      </c>
      <c r="T169" s="534">
        <f>'More Comp Group'!H820*CD8</f>
        <v>-584542.17599999998</v>
      </c>
      <c r="U169" s="534">
        <f>'More Comp Group'!D819*BZ8</f>
        <v>13370337.983999999</v>
      </c>
      <c r="V169" s="534">
        <f>'More Comp Group'!E819*CA8</f>
        <v>11018261.517999999</v>
      </c>
      <c r="W169" s="534">
        <f>'More Comp Group'!F819*CB8</f>
        <v>6901782.0119999992</v>
      </c>
      <c r="X169" s="534">
        <f>'More Comp Group'!G819*CC8</f>
        <v>6385012.1789999995</v>
      </c>
      <c r="Y169" s="534">
        <f>'More Comp Group'!H819*CD8</f>
        <v>6549734.8199999994</v>
      </c>
      <c r="Z169" s="534">
        <f>'More Comp Group'!D814*BZ8</f>
        <v>23162680.607999999</v>
      </c>
      <c r="AA169" s="534">
        <f>'More Comp Group'!E814*CA8</f>
        <v>19342054.154999997</v>
      </c>
      <c r="AB169" s="534">
        <f>'More Comp Group'!F814*CB8</f>
        <v>13096230.227999998</v>
      </c>
      <c r="AC169" s="534">
        <f>'More Comp Group'!G814*CC8</f>
        <v>12156751.469999999</v>
      </c>
      <c r="AD169" s="534">
        <f>'More Comp Group'!H814*CD8</f>
        <v>11231094.068</v>
      </c>
      <c r="AE169" s="538">
        <f t="shared" si="232"/>
        <v>-5.204677055154374E-2</v>
      </c>
      <c r="AF169" s="538">
        <f t="shared" si="233"/>
        <v>5.8645918011845315E-2</v>
      </c>
      <c r="AG169" s="538">
        <f t="shared" si="234"/>
        <v>7.4942674870025205E-2</v>
      </c>
      <c r="AH169" s="538">
        <f t="shared" si="235"/>
        <v>-0.12486590860330402</v>
      </c>
      <c r="AI169" s="538">
        <f t="shared" si="236"/>
        <v>0.12352322481226916</v>
      </c>
      <c r="AJ169" s="538">
        <f t="shared" si="237"/>
        <v>0.15844292982624558</v>
      </c>
      <c r="AK169" s="434"/>
      <c r="AL169" s="434"/>
      <c r="AM169" s="534">
        <f>'More Comp Group'!D824*BZ8</f>
        <v>9792342.6239999998</v>
      </c>
      <c r="AN169" s="534">
        <f>'More Comp Group'!E824*CA8</f>
        <v>8323792.6369999992</v>
      </c>
      <c r="AO169" s="534">
        <f>'More Comp Group'!F824*CB8</f>
        <v>6194448.2159999991</v>
      </c>
      <c r="AP169" s="534">
        <f>'More Comp Group'!G824*CC8</f>
        <v>5771739.2910000002</v>
      </c>
      <c r="AQ169" s="534">
        <f>'More Comp Group'!H824*CD8</f>
        <v>4681359.2479999997</v>
      </c>
      <c r="AR169" s="719">
        <f>'More Comp Group'!D822*BZ8</f>
        <v>7470548.3399999999</v>
      </c>
      <c r="AS169" s="719">
        <f>'More Comp Group'!E822*CA8</f>
        <v>5248686.6839999994</v>
      </c>
      <c r="AT169" s="719">
        <f>'More Comp Group'!F822*CB8</f>
        <v>3611594.6279999996</v>
      </c>
      <c r="AU169" s="719">
        <f>'More Comp Group'!G822*CC8</f>
        <v>3921191.1749999998</v>
      </c>
      <c r="AV169" s="719">
        <f>'More Comp Group'!H822*CD8</f>
        <v>3823377.8839999996</v>
      </c>
      <c r="AW169" s="553">
        <f t="shared" si="238"/>
        <v>-0.15288632035200631</v>
      </c>
      <c r="AX169" s="553">
        <f t="shared" si="239"/>
        <v>0.18181818181818182</v>
      </c>
      <c r="AY169" s="553">
        <f t="shared" si="240"/>
        <v>0.27175434263604187</v>
      </c>
      <c r="AZ169" s="538">
        <f t="shared" si="241"/>
        <v>-0.14120681585508471</v>
      </c>
      <c r="BA169" s="538">
        <f t="shared" si="242"/>
        <v>0.15414110915214158</v>
      </c>
      <c r="BB169" s="455">
        <f t="shared" si="243"/>
        <v>0.21815863862715829</v>
      </c>
    </row>
    <row r="170" spans="1:54" s="200" customFormat="1" ht="15" customHeight="1">
      <c r="A170" s="535">
        <v>2003</v>
      </c>
      <c r="B170" s="676"/>
      <c r="C170" s="411" t="s">
        <v>487</v>
      </c>
      <c r="D170" s="536"/>
      <c r="E170" s="536"/>
      <c r="F170" s="536"/>
      <c r="G170" s="536"/>
      <c r="H170" s="536"/>
      <c r="I170" s="536" t="s">
        <v>344</v>
      </c>
      <c r="J170" s="524" t="s">
        <v>523</v>
      </c>
      <c r="K170" s="534">
        <f>'More Comp Group'!M563*BZ8</f>
        <v>1365476.676</v>
      </c>
      <c r="L170" s="534">
        <f>'More Comp Group'!N563*CA8</f>
        <v>541490.4425</v>
      </c>
      <c r="M170" s="534">
        <f>'More Comp Group'!O563*CB8</f>
        <v>679206.94559999998</v>
      </c>
      <c r="N170" s="534">
        <f>'More Comp Group'!P563*CC8</f>
        <v>658322.46869999997</v>
      </c>
      <c r="O170" s="534">
        <f>'More Comp Group'!Q563*CD8</f>
        <v>696253.00679999997</v>
      </c>
      <c r="P170" s="534">
        <f>'More Comp Group'!M567*BZ8</f>
        <v>-6775.0871999999999</v>
      </c>
      <c r="Q170" s="534">
        <f>'More Comp Group'!N567*CA8</f>
        <v>-23789.816999999999</v>
      </c>
      <c r="R170" s="534">
        <f>'More Comp Group'!O567*CB8</f>
        <v>-32036.660999999996</v>
      </c>
      <c r="S170" s="534">
        <f>'More Comp Group'!P567*CC8</f>
        <v>-38131.907699999996</v>
      </c>
      <c r="T170" s="534">
        <f>'More Comp Group'!Q567*CD8</f>
        <v>-103537.78619999999</v>
      </c>
      <c r="U170" s="534">
        <f>'More Comp Group'!M566*BZ8</f>
        <v>732365.07120000001</v>
      </c>
      <c r="V170" s="534">
        <f>'More Comp Group'!N566*CA8</f>
        <v>255110.80229999998</v>
      </c>
      <c r="W170" s="534">
        <f>'More Comp Group'!O566*CB8</f>
        <v>265718.45879999996</v>
      </c>
      <c r="X170" s="534">
        <f>'More Comp Group'!P566*CC8</f>
        <v>240424.43099999998</v>
      </c>
      <c r="Y170" s="534">
        <f>'More Comp Group'!Q566*CD8</f>
        <v>210879.61619999999</v>
      </c>
      <c r="Z170" s="534">
        <f>'More Comp Group'!M561*BZ8</f>
        <v>1006178.5032</v>
      </c>
      <c r="AA170" s="534">
        <f>'More Comp Group'!N561*CA8</f>
        <v>268560.60079999996</v>
      </c>
      <c r="AB170" s="534">
        <f>'More Comp Group'!O561*CB8</f>
        <v>383756.08679999999</v>
      </c>
      <c r="AC170" s="534">
        <f>'More Comp Group'!P561*CC8</f>
        <v>354763.68329999998</v>
      </c>
      <c r="AD170" s="534">
        <f>'More Comp Group'!Q561*CD8</f>
        <v>329771.67819999997</v>
      </c>
      <c r="AE170" s="538">
        <f t="shared" si="130"/>
        <v>-0.31396809685156279</v>
      </c>
      <c r="AF170" s="538">
        <f t="shared" si="131"/>
        <v>-0.10748537546261291</v>
      </c>
      <c r="AG170" s="538">
        <f t="shared" si="132"/>
        <v>-8.3481831564267445E-2</v>
      </c>
      <c r="AH170" s="538">
        <f t="shared" si="133"/>
        <v>-0.87085533262935577</v>
      </c>
      <c r="AI170" s="538">
        <f t="shared" si="134"/>
        <v>-0.3340754483611626</v>
      </c>
      <c r="AJ170" s="538">
        <f t="shared" si="135"/>
        <v>-0.27141057934508817</v>
      </c>
      <c r="AK170" s="434"/>
      <c r="AL170" s="434"/>
      <c r="AM170" s="534">
        <f>'More Comp Group'!M571*BZ8</f>
        <v>273813.43199999997</v>
      </c>
      <c r="AN170" s="534">
        <f>'More Comp Group'!N571*CA8</f>
        <v>13449.798499999999</v>
      </c>
      <c r="AO170" s="534">
        <f>'More Comp Group'!O571*CB8</f>
        <v>118037.628</v>
      </c>
      <c r="AP170" s="534">
        <f>'More Comp Group'!P571*CC8</f>
        <v>114141.6045</v>
      </c>
      <c r="AQ170" s="534">
        <f>'More Comp Group'!Q571*CD8</f>
        <v>118892.06199999999</v>
      </c>
      <c r="AR170" s="719">
        <f>'Long Term Debt'!C119*BZ8</f>
        <v>10100.187599999999</v>
      </c>
      <c r="AS170" s="719">
        <f>'Long Term Debt'!D119*CA8</f>
        <v>4509.1809999999996</v>
      </c>
      <c r="AT170" s="719">
        <f>'Long Term Debt'!E119*CB8</f>
        <v>19727.447399999997</v>
      </c>
      <c r="AU170" s="719">
        <f>'Long Term Debt'!F119*CC8</f>
        <v>1538.8292999999999</v>
      </c>
      <c r="AV170" s="719">
        <f>'Long Term Debt'!G119*CD8</f>
        <v>1870.6353999999999</v>
      </c>
      <c r="AW170" s="553">
        <f t="shared" si="106"/>
        <v>-55.348993288590599</v>
      </c>
      <c r="AX170" s="553">
        <f t="shared" si="107"/>
        <v>-24.779816513761467</v>
      </c>
      <c r="AY170" s="553">
        <f t="shared" si="108"/>
        <v>-1.6239638281838735</v>
      </c>
      <c r="AZ170" s="538">
        <f t="shared" si="109"/>
        <v>-35.708076303668342</v>
      </c>
      <c r="BA170" s="538">
        <f t="shared" si="110"/>
        <v>-16.910263795714027</v>
      </c>
      <c r="BB170" s="455">
        <f t="shared" si="111"/>
        <v>-1.2079386946989445</v>
      </c>
    </row>
    <row r="171" spans="1:54" s="200" customFormat="1" ht="15" customHeight="1">
      <c r="A171" s="535">
        <v>2003</v>
      </c>
      <c r="B171" s="676"/>
      <c r="C171" s="411" t="s">
        <v>487</v>
      </c>
      <c r="D171" s="536"/>
      <c r="E171" s="536"/>
      <c r="F171" s="536"/>
      <c r="G171" s="536"/>
      <c r="H171" s="536"/>
      <c r="I171" s="536" t="s">
        <v>344</v>
      </c>
      <c r="J171" s="524" t="s">
        <v>973</v>
      </c>
      <c r="K171" s="534">
        <f>'More Comp Group'!V563*BZ8</f>
        <v>60404.741735999996</v>
      </c>
      <c r="L171" s="534">
        <f>'More Comp Group'!W563*CA8</f>
        <v>79168.779239999989</v>
      </c>
      <c r="M171" s="534">
        <f>'More Comp Group'!X563*CB8</f>
        <v>46974.218759999996</v>
      </c>
      <c r="N171" s="534">
        <f>'More Comp Group'!Y563*CC8</f>
        <v>39673.560539999999</v>
      </c>
      <c r="O171" s="534">
        <f>'More Comp Group'!Z563*CD8</f>
        <v>31931.746277999999</v>
      </c>
      <c r="P171" s="534">
        <f>'More Comp Group'!V567*BZ8</f>
        <v>5023.7115480000002</v>
      </c>
      <c r="Q171" s="534">
        <f>'More Comp Group'!W567*CA8</f>
        <v>14606.636659999998</v>
      </c>
      <c r="R171" s="534">
        <f>'More Comp Group'!X567*CB8</f>
        <v>-9841.4243999999999</v>
      </c>
      <c r="S171" s="534">
        <f>'More Comp Group'!Y567*CC8</f>
        <v>-2406.2207880000001</v>
      </c>
      <c r="T171" s="534">
        <f>'More Comp Group'!Z567*CD8</f>
        <v>-3892.3026379999997</v>
      </c>
      <c r="U171" s="534">
        <f>'More Comp Group'!V566*BZ8</f>
        <v>20432.976119999999</v>
      </c>
      <c r="V171" s="534">
        <f>'More Comp Group'!W566*CA8</f>
        <v>29318.694861999997</v>
      </c>
      <c r="W171" s="534">
        <f>'More Comp Group'!X566*CB8</f>
        <v>22041.074106</v>
      </c>
      <c r="X171" s="534">
        <f>'More Comp Group'!Y566*CC8</f>
        <v>11053.594391999999</v>
      </c>
      <c r="Y171" s="534">
        <f>'More Comp Group'!Z566*CD8</f>
        <v>10811.268243999999</v>
      </c>
      <c r="Z171" s="534">
        <f>'More Comp Group'!V561*BZ8</f>
        <v>66563.670660000003</v>
      </c>
      <c r="AA171" s="534">
        <f>'More Comp Group'!W561*CA8</f>
        <v>66791.543861999991</v>
      </c>
      <c r="AB171" s="534">
        <f>'More Comp Group'!X561*CB8</f>
        <v>55034.821061999995</v>
      </c>
      <c r="AC171" s="534">
        <f>'More Comp Group'!Y561*CC8</f>
        <v>47820.038148</v>
      </c>
      <c r="AD171" s="534">
        <f>'More Comp Group'!Z561*CD8</f>
        <v>45832.450489999996</v>
      </c>
      <c r="AE171" s="538">
        <f t="shared" si="130"/>
        <v>-8.4924602468053639E-2</v>
      </c>
      <c r="AF171" s="538">
        <f t="shared" si="131"/>
        <v>-5.0318253209102395E-2</v>
      </c>
      <c r="AG171" s="538">
        <f t="shared" si="132"/>
        <v>-0.17882177519779796</v>
      </c>
      <c r="AH171" s="538">
        <f t="shared" si="133"/>
        <v>-0.11114138325368972</v>
      </c>
      <c r="AI171" s="538">
        <f t="shared" si="134"/>
        <v>-6.5445860484047477E-2</v>
      </c>
      <c r="AJ171" s="538">
        <f t="shared" si="135"/>
        <v>-0.29828150204111059</v>
      </c>
      <c r="AK171" s="434"/>
      <c r="AL171" s="434"/>
      <c r="AM171" s="534">
        <f>'More Comp Group'!V571*BZ8</f>
        <v>46130.694539999997</v>
      </c>
      <c r="AN171" s="534">
        <f>'More Comp Group'!W571*CA8</f>
        <v>37472.848999999995</v>
      </c>
      <c r="AO171" s="534">
        <f>'More Comp Group'!X571*CB8</f>
        <v>32993.746955999995</v>
      </c>
      <c r="AP171" s="534">
        <f>'More Comp Group'!Y571*CC8</f>
        <v>36766.584932999998</v>
      </c>
      <c r="AQ171" s="534">
        <f>'More Comp Group'!Z571*CD8</f>
        <v>35021.182245999997</v>
      </c>
      <c r="AR171" s="719">
        <f>'Long Term Debt'!C120*BZ8</f>
        <v>529.51833599999998</v>
      </c>
      <c r="AS171" s="719">
        <f>'Long Term Debt'!D120*CA8</f>
        <v>653.2092889999999</v>
      </c>
      <c r="AT171" s="719">
        <f>'Long Term Debt'!E120*CB8</f>
        <v>1096.9768979999999</v>
      </c>
      <c r="AU171" s="719">
        <f>'Long Term Debt'!F120*CC8</f>
        <v>1667.5827239999999</v>
      </c>
      <c r="AV171" s="719">
        <f>'Long Term Debt'!G120*CD8</f>
        <v>2835.9585939999997</v>
      </c>
      <c r="AW171" s="553">
        <f t="shared" si="106"/>
        <v>-1.3724821815928108</v>
      </c>
      <c r="AX171" s="553">
        <f t="shared" si="107"/>
        <v>-1.4429393836776161</v>
      </c>
      <c r="AY171" s="553">
        <f t="shared" si="108"/>
        <v>-8.9714053394768953</v>
      </c>
      <c r="AZ171" s="538">
        <f t="shared" si="109"/>
        <v>-0.40867497729358693</v>
      </c>
      <c r="BA171" s="538">
        <f t="shared" si="110"/>
        <v>-0.38385233444364197</v>
      </c>
      <c r="BB171" s="455">
        <f t="shared" si="111"/>
        <v>-3.7718090168499354</v>
      </c>
    </row>
    <row r="172" spans="1:54" s="200" customFormat="1" ht="15" customHeight="1">
      <c r="A172" s="535">
        <v>2003</v>
      </c>
      <c r="B172" s="676"/>
      <c r="C172" s="411" t="s">
        <v>487</v>
      </c>
      <c r="D172" s="536"/>
      <c r="E172" s="536"/>
      <c r="F172" s="536"/>
      <c r="G172" s="536"/>
      <c r="H172" s="536"/>
      <c r="I172" s="536" t="s">
        <v>344</v>
      </c>
      <c r="J172" s="524" t="s">
        <v>542</v>
      </c>
      <c r="K172" s="534">
        <f>'More Comp Group'!AE563*BZ8</f>
        <v>264378.10837199999</v>
      </c>
      <c r="L172" s="534">
        <f>'More Comp Group'!AF563*CA8</f>
        <v>245103.68574899997</v>
      </c>
      <c r="M172" s="534">
        <f>'More Comp Group'!AG563*CB8</f>
        <v>259868.16311399997</v>
      </c>
      <c r="N172" s="534">
        <f>'More Comp Group'!AH563*CC8</f>
        <v>257135.12895899999</v>
      </c>
      <c r="O172" s="534">
        <f>'More Comp Group'!AI563*CD8</f>
        <v>249118.29133399998</v>
      </c>
      <c r="P172" s="534">
        <f>'More Comp Group'!AE567*BZ8</f>
        <v>6505.9570080000003</v>
      </c>
      <c r="Q172" s="534">
        <f>'More Comp Group'!AF567*CA8</f>
        <v>-9164.3661709999997</v>
      </c>
      <c r="R172" s="534">
        <f>'More Comp Group'!AG567*CB8</f>
        <v>-13335.427385999999</v>
      </c>
      <c r="S172" s="534">
        <f>'More Comp Group'!AH567*CC8</f>
        <v>0</v>
      </c>
      <c r="T172" s="534">
        <f>'More Comp Group'!AI567*CD8</f>
        <v>-8066.2049539999998</v>
      </c>
      <c r="U172" s="534">
        <f>'More Comp Group'!AE566*BZ8</f>
        <v>120488.99374799999</v>
      </c>
      <c r="V172" s="534">
        <f>'More Comp Group'!AF566*CA8</f>
        <v>77962.962044999993</v>
      </c>
      <c r="W172" s="534">
        <f>'More Comp Group'!AG566*CB8</f>
        <v>68732.240418000001</v>
      </c>
      <c r="X172" s="534">
        <f>'More Comp Group'!AH566*CC8</f>
        <v>68253.150066000002</v>
      </c>
      <c r="Y172" s="534">
        <f>'More Comp Group'!AI566*CD8</f>
        <v>73818.160441999993</v>
      </c>
      <c r="Z172" s="534">
        <f>'More Comp Group'!AE561*BZ8</f>
        <v>149478.09323999999</v>
      </c>
      <c r="AA172" s="534">
        <f>'More Comp Group'!AF561*CA8</f>
        <v>101460.148747</v>
      </c>
      <c r="AB172" s="534">
        <f>'More Comp Group'!AG561*CB8</f>
        <v>98878.366763999991</v>
      </c>
      <c r="AC172" s="534">
        <f>'More Comp Group'!AH561*CC8</f>
        <v>103755.071433</v>
      </c>
      <c r="AD172" s="534">
        <f>'More Comp Group'!AI561*CD8</f>
        <v>102342.21164199999</v>
      </c>
      <c r="AE172" s="538">
        <f t="shared" si="130"/>
        <v>-7.8816011737328218E-2</v>
      </c>
      <c r="AF172" s="538">
        <f t="shared" si="131"/>
        <v>0</v>
      </c>
      <c r="AG172" s="538">
        <f t="shared" si="132"/>
        <v>-0.13486698680843515</v>
      </c>
      <c r="AH172" s="538">
        <f t="shared" si="133"/>
        <v>-0.28278609154929579</v>
      </c>
      <c r="AI172" s="538">
        <f t="shared" si="134"/>
        <v>0</v>
      </c>
      <c r="AJ172" s="538">
        <f t="shared" si="135"/>
        <v>-0.44235956663033887</v>
      </c>
      <c r="AK172" s="434"/>
      <c r="AL172" s="434"/>
      <c r="AM172" s="534">
        <f>'More Comp Group'!AE571*BZ8</f>
        <v>28989.099492000001</v>
      </c>
      <c r="AN172" s="534">
        <f>'More Comp Group'!AF571*CA8</f>
        <v>23497.186701999999</v>
      </c>
      <c r="AO172" s="534">
        <f>'More Comp Group'!AG571*CB8</f>
        <v>30146.126345999997</v>
      </c>
      <c r="AP172" s="534">
        <f>'More Comp Group'!AH571*CC8</f>
        <v>35501.921367000003</v>
      </c>
      <c r="AQ172" s="534">
        <f>'More Comp Group'!AI571*CD8</f>
        <v>28524.051199999998</v>
      </c>
      <c r="AR172" s="719">
        <f>'Long Term Debt'!C121*BZ8</f>
        <v>9550.3752239999994</v>
      </c>
      <c r="AS172" s="719">
        <f>'Long Term Debt'!D121*CA8</f>
        <v>10990.895454</v>
      </c>
      <c r="AT172" s="719">
        <f>'Long Term Debt'!E121*CB8</f>
        <v>11558.321838</v>
      </c>
      <c r="AU172" s="719">
        <f>'Long Term Debt'!F121*CC8</f>
        <v>12932.660261999999</v>
      </c>
      <c r="AV172" s="719">
        <f>'Long Term Debt'!G121*CD8</f>
        <v>14277.844395999999</v>
      </c>
      <c r="AW172" s="553">
        <f t="shared" si="106"/>
        <v>-0.56494557093364761</v>
      </c>
      <c r="AX172" s="553">
        <f t="shared" si="107"/>
        <v>0</v>
      </c>
      <c r="AY172" s="553">
        <f t="shared" si="108"/>
        <v>-1.1537511736485357</v>
      </c>
      <c r="AZ172" s="538">
        <f t="shared" si="109"/>
        <v>-0.48630420382426554</v>
      </c>
      <c r="BA172" s="538">
        <f t="shared" si="110"/>
        <v>0</v>
      </c>
      <c r="BB172" s="455">
        <f t="shared" si="111"/>
        <v>-0.93686145379868702</v>
      </c>
    </row>
    <row r="173" spans="1:54" s="200" customFormat="1" ht="15" customHeight="1">
      <c r="A173" s="535">
        <v>2018</v>
      </c>
      <c r="B173" s="676"/>
      <c r="C173" s="411" t="s">
        <v>435</v>
      </c>
      <c r="D173" s="536"/>
      <c r="E173" s="536"/>
      <c r="F173" s="536"/>
      <c r="G173" s="536"/>
      <c r="H173" s="536"/>
      <c r="I173" s="536" t="s">
        <v>341</v>
      </c>
      <c r="J173" s="524" t="s">
        <v>1000</v>
      </c>
      <c r="K173" s="534">
        <f>'More Comp Group'!M597</f>
        <v>71775.734704717994</v>
      </c>
      <c r="L173" s="534">
        <f>'More Comp Group'!N597</f>
        <v>72144.429580211596</v>
      </c>
      <c r="M173" s="534">
        <f>'More Comp Group'!O597</f>
        <v>63817.539131090001</v>
      </c>
      <c r="N173" s="534">
        <f>'More Comp Group'!P597</f>
        <v>61141.8871446997</v>
      </c>
      <c r="O173" s="534">
        <f>'More Comp Group'!Q597</f>
        <v>57859.318159334398</v>
      </c>
      <c r="P173" s="534">
        <f>'More Comp Group'!M601</f>
        <v>5005.4420194923896</v>
      </c>
      <c r="Q173" s="534">
        <f>'More Comp Group'!N601</f>
        <v>5701.4066542536002</v>
      </c>
      <c r="R173" s="534">
        <f>'More Comp Group'!O601</f>
        <v>4739.0660048499703</v>
      </c>
      <c r="S173" s="534">
        <f>'More Comp Group'!P601</f>
        <v>3645.2243909686799</v>
      </c>
      <c r="T173" s="534">
        <f>'More Comp Group'!Q601</f>
        <v>3609.62242756039</v>
      </c>
      <c r="U173" s="534">
        <f>'More Comp Group'!M600</f>
        <v>20589.001620225637</v>
      </c>
      <c r="V173" s="534">
        <f>'More Comp Group'!N600</f>
        <v>22284.52463732662</v>
      </c>
      <c r="W173" s="534">
        <f>'More Comp Group'!O600</f>
        <v>22193.621613234252</v>
      </c>
      <c r="X173" s="534">
        <f>'More Comp Group'!P600</f>
        <v>16964.902163669485</v>
      </c>
      <c r="Y173" s="534">
        <f>'More Comp Group'!Q600</f>
        <v>19870.036628149475</v>
      </c>
      <c r="Z173" s="534">
        <f>'More Comp Group'!M595</f>
        <v>25071.541161827699</v>
      </c>
      <c r="AA173" s="534">
        <f>'More Comp Group'!N595</f>
        <v>26310.433092773001</v>
      </c>
      <c r="AB173" s="534">
        <f>'More Comp Group'!O595</f>
        <v>27475.056632362299</v>
      </c>
      <c r="AC173" s="534">
        <f>'More Comp Group'!P595</f>
        <v>22424.395827233799</v>
      </c>
      <c r="AD173" s="534">
        <f>'More Comp Group'!Q595</f>
        <v>26037.880747832402</v>
      </c>
      <c r="AE173" s="538">
        <f t="shared" ref="AE173:AE174" si="244">T173/AD173</f>
        <v>0.13862965509821237</v>
      </c>
      <c r="AF173" s="538">
        <f t="shared" ref="AF173:AF174" si="245">S173/AC173</f>
        <v>0.1625561918837366</v>
      </c>
      <c r="AG173" s="538">
        <f t="shared" ref="AG173:AG174" si="246">R173/AB173</f>
        <v>0.17248612325944845</v>
      </c>
      <c r="AH173" s="538">
        <f t="shared" ref="AH173:AH174" si="247">T173/AQ173</f>
        <v>0.58523243414036885</v>
      </c>
      <c r="AI173" s="538">
        <f t="shared" ref="AI173:AI174" si="248">S173/AP173</f>
        <v>0.66768543304597139</v>
      </c>
      <c r="AJ173" s="538">
        <f t="shared" ref="AJ173:AJ174" si="249">R173/AO173</f>
        <v>0.89730650622156172</v>
      </c>
      <c r="AK173" s="434"/>
      <c r="AL173" s="434"/>
      <c r="AM173" s="534">
        <f>'More Comp Group'!M605</f>
        <v>4482.5395416021302</v>
      </c>
      <c r="AN173" s="534">
        <f>'More Comp Group'!N605</f>
        <v>4025.9084554463602</v>
      </c>
      <c r="AO173" s="534">
        <f>'More Comp Group'!O605</f>
        <v>5281.43501912802</v>
      </c>
      <c r="AP173" s="534">
        <f>'More Comp Group'!P605</f>
        <v>5459.4936635643198</v>
      </c>
      <c r="AQ173" s="534">
        <f>'More Comp Group'!Q605</f>
        <v>6167.8441196829099</v>
      </c>
      <c r="AR173" s="719">
        <f>'Long Term Debt'!C122</f>
        <v>2468.9341627359399</v>
      </c>
      <c r="AS173" s="719">
        <f>'Long Term Debt'!D122</f>
        <v>3010.0819866061202</v>
      </c>
      <c r="AT173" s="719">
        <f>'Long Term Debt'!E122</f>
        <v>4174.82910927385</v>
      </c>
      <c r="AU173" s="719">
        <f>'Long Term Debt'!F122</f>
        <v>645.91484378278301</v>
      </c>
      <c r="AV173" s="719">
        <f>'Long Term Debt'!G122</f>
        <v>828.136422641575</v>
      </c>
      <c r="AW173" s="553">
        <f t="shared" ref="AW173:AW174" si="250">T173/AV173</f>
        <v>4.3587292248860159</v>
      </c>
      <c r="AX173" s="553">
        <f t="shared" ref="AX173:AX174" si="251">S173/AU173</f>
        <v>5.6435061464457466</v>
      </c>
      <c r="AY173" s="553">
        <f t="shared" ref="AY173:AY174" si="252">R173/AT173</f>
        <v>1.1351520938480428</v>
      </c>
      <c r="AZ173" s="538">
        <f t="shared" ref="AZ173:AZ174" si="253">((AQ173/(AQ173+Y173))*AH173)+(Y173/(AQ173+Y173))*AW173</f>
        <v>3.4648646198190143</v>
      </c>
      <c r="BA173" s="538">
        <f t="shared" ref="BA173:BA174" si="254">((AP173/(AP173+X173))*AI173)+(X173/(AP173+X173))*AX173</f>
        <v>4.4320816842158006</v>
      </c>
      <c r="BB173" s="455">
        <f t="shared" ref="BB173:BB174" si="255">((AO173/(AO173+W173))*AJ173)+(W173/(AO173+W173))*AY173</f>
        <v>1.0894318599484711</v>
      </c>
    </row>
    <row r="174" spans="1:54" s="200" customFormat="1" ht="15" customHeight="1">
      <c r="A174" s="763">
        <v>2018</v>
      </c>
      <c r="B174" s="775"/>
      <c r="C174" s="752" t="s">
        <v>487</v>
      </c>
      <c r="D174" s="741"/>
      <c r="E174" s="741"/>
      <c r="F174" s="741"/>
      <c r="G174" s="741"/>
      <c r="H174" s="741"/>
      <c r="I174" s="741" t="s">
        <v>341</v>
      </c>
      <c r="J174" s="703" t="s">
        <v>999</v>
      </c>
      <c r="K174" s="769">
        <f>'More Comp Group'!V597*BK8</f>
        <v>313641.40499999997</v>
      </c>
      <c r="L174" s="769">
        <f>'More Comp Group'!W597*BL8</f>
        <v>256120.63493999999</v>
      </c>
      <c r="M174" s="769">
        <f>'More Comp Group'!X597*BM8</f>
        <v>242416.444452</v>
      </c>
      <c r="N174" s="769">
        <f>'More Comp Group'!Y597*BN8</f>
        <v>227045.730606</v>
      </c>
      <c r="O174" s="769">
        <f>'More Comp Group'!Z597*BO8</f>
        <v>194595.79829800001</v>
      </c>
      <c r="P174" s="769">
        <f>'More Comp Group'!V601*BK8</f>
        <v>30940.288182</v>
      </c>
      <c r="Q174" s="769">
        <f>'More Comp Group'!W601*BL8</f>
        <v>25720.255364999997</v>
      </c>
      <c r="R174" s="769">
        <f>'More Comp Group'!X601*BM8</f>
        <v>20481.302232999999</v>
      </c>
      <c r="S174" s="769">
        <f>'More Comp Group'!Y601*BN8</f>
        <v>18503.004162000001</v>
      </c>
      <c r="T174" s="769">
        <f>'More Comp Group'!Z601*BO8</f>
        <v>13562.055452000001</v>
      </c>
      <c r="U174" s="769">
        <f>'More Comp Group'!V600*BK8</f>
        <v>106019.639694</v>
      </c>
      <c r="V174" s="769">
        <f>'More Comp Group'!W600*BL8</f>
        <v>93030.826604999995</v>
      </c>
      <c r="W174" s="769">
        <f>'More Comp Group'!X600*BM8</f>
        <v>86606.392802999995</v>
      </c>
      <c r="X174" s="769">
        <f>'More Comp Group'!Y600*BN8</f>
        <v>58960.475544000001</v>
      </c>
      <c r="Y174" s="769">
        <f>'More Comp Group'!Z600*BO8</f>
        <v>51293.242880000005</v>
      </c>
      <c r="Z174" s="769">
        <f>'More Comp Group'!V595*BK8</f>
        <v>158303.48733899998</v>
      </c>
      <c r="AA174" s="769">
        <f>'More Comp Group'!W595*BL8</f>
        <v>138129.00743999999</v>
      </c>
      <c r="AB174" s="769">
        <f>'More Comp Group'!X595*BM8</f>
        <v>122734.99925399999</v>
      </c>
      <c r="AC174" s="769">
        <f>'More Comp Group'!Y595*BN8</f>
        <v>93015.656921999995</v>
      </c>
      <c r="AD174" s="769">
        <f>'More Comp Group'!Z595*BO8</f>
        <v>77977.157808000004</v>
      </c>
      <c r="AE174" s="746">
        <f t="shared" si="244"/>
        <v>0.17392343903317559</v>
      </c>
      <c r="AF174" s="746">
        <f t="shared" si="245"/>
        <v>0.19892354442560178</v>
      </c>
      <c r="AG174" s="746">
        <f t="shared" si="246"/>
        <v>0.16687417898307846</v>
      </c>
      <c r="AH174" s="746">
        <f t="shared" si="247"/>
        <v>0.50824833944321435</v>
      </c>
      <c r="AI174" s="746">
        <f t="shared" si="248"/>
        <v>0.54332419952850797</v>
      </c>
      <c r="AJ174" s="746">
        <f t="shared" si="249"/>
        <v>0.56689986813574145</v>
      </c>
      <c r="AK174" s="734"/>
      <c r="AL174" s="734"/>
      <c r="AM174" s="769">
        <f>'More Comp Group'!V605*BK8</f>
        <v>52283.847645000002</v>
      </c>
      <c r="AN174" s="769">
        <f>'More Comp Group'!W605*BL8</f>
        <v>45098.180834999999</v>
      </c>
      <c r="AO174" s="769">
        <f>'More Comp Group'!X605*BM8</f>
        <v>36128.606451</v>
      </c>
      <c r="AP174" s="769">
        <f>'More Comp Group'!Y605*BN8</f>
        <v>34055.181378000001</v>
      </c>
      <c r="AQ174" s="769">
        <f>'More Comp Group'!Z605*BO8</f>
        <v>26683.914928000002</v>
      </c>
      <c r="AR174" s="723">
        <f>'Long Term Debt'!C123*BK8</f>
        <v>19576.227969</v>
      </c>
      <c r="AS174" s="723">
        <f>'Long Term Debt'!D123*BL8</f>
        <v>20120.744879999998</v>
      </c>
      <c r="AT174" s="723">
        <f>'Long Term Debt'!E123*BM8</f>
        <v>22893.923751999999</v>
      </c>
      <c r="AU174" s="723">
        <f>'Long Term Debt'!F123*BN8</f>
        <v>70.571004000000002</v>
      </c>
      <c r="AV174" s="723">
        <f>'Long Term Debt'!G123*BO8</f>
        <v>26.392388</v>
      </c>
      <c r="AW174" s="711">
        <f t="shared" si="250"/>
        <v>513.86238532110087</v>
      </c>
      <c r="AX174" s="711">
        <f t="shared" si="251"/>
        <v>262.18989547038331</v>
      </c>
      <c r="AY174" s="711">
        <f t="shared" si="252"/>
        <v>0.89461738646747979</v>
      </c>
      <c r="AZ174" s="746">
        <f t="shared" si="253"/>
        <v>338.19173375818838</v>
      </c>
      <c r="BA174" s="746">
        <f t="shared" si="254"/>
        <v>166.39503967494704</v>
      </c>
      <c r="BB174" s="707">
        <f t="shared" si="255"/>
        <v>0.79814957110209306</v>
      </c>
    </row>
    <row r="175" spans="1:54" s="200" customFormat="1" ht="15" customHeight="1">
      <c r="A175" s="761"/>
      <c r="B175" s="772"/>
      <c r="C175" s="749"/>
      <c r="D175" s="738"/>
      <c r="E175" s="738"/>
      <c r="F175" s="738"/>
      <c r="G175" s="738"/>
      <c r="H175" s="738"/>
      <c r="I175" s="738"/>
      <c r="J175" s="710"/>
      <c r="K175" s="754"/>
      <c r="L175" s="754"/>
      <c r="M175" s="754"/>
      <c r="N175" s="754"/>
      <c r="O175" s="754"/>
      <c r="P175" s="754"/>
      <c r="Q175" s="754"/>
      <c r="R175" s="754"/>
      <c r="S175" s="754"/>
      <c r="T175" s="754"/>
      <c r="U175" s="754"/>
      <c r="V175" s="754"/>
      <c r="W175" s="754"/>
      <c r="X175" s="754"/>
      <c r="Y175" s="754"/>
      <c r="Z175" s="754"/>
      <c r="AA175" s="754"/>
      <c r="AB175" s="754"/>
      <c r="AC175" s="754"/>
      <c r="AD175" s="754"/>
      <c r="AE175" s="765"/>
      <c r="AF175" s="765"/>
      <c r="AG175" s="765"/>
      <c r="AH175" s="765"/>
      <c r="AI175" s="765"/>
      <c r="AJ175" s="765"/>
      <c r="AK175" s="738"/>
      <c r="AL175" s="738"/>
      <c r="AM175" s="754"/>
      <c r="AN175" s="754"/>
      <c r="AO175" s="754"/>
      <c r="AP175" s="754"/>
      <c r="AQ175" s="754"/>
      <c r="AR175" s="754"/>
      <c r="AS175" s="754"/>
      <c r="AT175" s="754"/>
      <c r="AU175" s="754"/>
      <c r="AV175" s="754"/>
      <c r="AW175" s="736"/>
      <c r="AX175" s="736"/>
      <c r="AY175" s="736"/>
      <c r="AZ175" s="765"/>
      <c r="BA175" s="765"/>
      <c r="BB175" s="706"/>
    </row>
    <row r="176" spans="1:54" s="200" customFormat="1" ht="15" customHeight="1">
      <c r="A176" s="773"/>
      <c r="B176" s="776"/>
      <c r="C176" s="750"/>
      <c r="D176" s="104"/>
      <c r="E176" s="104"/>
      <c r="F176" s="104"/>
      <c r="G176" s="104"/>
      <c r="H176" s="104"/>
      <c r="I176" s="104"/>
      <c r="J176" s="542"/>
      <c r="K176" s="739"/>
      <c r="L176" s="739"/>
      <c r="M176" s="739"/>
      <c r="N176" s="739"/>
      <c r="O176" s="739"/>
      <c r="P176" s="739"/>
      <c r="Q176" s="739"/>
      <c r="R176" s="739"/>
      <c r="S176" s="739"/>
      <c r="T176" s="739"/>
      <c r="U176" s="739"/>
      <c r="V176" s="739"/>
      <c r="W176" s="739"/>
      <c r="X176" s="739"/>
      <c r="Y176" s="739"/>
      <c r="Z176" s="739"/>
      <c r="AA176" s="739"/>
      <c r="AB176" s="739"/>
      <c r="AC176" s="739"/>
      <c r="AD176" s="739"/>
      <c r="AE176" s="559"/>
      <c r="AF176" s="559"/>
      <c r="AG176" s="559"/>
      <c r="AH176" s="559"/>
      <c r="AI176" s="559"/>
      <c r="AJ176" s="559"/>
      <c r="AK176" s="104"/>
      <c r="AL176" s="104"/>
      <c r="AM176" s="739"/>
      <c r="AN176" s="739"/>
      <c r="AO176" s="739"/>
      <c r="AP176" s="739"/>
      <c r="AQ176" s="739"/>
      <c r="AR176" s="739"/>
      <c r="AS176" s="739"/>
      <c r="AT176" s="739"/>
      <c r="AU176" s="739"/>
      <c r="AV176" s="739"/>
      <c r="AW176" s="560"/>
      <c r="AX176" s="560"/>
      <c r="AY176" s="560"/>
      <c r="AZ176" s="559"/>
      <c r="BA176" s="559"/>
      <c r="BB176" s="558"/>
    </row>
    <row r="177" spans="1:54" s="200" customFormat="1" ht="15" customHeight="1">
      <c r="A177" s="773"/>
      <c r="B177" s="776"/>
      <c r="C177" s="750"/>
      <c r="D177" s="104"/>
      <c r="E177" s="104"/>
      <c r="F177" s="104"/>
      <c r="G177" s="104"/>
      <c r="H177" s="104"/>
      <c r="I177" s="104"/>
      <c r="J177" s="542"/>
      <c r="K177" s="739"/>
      <c r="L177" s="739"/>
      <c r="M177" s="739"/>
      <c r="N177" s="739"/>
      <c r="O177" s="739"/>
      <c r="P177" s="739"/>
      <c r="Q177" s="739"/>
      <c r="R177" s="739"/>
      <c r="S177" s="739"/>
      <c r="T177" s="739"/>
      <c r="U177" s="739"/>
      <c r="V177" s="739"/>
      <c r="W177" s="739"/>
      <c r="X177" s="739"/>
      <c r="Y177" s="739"/>
      <c r="Z177" s="739"/>
      <c r="AA177" s="739"/>
      <c r="AB177" s="739"/>
      <c r="AC177" s="739"/>
      <c r="AD177" s="739"/>
      <c r="AE177" s="559"/>
      <c r="AF177" s="559"/>
      <c r="AG177" s="559"/>
      <c r="AH177" s="559"/>
      <c r="AI177" s="559"/>
      <c r="AJ177" s="559"/>
      <c r="AK177" s="104"/>
      <c r="AL177" s="104"/>
      <c r="AM177" s="739"/>
      <c r="AN177" s="739"/>
      <c r="AO177" s="739"/>
      <c r="AP177" s="739"/>
      <c r="AQ177" s="739"/>
      <c r="AR177" s="739"/>
      <c r="AS177" s="739"/>
      <c r="AT177" s="739"/>
      <c r="AU177" s="739"/>
      <c r="AV177" s="739"/>
      <c r="AW177" s="560"/>
      <c r="AX177" s="560"/>
      <c r="AY177" s="560"/>
      <c r="AZ177" s="559"/>
      <c r="BA177" s="559"/>
      <c r="BB177" s="558"/>
    </row>
    <row r="178" spans="1:54" s="200" customFormat="1" ht="15" customHeight="1">
      <c r="A178" s="773"/>
      <c r="B178" s="776"/>
      <c r="C178" s="750"/>
      <c r="D178" s="104"/>
      <c r="E178" s="104"/>
      <c r="F178" s="104"/>
      <c r="G178" s="104"/>
      <c r="H178" s="104"/>
      <c r="I178" s="104"/>
      <c r="J178" s="542"/>
      <c r="K178" s="739"/>
      <c r="L178" s="739"/>
      <c r="M178" s="739"/>
      <c r="N178" s="739"/>
      <c r="O178" s="739"/>
      <c r="P178" s="739"/>
      <c r="Q178" s="739"/>
      <c r="R178" s="739"/>
      <c r="S178" s="739"/>
      <c r="T178" s="739"/>
      <c r="U178" s="739"/>
      <c r="V178" s="739"/>
      <c r="W178" s="739"/>
      <c r="X178" s="739"/>
      <c r="Y178" s="739"/>
      <c r="Z178" s="739"/>
      <c r="AA178" s="739"/>
      <c r="AB178" s="739"/>
      <c r="AC178" s="739"/>
      <c r="AD178" s="739"/>
      <c r="AE178" s="559"/>
      <c r="AF178" s="559"/>
      <c r="AG178" s="559"/>
      <c r="AH178" s="559"/>
      <c r="AI178" s="559"/>
      <c r="AJ178" s="559"/>
      <c r="AK178" s="104"/>
      <c r="AL178" s="104"/>
      <c r="AM178" s="739"/>
      <c r="AN178" s="739"/>
      <c r="AO178" s="739"/>
      <c r="AP178" s="739"/>
      <c r="AQ178" s="739"/>
      <c r="AR178" s="739"/>
      <c r="AS178" s="739"/>
      <c r="AT178" s="739"/>
      <c r="AU178" s="739"/>
      <c r="AV178" s="739"/>
      <c r="AW178" s="560"/>
      <c r="AX178" s="560"/>
      <c r="AY178" s="560"/>
      <c r="AZ178" s="559"/>
      <c r="BA178" s="559"/>
      <c r="BB178" s="558"/>
    </row>
    <row r="179" spans="1:54" s="200" customFormat="1" ht="15" customHeight="1">
      <c r="A179" s="773"/>
      <c r="B179" s="776"/>
      <c r="C179" s="750"/>
      <c r="D179" s="104"/>
      <c r="E179" s="104"/>
      <c r="F179" s="104"/>
      <c r="G179" s="104"/>
      <c r="H179" s="104"/>
      <c r="I179" s="104"/>
      <c r="J179" s="542"/>
      <c r="K179" s="739"/>
      <c r="L179" s="739"/>
      <c r="M179" s="739"/>
      <c r="N179" s="739"/>
      <c r="O179" s="739"/>
      <c r="P179" s="739"/>
      <c r="Q179" s="739"/>
      <c r="R179" s="739"/>
      <c r="S179" s="739"/>
      <c r="T179" s="739"/>
      <c r="U179" s="739"/>
      <c r="V179" s="739"/>
      <c r="W179" s="739"/>
      <c r="X179" s="739"/>
      <c r="Y179" s="739"/>
      <c r="Z179" s="739"/>
      <c r="AA179" s="739"/>
      <c r="AB179" s="739"/>
      <c r="AC179" s="739"/>
      <c r="AD179" s="739"/>
      <c r="AE179" s="559"/>
      <c r="AF179" s="559"/>
      <c r="AG179" s="559"/>
      <c r="AH179" s="559"/>
      <c r="AI179" s="559"/>
      <c r="AJ179" s="559"/>
      <c r="AK179" s="104"/>
      <c r="AL179" s="104"/>
      <c r="AM179" s="739"/>
      <c r="AN179" s="739"/>
      <c r="AO179" s="739"/>
      <c r="AP179" s="739"/>
      <c r="AQ179" s="739"/>
      <c r="AR179" s="739"/>
      <c r="AS179" s="739"/>
      <c r="AT179" s="739"/>
      <c r="AU179" s="739"/>
      <c r="AV179" s="739"/>
      <c r="AW179" s="560"/>
      <c r="AX179" s="560"/>
      <c r="AY179" s="560"/>
      <c r="AZ179" s="559"/>
      <c r="BA179" s="559"/>
      <c r="BB179" s="558"/>
    </row>
    <row r="180" spans="1:54" s="200" customFormat="1" ht="15" customHeight="1">
      <c r="A180" s="773"/>
      <c r="B180" s="776"/>
      <c r="C180" s="750"/>
      <c r="D180" s="104"/>
      <c r="E180" s="104"/>
      <c r="F180" s="104"/>
      <c r="G180" s="104"/>
      <c r="H180" s="104"/>
      <c r="I180" s="104"/>
      <c r="J180" s="542"/>
      <c r="K180" s="739"/>
      <c r="L180" s="739"/>
      <c r="M180" s="739"/>
      <c r="N180" s="739"/>
      <c r="O180" s="739"/>
      <c r="P180" s="739"/>
      <c r="Q180" s="739"/>
      <c r="R180" s="739"/>
      <c r="S180" s="739"/>
      <c r="T180" s="739"/>
      <c r="U180" s="739"/>
      <c r="V180" s="739"/>
      <c r="W180" s="739"/>
      <c r="X180" s="739"/>
      <c r="Y180" s="739"/>
      <c r="Z180" s="739"/>
      <c r="AA180" s="739"/>
      <c r="AB180" s="739"/>
      <c r="AC180" s="739"/>
      <c r="AD180" s="739"/>
      <c r="AE180" s="559"/>
      <c r="AF180" s="559"/>
      <c r="AG180" s="559"/>
      <c r="AH180" s="559"/>
      <c r="AI180" s="559"/>
      <c r="AJ180" s="559"/>
      <c r="AK180" s="104"/>
      <c r="AL180" s="104"/>
      <c r="AM180" s="739"/>
      <c r="AN180" s="739"/>
      <c r="AO180" s="739"/>
      <c r="AP180" s="739"/>
      <c r="AQ180" s="739"/>
      <c r="AR180" s="739"/>
      <c r="AS180" s="739"/>
      <c r="AT180" s="739"/>
      <c r="AU180" s="739"/>
      <c r="AV180" s="739"/>
      <c r="AW180" s="560"/>
      <c r="AX180" s="560"/>
      <c r="AY180" s="560"/>
      <c r="AZ180" s="559"/>
      <c r="BA180" s="559"/>
      <c r="BB180" s="558"/>
    </row>
    <row r="181" spans="1:54" s="200" customFormat="1" ht="15" customHeight="1">
      <c r="A181" s="773"/>
      <c r="B181" s="776"/>
      <c r="C181" s="750"/>
      <c r="D181" s="104"/>
      <c r="E181" s="104"/>
      <c r="F181" s="104"/>
      <c r="G181" s="104"/>
      <c r="H181" s="104"/>
      <c r="I181" s="104"/>
      <c r="J181" s="542"/>
      <c r="K181" s="739"/>
      <c r="L181" s="739"/>
      <c r="M181" s="739"/>
      <c r="N181" s="739"/>
      <c r="O181" s="739"/>
      <c r="P181" s="739"/>
      <c r="Q181" s="739"/>
      <c r="R181" s="739"/>
      <c r="S181" s="739"/>
      <c r="T181" s="739"/>
      <c r="U181" s="739"/>
      <c r="V181" s="739"/>
      <c r="W181" s="739"/>
      <c r="X181" s="739"/>
      <c r="Y181" s="739"/>
      <c r="Z181" s="739"/>
      <c r="AA181" s="739"/>
      <c r="AB181" s="739"/>
      <c r="AC181" s="739"/>
      <c r="AD181" s="739"/>
      <c r="AE181" s="559"/>
      <c r="AF181" s="559"/>
      <c r="AG181" s="559"/>
      <c r="AH181" s="559"/>
      <c r="AI181" s="559"/>
      <c r="AJ181" s="559"/>
      <c r="AK181" s="104"/>
      <c r="AL181" s="104"/>
      <c r="AM181" s="739"/>
      <c r="AN181" s="739"/>
      <c r="AO181" s="739"/>
      <c r="AP181" s="739"/>
      <c r="AQ181" s="739"/>
      <c r="AR181" s="739"/>
      <c r="AS181" s="739"/>
      <c r="AT181" s="739"/>
      <c r="AU181" s="739"/>
      <c r="AV181" s="739"/>
      <c r="AW181" s="560"/>
      <c r="AX181" s="560"/>
      <c r="AY181" s="560"/>
      <c r="AZ181" s="559"/>
      <c r="BA181" s="559"/>
      <c r="BB181" s="558"/>
    </row>
    <row r="182" spans="1:54" s="200" customFormat="1" ht="15" customHeight="1">
      <c r="A182" s="773"/>
      <c r="B182" s="776"/>
      <c r="C182" s="750"/>
      <c r="D182" s="104"/>
      <c r="E182" s="104"/>
      <c r="F182" s="104"/>
      <c r="G182" s="104"/>
      <c r="H182" s="104"/>
      <c r="I182" s="104"/>
      <c r="J182" s="542"/>
      <c r="K182" s="739"/>
      <c r="L182" s="739"/>
      <c r="M182" s="739"/>
      <c r="N182" s="739"/>
      <c r="O182" s="739"/>
      <c r="P182" s="739"/>
      <c r="Q182" s="739"/>
      <c r="R182" s="739"/>
      <c r="S182" s="739"/>
      <c r="T182" s="739"/>
      <c r="U182" s="739"/>
      <c r="V182" s="739"/>
      <c r="W182" s="739"/>
      <c r="X182" s="739"/>
      <c r="Y182" s="739"/>
      <c r="Z182" s="739"/>
      <c r="AA182" s="739"/>
      <c r="AB182" s="739"/>
      <c r="AC182" s="739"/>
      <c r="AD182" s="739"/>
      <c r="AE182" s="559"/>
      <c r="AF182" s="559"/>
      <c r="AG182" s="559"/>
      <c r="AH182" s="559"/>
      <c r="AI182" s="559"/>
      <c r="AJ182" s="559"/>
      <c r="AK182" s="104"/>
      <c r="AL182" s="104"/>
      <c r="AM182" s="739"/>
      <c r="AN182" s="739"/>
      <c r="AO182" s="739"/>
      <c r="AP182" s="739"/>
      <c r="AQ182" s="739"/>
      <c r="AR182" s="739"/>
      <c r="AS182" s="739"/>
      <c r="AT182" s="739"/>
      <c r="AU182" s="739"/>
      <c r="AV182" s="739"/>
      <c r="AW182" s="560"/>
      <c r="AX182" s="560"/>
      <c r="AY182" s="560"/>
      <c r="AZ182" s="559"/>
      <c r="BA182" s="559"/>
      <c r="BB182" s="558"/>
    </row>
    <row r="183" spans="1:54" s="200" customFormat="1" ht="15" customHeight="1">
      <c r="A183" s="773"/>
      <c r="B183" s="776"/>
      <c r="C183" s="750"/>
      <c r="D183" s="104"/>
      <c r="E183" s="104"/>
      <c r="F183" s="104"/>
      <c r="G183" s="104"/>
      <c r="H183" s="104"/>
      <c r="I183" s="104"/>
      <c r="J183" s="542"/>
      <c r="K183" s="739"/>
      <c r="L183" s="739"/>
      <c r="M183" s="739"/>
      <c r="N183" s="739"/>
      <c r="O183" s="739"/>
      <c r="P183" s="739"/>
      <c r="Q183" s="739"/>
      <c r="R183" s="739"/>
      <c r="S183" s="739"/>
      <c r="T183" s="739"/>
      <c r="U183" s="739"/>
      <c r="V183" s="739"/>
      <c r="W183" s="739"/>
      <c r="X183" s="739"/>
      <c r="Y183" s="739"/>
      <c r="Z183" s="739"/>
      <c r="AA183" s="739"/>
      <c r="AB183" s="739"/>
      <c r="AC183" s="739"/>
      <c r="AD183" s="739"/>
      <c r="AE183" s="559"/>
      <c r="AF183" s="559"/>
      <c r="AG183" s="559"/>
      <c r="AH183" s="559"/>
      <c r="AI183" s="559"/>
      <c r="AJ183" s="559"/>
      <c r="AK183" s="104"/>
      <c r="AL183" s="104"/>
      <c r="AM183" s="739"/>
      <c r="AN183" s="739"/>
      <c r="AO183" s="739"/>
      <c r="AP183" s="739"/>
      <c r="AQ183" s="739"/>
      <c r="AR183" s="739"/>
      <c r="AS183" s="739"/>
      <c r="AT183" s="739"/>
      <c r="AU183" s="739"/>
      <c r="AV183" s="739"/>
      <c r="AW183" s="560"/>
      <c r="AX183" s="560"/>
      <c r="AY183" s="560"/>
      <c r="AZ183" s="559"/>
      <c r="BA183" s="559"/>
      <c r="BB183" s="558"/>
    </row>
    <row r="184" spans="1:54" s="200" customFormat="1" ht="15" customHeight="1">
      <c r="A184" s="773"/>
      <c r="B184" s="776"/>
      <c r="C184" s="750"/>
      <c r="D184" s="104"/>
      <c r="E184" s="104"/>
      <c r="F184" s="104"/>
      <c r="G184" s="104"/>
      <c r="H184" s="104"/>
      <c r="I184" s="104"/>
      <c r="J184" s="542"/>
      <c r="K184" s="739"/>
      <c r="L184" s="739"/>
      <c r="M184" s="739"/>
      <c r="N184" s="739"/>
      <c r="O184" s="739"/>
      <c r="P184" s="739"/>
      <c r="Q184" s="739"/>
      <c r="R184" s="739"/>
      <c r="S184" s="739"/>
      <c r="T184" s="739"/>
      <c r="U184" s="739"/>
      <c r="V184" s="739"/>
      <c r="W184" s="739"/>
      <c r="X184" s="739"/>
      <c r="Y184" s="739"/>
      <c r="Z184" s="739"/>
      <c r="AA184" s="739"/>
      <c r="AB184" s="739"/>
      <c r="AC184" s="739"/>
      <c r="AD184" s="739"/>
      <c r="AE184" s="559"/>
      <c r="AF184" s="559"/>
      <c r="AG184" s="559"/>
      <c r="AH184" s="559"/>
      <c r="AI184" s="559"/>
      <c r="AJ184" s="559"/>
      <c r="AK184" s="104"/>
      <c r="AL184" s="104"/>
      <c r="AM184" s="739"/>
      <c r="AN184" s="739"/>
      <c r="AO184" s="739"/>
      <c r="AP184" s="739"/>
      <c r="AQ184" s="739"/>
      <c r="AR184" s="739"/>
      <c r="AS184" s="739"/>
      <c r="AT184" s="739"/>
      <c r="AU184" s="739"/>
      <c r="AV184" s="739"/>
      <c r="AW184" s="560"/>
      <c r="AX184" s="560"/>
      <c r="AY184" s="560"/>
      <c r="AZ184" s="559"/>
      <c r="BA184" s="559"/>
      <c r="BB184" s="558"/>
    </row>
    <row r="185" spans="1:54" s="200" customFormat="1" ht="15" customHeight="1">
      <c r="A185" s="539"/>
      <c r="B185" s="539"/>
      <c r="C185" s="194"/>
      <c r="D185" s="209"/>
      <c r="E185" s="209"/>
      <c r="F185" s="209"/>
      <c r="G185" s="209"/>
      <c r="H185" s="209"/>
      <c r="I185" s="194"/>
      <c r="J185" s="542"/>
      <c r="K185" s="540"/>
      <c r="L185" s="540"/>
      <c r="M185" s="540"/>
      <c r="N185" s="540"/>
      <c r="O185" s="540"/>
      <c r="P185" s="540"/>
      <c r="Q185" s="540"/>
      <c r="R185" s="540"/>
      <c r="S185" s="540"/>
      <c r="T185" s="540"/>
      <c r="U185" s="337"/>
      <c r="V185" s="337"/>
      <c r="W185" s="337"/>
      <c r="X185" s="337"/>
      <c r="Y185" s="337"/>
      <c r="Z185" s="337"/>
      <c r="AA185" s="337"/>
      <c r="AB185" s="337"/>
      <c r="AC185" s="337"/>
      <c r="AD185" s="337"/>
      <c r="AE185" s="541"/>
      <c r="AF185" s="541"/>
      <c r="AG185" s="541"/>
      <c r="AH185" s="541"/>
      <c r="AI185" s="541"/>
      <c r="AJ185" s="541"/>
      <c r="AK185" s="104"/>
      <c r="AL185" s="104"/>
      <c r="AM185" s="337"/>
      <c r="AN185" s="337"/>
      <c r="AO185" s="337"/>
      <c r="AP185" s="337"/>
      <c r="AQ185" s="337"/>
      <c r="AR185" s="554"/>
      <c r="AS185" s="554"/>
      <c r="AT185" s="554"/>
      <c r="AU185" s="554"/>
      <c r="AV185" s="554"/>
      <c r="AW185" s="560"/>
      <c r="AX185" s="560"/>
      <c r="AY185" s="560"/>
      <c r="AZ185" s="559"/>
      <c r="BA185" s="559"/>
      <c r="BB185" s="558"/>
    </row>
    <row r="186" spans="1:54" ht="15" customHeight="1">
      <c r="A186" s="920" t="s">
        <v>559</v>
      </c>
      <c r="B186" s="921"/>
      <c r="C186" s="921"/>
      <c r="D186" s="921"/>
      <c r="E186" s="921"/>
      <c r="F186" s="921"/>
      <c r="G186" s="921"/>
      <c r="H186" s="921"/>
      <c r="I186" s="921"/>
      <c r="J186" s="922"/>
      <c r="K186" s="929" t="s">
        <v>108</v>
      </c>
      <c r="L186" s="929"/>
      <c r="M186" s="929"/>
      <c r="N186" s="929"/>
      <c r="O186" s="929"/>
      <c r="P186" s="930" t="s">
        <v>110</v>
      </c>
      <c r="Q186" s="930"/>
      <c r="R186" s="930"/>
      <c r="S186" s="930"/>
      <c r="T186" s="930"/>
      <c r="U186" s="933" t="s">
        <v>109</v>
      </c>
      <c r="V186" s="933"/>
      <c r="W186" s="933"/>
      <c r="X186" s="933"/>
      <c r="Y186" s="933"/>
      <c r="Z186" s="931" t="s">
        <v>111</v>
      </c>
      <c r="AA186" s="931"/>
      <c r="AB186" s="931"/>
      <c r="AC186" s="931"/>
      <c r="AD186" s="931"/>
      <c r="AE186" s="940" t="s">
        <v>113</v>
      </c>
      <c r="AF186" s="940"/>
      <c r="AG186" s="940"/>
      <c r="AH186" s="949" t="s">
        <v>114</v>
      </c>
      <c r="AI186" s="949"/>
      <c r="AJ186" s="949"/>
      <c r="AK186" s="544" t="s">
        <v>115</v>
      </c>
      <c r="AL186" s="544" t="s">
        <v>112</v>
      </c>
      <c r="AM186" s="932" t="s">
        <v>105</v>
      </c>
      <c r="AN186" s="932"/>
      <c r="AO186" s="932"/>
      <c r="AP186" s="932"/>
      <c r="AQ186" s="932"/>
      <c r="AR186" s="926" t="s">
        <v>563</v>
      </c>
      <c r="AS186" s="927"/>
      <c r="AT186" s="927"/>
      <c r="AU186" s="927"/>
      <c r="AV186" s="928"/>
      <c r="AW186" s="917" t="s">
        <v>565</v>
      </c>
      <c r="AX186" s="918"/>
      <c r="AY186" s="918"/>
      <c r="AZ186" s="919" t="s">
        <v>564</v>
      </c>
      <c r="BA186" s="919"/>
      <c r="BB186" s="919"/>
    </row>
    <row r="187" spans="1:54" s="200" customFormat="1" ht="15" customHeight="1">
      <c r="A187" s="923"/>
      <c r="B187" s="924"/>
      <c r="C187" s="924"/>
      <c r="D187" s="924"/>
      <c r="E187" s="924"/>
      <c r="F187" s="924"/>
      <c r="G187" s="924"/>
      <c r="H187" s="924"/>
      <c r="I187" s="924"/>
      <c r="J187" s="925"/>
      <c r="K187" s="52" t="s">
        <v>117</v>
      </c>
      <c r="L187" s="52" t="s">
        <v>118</v>
      </c>
      <c r="M187" s="52" t="s">
        <v>119</v>
      </c>
      <c r="N187" s="52" t="s">
        <v>120</v>
      </c>
      <c r="O187" s="52" t="s">
        <v>121</v>
      </c>
      <c r="P187" s="545" t="s">
        <v>122</v>
      </c>
      <c r="Q187" s="545" t="s">
        <v>123</v>
      </c>
      <c r="R187" s="545" t="s">
        <v>124</v>
      </c>
      <c r="S187" s="545" t="s">
        <v>125</v>
      </c>
      <c r="T187" s="545" t="s">
        <v>126</v>
      </c>
      <c r="U187" s="546" t="s">
        <v>127</v>
      </c>
      <c r="V187" s="546" t="s">
        <v>128</v>
      </c>
      <c r="W187" s="546" t="s">
        <v>129</v>
      </c>
      <c r="X187" s="546" t="s">
        <v>130</v>
      </c>
      <c r="Y187" s="546" t="s">
        <v>131</v>
      </c>
      <c r="Z187" s="547" t="s">
        <v>132</v>
      </c>
      <c r="AA187" s="547" t="s">
        <v>133</v>
      </c>
      <c r="AB187" s="547" t="s">
        <v>134</v>
      </c>
      <c r="AC187" s="547" t="s">
        <v>135</v>
      </c>
      <c r="AD187" s="547" t="s">
        <v>136</v>
      </c>
      <c r="AE187" s="548"/>
      <c r="AF187" s="548" t="s">
        <v>113</v>
      </c>
      <c r="AG187" s="548"/>
      <c r="AH187" s="549"/>
      <c r="AI187" s="549" t="s">
        <v>114</v>
      </c>
      <c r="AJ187" s="549"/>
      <c r="AK187" s="64" t="s">
        <v>115</v>
      </c>
      <c r="AL187" s="64" t="s">
        <v>112</v>
      </c>
      <c r="AM187" s="58" t="s">
        <v>107</v>
      </c>
      <c r="AN187" s="58" t="s">
        <v>106</v>
      </c>
      <c r="AO187" s="58" t="s">
        <v>104</v>
      </c>
      <c r="AP187" s="58" t="s">
        <v>103</v>
      </c>
      <c r="AQ187" s="58" t="s">
        <v>102</v>
      </c>
      <c r="AR187" s="516" t="s">
        <v>89</v>
      </c>
      <c r="AS187" s="516" t="s">
        <v>88</v>
      </c>
      <c r="AT187" s="516" t="s">
        <v>87</v>
      </c>
      <c r="AU187" s="516" t="s">
        <v>86</v>
      </c>
      <c r="AV187" s="516" t="s">
        <v>85</v>
      </c>
      <c r="AW187" s="557" t="s">
        <v>566</v>
      </c>
      <c r="AX187" s="557" t="s">
        <v>567</v>
      </c>
      <c r="AY187" s="557" t="s">
        <v>568</v>
      </c>
      <c r="AZ187" s="519" t="s">
        <v>99</v>
      </c>
      <c r="BA187" s="519" t="s">
        <v>100</v>
      </c>
      <c r="BB187" s="519" t="s">
        <v>101</v>
      </c>
    </row>
    <row r="188" spans="1:54" ht="15" customHeight="1">
      <c r="A188" s="449">
        <v>2015</v>
      </c>
      <c r="B188" s="449"/>
      <c r="C188" s="449"/>
      <c r="D188" s="441"/>
      <c r="E188" s="441"/>
      <c r="F188" s="441"/>
      <c r="G188" s="441"/>
      <c r="H188" s="441"/>
      <c r="I188" s="441"/>
      <c r="J188" s="436" t="s">
        <v>73</v>
      </c>
      <c r="K188" s="543">
        <f t="shared" ref="K188:O197" si="256">LN(K3)</f>
        <v>10.064925898413659</v>
      </c>
      <c r="L188" s="543">
        <f t="shared" si="256"/>
        <v>9.7366652591890972</v>
      </c>
      <c r="M188" s="543">
        <f t="shared" si="256"/>
        <v>9.6537433194247395</v>
      </c>
      <c r="N188" s="543">
        <f t="shared" si="256"/>
        <v>9.9363902722118365</v>
      </c>
      <c r="O188" s="543">
        <f t="shared" si="256"/>
        <v>11.28924426915111</v>
      </c>
      <c r="P188" s="550">
        <f t="shared" ref="P188:P231" si="257">P3/K3</f>
        <v>-0.30513955071477195</v>
      </c>
      <c r="Q188" s="550">
        <f t="shared" ref="Q188:Q231" si="258">Q3/L3</f>
        <v>-0.33609026998286762</v>
      </c>
      <c r="R188" s="550">
        <f t="shared" ref="R188:R231" si="259">R3/M3</f>
        <v>-0.30449293966623875</v>
      </c>
      <c r="S188" s="550">
        <f t="shared" ref="S188:S231" si="260">S3/N3</f>
        <v>0.26716338477913781</v>
      </c>
      <c r="T188" s="550">
        <f t="shared" ref="T188:T231" si="261">T3/O3</f>
        <v>1.8047200370198982E-2</v>
      </c>
      <c r="U188" s="551">
        <f>U3/Z3</f>
        <v>1.3533982567798992</v>
      </c>
      <c r="V188" s="551">
        <f t="shared" ref="V188:V231" si="262">V3/AA3</f>
        <v>1.1491460079795579</v>
      </c>
      <c r="W188" s="551">
        <f t="shared" ref="W188:W231" si="263">W3/AB3</f>
        <v>1.0195439079714841</v>
      </c>
      <c r="X188" s="551">
        <f t="shared" ref="X188:X231" si="264">X3/AC3</f>
        <v>0.93768345371194883</v>
      </c>
      <c r="Y188" s="551">
        <f t="shared" ref="Y188:Y231" si="265">Y3/AD3</f>
        <v>1.1390873941235764</v>
      </c>
      <c r="Z188" s="551">
        <f t="shared" ref="Z188:Z231" si="266">K3/Z3</f>
        <v>0.60077192444342198</v>
      </c>
      <c r="AA188" s="551">
        <f t="shared" ref="AA188:AA231" si="267">L3/AA3</f>
        <v>0.37941005065674455</v>
      </c>
      <c r="AB188" s="551">
        <f t="shared" ref="AB188:AB231" si="268">M3/AB3</f>
        <v>0.31553791315618923</v>
      </c>
      <c r="AC188" s="551">
        <f t="shared" ref="AC188:AC231" si="269">N3/AC3</f>
        <v>0.34083638402427363</v>
      </c>
      <c r="AD188" s="551">
        <f t="shared" ref="AD188:AD231" si="270">O3/AD3</f>
        <v>1.2029216627299943</v>
      </c>
      <c r="AE188" s="61"/>
      <c r="AF188" s="61">
        <f t="shared" ref="AF188:AF231" si="271">AG3-AE3</f>
        <v>-0.11778843503001955</v>
      </c>
      <c r="AG188" s="61"/>
      <c r="AH188" s="61"/>
      <c r="AI188" s="61">
        <f>AJ3-AH3</f>
        <v>5.0721465460954951</v>
      </c>
      <c r="AJ188" s="61"/>
      <c r="AK188" s="536">
        <f>LN(M3/O3)</f>
        <v>-1.6355009497263711</v>
      </c>
      <c r="AL188" s="552">
        <f>W188-Y188</f>
        <v>-0.11954348615209232</v>
      </c>
      <c r="AM188" s="443">
        <f t="shared" ref="AM188:AW188" si="272">AM3</f>
        <v>-13826</v>
      </c>
      <c r="AN188" s="443">
        <f t="shared" si="272"/>
        <v>-6654</v>
      </c>
      <c r="AO188" s="443">
        <f t="shared" si="272"/>
        <v>-965</v>
      </c>
      <c r="AP188" s="443">
        <f t="shared" si="272"/>
        <v>3779</v>
      </c>
      <c r="AQ188" s="443">
        <f t="shared" si="272"/>
        <v>-9245</v>
      </c>
      <c r="AR188" s="443">
        <f t="shared" si="272"/>
        <v>42791</v>
      </c>
      <c r="AS188" s="443">
        <f t="shared" si="272"/>
        <v>42995</v>
      </c>
      <c r="AT188" s="443">
        <f t="shared" si="272"/>
        <v>41491</v>
      </c>
      <c r="AU188" s="443">
        <f t="shared" si="272"/>
        <v>44854</v>
      </c>
      <c r="AV188" s="443">
        <f t="shared" si="272"/>
        <v>6224</v>
      </c>
      <c r="AW188" s="553">
        <f t="shared" si="272"/>
        <v>0.23184447300771208</v>
      </c>
      <c r="AX188" s="553">
        <f t="shared" ref="AX188:AY188" si="273">AX3</f>
        <v>0.1231105364070094</v>
      </c>
      <c r="AY188" s="553">
        <f t="shared" si="273"/>
        <v>-0.11433804921549251</v>
      </c>
      <c r="AZ188" s="538">
        <f>AZ3</f>
        <v>0.28580048487724974</v>
      </c>
      <c r="BA188" s="538">
        <f t="shared" ref="BA188:BB188" si="274">BA3</f>
        <v>0.20649771497826219</v>
      </c>
      <c r="BB188" s="538">
        <f t="shared" si="274"/>
        <v>-0.21265172828007753</v>
      </c>
    </row>
    <row r="189" spans="1:54" ht="15" customHeight="1">
      <c r="A189" s="449">
        <v>2014</v>
      </c>
      <c r="B189" s="449"/>
      <c r="C189" s="449"/>
      <c r="D189" s="441"/>
      <c r="E189" s="441"/>
      <c r="F189" s="441"/>
      <c r="G189" s="441"/>
      <c r="H189" s="441"/>
      <c r="I189" s="441"/>
      <c r="J189" s="437" t="s">
        <v>137</v>
      </c>
      <c r="K189" s="543">
        <f t="shared" si="256"/>
        <v>12.464517973935184</v>
      </c>
      <c r="L189" s="543">
        <f t="shared" si="256"/>
        <v>12.470022296944883</v>
      </c>
      <c r="M189" s="543">
        <f t="shared" si="256"/>
        <v>12.534652189576713</v>
      </c>
      <c r="N189" s="543">
        <f t="shared" si="256"/>
        <v>12.47265467665655</v>
      </c>
      <c r="O189" s="543">
        <f t="shared" si="256"/>
        <v>12.656670958260683</v>
      </c>
      <c r="P189" s="550">
        <f t="shared" si="257"/>
        <v>0.11940405906922552</v>
      </c>
      <c r="Q189" s="550">
        <f t="shared" si="258"/>
        <v>3.6440486182017055E-3</v>
      </c>
      <c r="R189" s="550">
        <f t="shared" si="259"/>
        <v>9.3036425898920624E-2</v>
      </c>
      <c r="S189" s="550">
        <f t="shared" si="260"/>
        <v>8.0925686803627772E-2</v>
      </c>
      <c r="T189" s="550">
        <f t="shared" si="261"/>
        <v>3.2099209258524455E-2</v>
      </c>
      <c r="U189" s="551">
        <f t="shared" ref="U189:U231" si="275">U4/Z4</f>
        <v>0.57425481252415456</v>
      </c>
      <c r="V189" s="551">
        <f t="shared" si="262"/>
        <v>0.67308239688807103</v>
      </c>
      <c r="W189" s="551">
        <f t="shared" si="263"/>
        <v>0.77226484186284527</v>
      </c>
      <c r="X189" s="551">
        <f t="shared" si="264"/>
        <v>0.33557482428806817</v>
      </c>
      <c r="Y189" s="551">
        <f t="shared" si="265"/>
        <v>0.29380286431574559</v>
      </c>
      <c r="Z189" s="551">
        <f t="shared" si="266"/>
        <v>0.83256898257912659</v>
      </c>
      <c r="AA189" s="551">
        <f t="shared" si="267"/>
        <v>0.8770756374920009</v>
      </c>
      <c r="AB189" s="551">
        <f t="shared" si="268"/>
        <v>0.99972197823146658</v>
      </c>
      <c r="AC189" s="551">
        <f t="shared" si="269"/>
        <v>0.87130855403691143</v>
      </c>
      <c r="AD189" s="551">
        <f t="shared" si="270"/>
        <v>0.93310310205878966</v>
      </c>
      <c r="AE189" s="61"/>
      <c r="AF189" s="61">
        <f t="shared" si="271"/>
        <v>6.3058688014490799E-2</v>
      </c>
      <c r="AG189" s="61"/>
      <c r="AH189" s="61"/>
      <c r="AI189" s="61">
        <f t="shared" ref="AI189:AI231" si="276">AJ4-AH4</f>
        <v>0.36599928802713944</v>
      </c>
      <c r="AJ189" s="61"/>
      <c r="AK189" s="536">
        <f t="shared" ref="AK189:AK231" si="277">LN(M4/O4)</f>
        <v>-0.12201876868397027</v>
      </c>
      <c r="AL189" s="552">
        <f t="shared" ref="AL189:AL231" si="278">W189-Y189</f>
        <v>0.47846197754709968</v>
      </c>
      <c r="AM189" s="443">
        <f t="shared" ref="AM189:AV189" si="279">AM4</f>
        <v>132434.836148545</v>
      </c>
      <c r="AN189" s="443">
        <f t="shared" si="279"/>
        <v>97065.3126754314</v>
      </c>
      <c r="AO189" s="443">
        <f t="shared" si="279"/>
        <v>63282.631777524897</v>
      </c>
      <c r="AP189" s="443">
        <f t="shared" si="279"/>
        <v>199103.50843535399</v>
      </c>
      <c r="AQ189" s="443">
        <f t="shared" si="279"/>
        <v>237529.76747158199</v>
      </c>
      <c r="AR189" s="443">
        <f t="shared" si="279"/>
        <v>8047.86848848313</v>
      </c>
      <c r="AS189" s="443">
        <f t="shared" si="279"/>
        <v>7355.5684038251602</v>
      </c>
      <c r="AT189" s="443">
        <f t="shared" si="279"/>
        <v>0</v>
      </c>
      <c r="AU189" s="443">
        <f t="shared" si="279"/>
        <v>7.9407809823751396</v>
      </c>
      <c r="AV189" s="443">
        <f t="shared" si="279"/>
        <v>59.374999433755903</v>
      </c>
      <c r="AW189" s="553">
        <f t="shared" ref="AW189:BB189" si="280">AW4</f>
        <v>169.67313019390497</v>
      </c>
      <c r="AX189" s="553">
        <f t="shared" si="280"/>
        <v>2660.8983050847464</v>
      </c>
      <c r="AY189" s="553" t="e">
        <f t="shared" si="280"/>
        <v>#DIV/0!</v>
      </c>
      <c r="AZ189" s="538">
        <f t="shared" si="280"/>
        <v>49.880454729622144</v>
      </c>
      <c r="BA189" s="538">
        <f t="shared" si="280"/>
        <v>893.00138874504432</v>
      </c>
      <c r="BB189" s="538" t="e">
        <f t="shared" si="280"/>
        <v>#DIV/0!</v>
      </c>
    </row>
    <row r="190" spans="1:54" ht="15" customHeight="1">
      <c r="A190" s="449">
        <v>2014</v>
      </c>
      <c r="B190" s="449"/>
      <c r="C190" s="449"/>
      <c r="D190" s="441"/>
      <c r="E190" s="441"/>
      <c r="F190" s="441"/>
      <c r="G190" s="441"/>
      <c r="H190" s="441"/>
      <c r="I190" s="441"/>
      <c r="J190" s="437" t="s">
        <v>139</v>
      </c>
      <c r="K190" s="543">
        <f t="shared" si="256"/>
        <v>11.785677827687724</v>
      </c>
      <c r="L190" s="543">
        <f t="shared" si="256"/>
        <v>11.37466430434074</v>
      </c>
      <c r="M190" s="543">
        <f t="shared" si="256"/>
        <v>11.390625692454474</v>
      </c>
      <c r="N190" s="543">
        <f t="shared" si="256"/>
        <v>11.083042903584237</v>
      </c>
      <c r="O190" s="543">
        <f t="shared" si="256"/>
        <v>10.016346193045091</v>
      </c>
      <c r="P190" s="550">
        <f t="shared" si="257"/>
        <v>-0.14275183249957119</v>
      </c>
      <c r="Q190" s="550">
        <f t="shared" si="258"/>
        <v>-0.29619910189412119</v>
      </c>
      <c r="R190" s="550">
        <f t="shared" si="259"/>
        <v>-0.64525989568768916</v>
      </c>
      <c r="S190" s="550">
        <f t="shared" si="260"/>
        <v>-1.444573166316705</v>
      </c>
      <c r="T190" s="550">
        <f t="shared" si="261"/>
        <v>-4.5246459214856429</v>
      </c>
      <c r="U190" s="551">
        <f t="shared" si="275"/>
        <v>5.3165303385835437E-2</v>
      </c>
      <c r="V190" s="551">
        <f t="shared" si="262"/>
        <v>4.3251357904275756E-2</v>
      </c>
      <c r="W190" s="551">
        <f t="shared" si="263"/>
        <v>0.73697376435880435</v>
      </c>
      <c r="X190" s="551">
        <f t="shared" si="264"/>
        <v>0.64489144353500361</v>
      </c>
      <c r="Y190" s="551">
        <f t="shared" si="265"/>
        <v>0.72604293115341689</v>
      </c>
      <c r="Z190" s="551">
        <f t="shared" si="266"/>
        <v>0.28568367045814008</v>
      </c>
      <c r="AA190" s="551">
        <f t="shared" si="267"/>
        <v>0.1922788868745226</v>
      </c>
      <c r="AB190" s="551">
        <f t="shared" si="268"/>
        <v>0.18702811556186141</v>
      </c>
      <c r="AC190" s="551">
        <f t="shared" si="269"/>
        <v>0.10705381160159158</v>
      </c>
      <c r="AD190" s="551">
        <f t="shared" si="270"/>
        <v>3.3275628330239518E-2</v>
      </c>
      <c r="AE190" s="61"/>
      <c r="AF190" s="61">
        <f t="shared" si="271"/>
        <v>2.9878693671178569E-2</v>
      </c>
      <c r="AG190" s="61"/>
      <c r="AH190" s="61"/>
      <c r="AI190" s="61">
        <f t="shared" si="276"/>
        <v>9.0756581016726234E-2</v>
      </c>
      <c r="AJ190" s="61"/>
      <c r="AK190" s="536">
        <f t="shared" si="277"/>
        <v>1.3742794994093828</v>
      </c>
      <c r="AL190" s="552">
        <f t="shared" si="278"/>
        <v>1.0930833205387458E-2</v>
      </c>
      <c r="AM190" s="443">
        <f t="shared" ref="AM190:AV190" si="281">AM5</f>
        <v>435355.05672495801</v>
      </c>
      <c r="AN190" s="443">
        <f t="shared" si="281"/>
        <v>433331.43606136699</v>
      </c>
      <c r="AO190" s="443">
        <f t="shared" si="281"/>
        <v>124445.172802538</v>
      </c>
      <c r="AP190" s="443">
        <f t="shared" si="281"/>
        <v>215805.931810468</v>
      </c>
      <c r="AQ190" s="443">
        <f t="shared" si="281"/>
        <v>184331.74166312799</v>
      </c>
      <c r="AR190" s="443">
        <f t="shared" si="281"/>
        <v>392.93544630706299</v>
      </c>
      <c r="AS190" s="443">
        <f t="shared" si="281"/>
        <v>339.79118137061602</v>
      </c>
      <c r="AT190" s="443">
        <f t="shared" si="281"/>
        <v>331215.54216979403</v>
      </c>
      <c r="AU190" s="443">
        <f t="shared" si="281"/>
        <v>337466.23347291397</v>
      </c>
      <c r="AV190" s="443">
        <f t="shared" si="281"/>
        <v>469905.75209757697</v>
      </c>
      <c r="AW190" s="553">
        <f t="shared" ref="AW190:BB190" si="282">AW5</f>
        <v>-0.21558459195520321</v>
      </c>
      <c r="AX190" s="553">
        <f t="shared" si="282"/>
        <v>-0.2784925583498909</v>
      </c>
      <c r="AY190" s="553">
        <f t="shared" si="282"/>
        <v>-0.17238911874500762</v>
      </c>
      <c r="AZ190" s="538">
        <f t="shared" si="282"/>
        <v>-0.30708410506395967</v>
      </c>
      <c r="BA190" s="538">
        <f t="shared" si="282"/>
        <v>-0.33424453155960038</v>
      </c>
      <c r="BB190" s="538">
        <f t="shared" si="282"/>
        <v>-0.24772800011411714</v>
      </c>
    </row>
    <row r="191" spans="1:54" ht="15" customHeight="1">
      <c r="A191" s="449">
        <v>2014</v>
      </c>
      <c r="B191" s="449"/>
      <c r="C191" s="449"/>
      <c r="D191" s="441"/>
      <c r="E191" s="441"/>
      <c r="F191" s="441"/>
      <c r="G191" s="441"/>
      <c r="H191" s="441"/>
      <c r="I191" s="441"/>
      <c r="J191" s="437" t="s">
        <v>140</v>
      </c>
      <c r="K191" s="543">
        <f t="shared" si="256"/>
        <v>11.514750842553171</v>
      </c>
      <c r="L191" s="543">
        <f t="shared" si="256"/>
        <v>11.557064452301486</v>
      </c>
      <c r="M191" s="543">
        <f t="shared" si="256"/>
        <v>11.48682150257526</v>
      </c>
      <c r="N191" s="543">
        <f t="shared" si="256"/>
        <v>11.506985968417496</v>
      </c>
      <c r="O191" s="543">
        <f t="shared" si="256"/>
        <v>11.748881314316968</v>
      </c>
      <c r="P191" s="550">
        <f t="shared" si="257"/>
        <v>1.7106382978723405</v>
      </c>
      <c r="Q191" s="550">
        <f t="shared" si="258"/>
        <v>1.0849150849150888</v>
      </c>
      <c r="R191" s="550">
        <f t="shared" si="259"/>
        <v>0.77944774554351604</v>
      </c>
      <c r="S191" s="550">
        <f t="shared" si="260"/>
        <v>0.1756024911995665</v>
      </c>
      <c r="T191" s="550">
        <f t="shared" si="261"/>
        <v>-0.37360353338529334</v>
      </c>
      <c r="U191" s="551">
        <f t="shared" si="275"/>
        <v>0.50855792812110756</v>
      </c>
      <c r="V191" s="551">
        <f t="shared" si="262"/>
        <v>0.54721865579993312</v>
      </c>
      <c r="W191" s="551">
        <f t="shared" si="263"/>
        <v>0.65080535493034208</v>
      </c>
      <c r="X191" s="551">
        <f t="shared" si="264"/>
        <v>0.67061621702395147</v>
      </c>
      <c r="Y191" s="551">
        <f t="shared" si="265"/>
        <v>0.66388196590569104</v>
      </c>
      <c r="Z191" s="551">
        <f t="shared" si="266"/>
        <v>5.2804920327165869E-2</v>
      </c>
      <c r="AA191" s="551">
        <f t="shared" si="267"/>
        <v>6.2862844702467155E-2</v>
      </c>
      <c r="AB191" s="551">
        <f t="shared" si="268"/>
        <v>5.187513221117511E-2</v>
      </c>
      <c r="AC191" s="551">
        <f t="shared" si="269"/>
        <v>4.5987460229501391E-2</v>
      </c>
      <c r="AD191" s="551">
        <f t="shared" si="270"/>
        <v>5.1161399661050884E-2</v>
      </c>
      <c r="AE191" s="61"/>
      <c r="AF191" s="61">
        <f t="shared" si="271"/>
        <v>5.9548034538078026E-2</v>
      </c>
      <c r="AG191" s="61"/>
      <c r="AH191" s="61"/>
      <c r="AI191" s="61">
        <f t="shared" si="276"/>
        <v>0.17265918931639579</v>
      </c>
      <c r="AJ191" s="61"/>
      <c r="AK191" s="536">
        <f t="shared" si="277"/>
        <v>-0.26205981174170728</v>
      </c>
      <c r="AL191" s="552">
        <f t="shared" si="278"/>
        <v>-1.3076610975348957E-2</v>
      </c>
      <c r="AM191" s="443">
        <f t="shared" ref="AM191:AV191" si="283">AM6</f>
        <v>932375.15635192394</v>
      </c>
      <c r="AN191" s="443">
        <f t="shared" si="283"/>
        <v>752772.61754721403</v>
      </c>
      <c r="AO191" s="443">
        <f t="shared" si="283"/>
        <v>655800.21049976302</v>
      </c>
      <c r="AP191" s="443">
        <f t="shared" si="283"/>
        <v>712005.41615188099</v>
      </c>
      <c r="AQ191" s="443">
        <f t="shared" si="283"/>
        <v>831809.20259356499</v>
      </c>
      <c r="AR191" s="443">
        <f t="shared" si="283"/>
        <v>945481.124740839</v>
      </c>
      <c r="AS191" s="443">
        <f t="shared" si="283"/>
        <v>884466.35230034601</v>
      </c>
      <c r="AT191" s="443">
        <f t="shared" si="283"/>
        <v>634982.95790255105</v>
      </c>
      <c r="AU191" s="443">
        <f t="shared" si="283"/>
        <v>1415047.1710592499</v>
      </c>
      <c r="AV191" s="443">
        <f t="shared" si="283"/>
        <v>1592088.8006061299</v>
      </c>
      <c r="AW191" s="553">
        <f t="shared" ref="AW191:BB191" si="284">AW6</f>
        <v>-2.9711050733995204E-2</v>
      </c>
      <c r="AX191" s="553">
        <f t="shared" si="284"/>
        <v>1.2336167703399327E-2</v>
      </c>
      <c r="AY191" s="553">
        <f t="shared" si="284"/>
        <v>0.11958814486432365</v>
      </c>
      <c r="AZ191" s="538">
        <f t="shared" si="284"/>
        <v>-3.8838710456714283E-2</v>
      </c>
      <c r="BA191" s="538">
        <f t="shared" si="284"/>
        <v>1.6348346698068162E-2</v>
      </c>
      <c r="BB191" s="538">
        <f t="shared" si="284"/>
        <v>0.1182625599156599</v>
      </c>
    </row>
    <row r="192" spans="1:54" ht="15" customHeight="1">
      <c r="A192" s="680">
        <v>2014</v>
      </c>
      <c r="B192" s="680"/>
      <c r="C192" s="680"/>
      <c r="D192" s="760"/>
      <c r="E192" s="760"/>
      <c r="F192" s="760"/>
      <c r="G192" s="760"/>
      <c r="H192" s="760"/>
      <c r="I192" s="760"/>
      <c r="J192" s="770" t="s">
        <v>141</v>
      </c>
      <c r="K192" s="748">
        <f t="shared" si="256"/>
        <v>10.341145083410417</v>
      </c>
      <c r="L192" s="748">
        <f t="shared" si="256"/>
        <v>10.113341322881796</v>
      </c>
      <c r="M192" s="748">
        <f t="shared" si="256"/>
        <v>10.299983283752344</v>
      </c>
      <c r="N192" s="748">
        <f t="shared" si="256"/>
        <v>10.428319652244943</v>
      </c>
      <c r="O192" s="748">
        <f t="shared" si="256"/>
        <v>10.501496815099657</v>
      </c>
      <c r="P192" s="747">
        <f t="shared" si="257"/>
        <v>0.14682455436825259</v>
      </c>
      <c r="Q192" s="747">
        <f t="shared" si="258"/>
        <v>3.5273094919000318E-2</v>
      </c>
      <c r="R192" s="747">
        <f t="shared" si="259"/>
        <v>2.8853936015881508E-2</v>
      </c>
      <c r="S192" s="747">
        <f t="shared" si="260"/>
        <v>1.7474916387959841E-2</v>
      </c>
      <c r="T192" s="747">
        <f t="shared" si="261"/>
        <v>8.1328093556249814E-2</v>
      </c>
      <c r="U192" s="747">
        <f t="shared" si="275"/>
        <v>0.54494183430811749</v>
      </c>
      <c r="V192" s="747">
        <f t="shared" si="262"/>
        <v>0.9313953625722019</v>
      </c>
      <c r="W192" s="747">
        <f t="shared" si="263"/>
        <v>0.89727892059866254</v>
      </c>
      <c r="X192" s="747">
        <f t="shared" si="264"/>
        <v>0.88789576286204908</v>
      </c>
      <c r="Y192" s="747">
        <f t="shared" si="265"/>
        <v>0.88376482796872924</v>
      </c>
      <c r="Z192" s="747">
        <f t="shared" si="266"/>
        <v>2.0434957259463999</v>
      </c>
      <c r="AA192" s="747">
        <f t="shared" si="267"/>
        <v>1.2559503419600946</v>
      </c>
      <c r="AB192" s="747">
        <f t="shared" si="268"/>
        <v>1.7392863308588211</v>
      </c>
      <c r="AC192" s="747">
        <f t="shared" si="269"/>
        <v>1.9352601690540214</v>
      </c>
      <c r="AD192" s="747">
        <f t="shared" si="270"/>
        <v>1.9782165286003184</v>
      </c>
      <c r="AE192" s="766"/>
      <c r="AF192" s="766">
        <f t="shared" si="271"/>
        <v>-0.1106993224086287</v>
      </c>
      <c r="AG192" s="766"/>
      <c r="AH192" s="766"/>
      <c r="AI192" s="766">
        <f t="shared" si="276"/>
        <v>-0.89553983271607696</v>
      </c>
      <c r="AJ192" s="766"/>
      <c r="AK192" s="751">
        <f t="shared" si="277"/>
        <v>-0.20151353134731323</v>
      </c>
      <c r="AL192" s="747">
        <f t="shared" si="278"/>
        <v>1.3514092629933305E-2</v>
      </c>
      <c r="AM192" s="756">
        <f t="shared" ref="AM192:AV192" si="285">AM7</f>
        <v>6899.1474115699502</v>
      </c>
      <c r="AN192" s="756">
        <f t="shared" si="285"/>
        <v>1347.56379747391</v>
      </c>
      <c r="AO192" s="756">
        <f t="shared" si="285"/>
        <v>1755.8455857485501</v>
      </c>
      <c r="AP192" s="756">
        <f t="shared" si="285"/>
        <v>1958.14275445044</v>
      </c>
      <c r="AQ192" s="756">
        <f t="shared" si="285"/>
        <v>2137.0065585672901</v>
      </c>
      <c r="AR192" s="756">
        <f t="shared" si="285"/>
        <v>2187.3325309306401</v>
      </c>
      <c r="AS192" s="756">
        <f t="shared" si="285"/>
        <v>0</v>
      </c>
      <c r="AT192" s="756">
        <f t="shared" si="285"/>
        <v>0</v>
      </c>
      <c r="AU192" s="756">
        <f t="shared" si="285"/>
        <v>0</v>
      </c>
      <c r="AV192" s="756">
        <f t="shared" si="285"/>
        <v>0</v>
      </c>
      <c r="AW192" s="743" t="e">
        <f t="shared" ref="AW192:BB192" si="286">AW7</f>
        <v>#DIV/0!</v>
      </c>
      <c r="AX192" s="743" t="e">
        <f t="shared" si="286"/>
        <v>#DIV/0!</v>
      </c>
      <c r="AY192" s="743" t="e">
        <f t="shared" si="286"/>
        <v>#DIV/0!</v>
      </c>
      <c r="AZ192" s="766" t="e">
        <f t="shared" si="286"/>
        <v>#DIV/0!</v>
      </c>
      <c r="BA192" s="766" t="e">
        <f t="shared" si="286"/>
        <v>#DIV/0!</v>
      </c>
      <c r="BB192" s="766" t="e">
        <f t="shared" si="286"/>
        <v>#DIV/0!</v>
      </c>
    </row>
    <row r="193" spans="1:54" ht="15" customHeight="1">
      <c r="A193" s="449">
        <v>2014</v>
      </c>
      <c r="B193" s="449"/>
      <c r="C193" s="449"/>
      <c r="D193" s="441"/>
      <c r="E193" s="441"/>
      <c r="F193" s="441"/>
      <c r="G193" s="441"/>
      <c r="H193" s="441"/>
      <c r="I193" s="441"/>
      <c r="J193" s="437" t="s">
        <v>142</v>
      </c>
      <c r="K193" s="543">
        <f t="shared" si="256"/>
        <v>13.047432913250624</v>
      </c>
      <c r="L193" s="543">
        <f t="shared" si="256"/>
        <v>12.459970400813351</v>
      </c>
      <c r="M193" s="543">
        <f t="shared" si="256"/>
        <v>12.156031198833182</v>
      </c>
      <c r="N193" s="543">
        <f t="shared" si="256"/>
        <v>11.479523788336198</v>
      </c>
      <c r="O193" s="543">
        <f t="shared" si="256"/>
        <v>10.533322126884308</v>
      </c>
      <c r="P193" s="550">
        <f t="shared" si="257"/>
        <v>-5.0613920121404428E-3</v>
      </c>
      <c r="Q193" s="550">
        <f t="shared" si="258"/>
        <v>-0.49537252529013842</v>
      </c>
      <c r="R193" s="550">
        <f t="shared" si="259"/>
        <v>-1.1608564009293623</v>
      </c>
      <c r="S193" s="550">
        <f t="shared" si="260"/>
        <v>0.16538282582846509</v>
      </c>
      <c r="T193" s="550">
        <f t="shared" si="261"/>
        <v>-0.10395248495179246</v>
      </c>
      <c r="U193" s="551">
        <f t="shared" si="275"/>
        <v>0.47943595564967678</v>
      </c>
      <c r="V193" s="551">
        <f t="shared" si="262"/>
        <v>0.47547978657050682</v>
      </c>
      <c r="W193" s="551">
        <f t="shared" si="263"/>
        <v>0.46818444489222077</v>
      </c>
      <c r="X193" s="551">
        <f t="shared" si="264"/>
        <v>0.29971886532461156</v>
      </c>
      <c r="Y193" s="551">
        <f t="shared" si="265"/>
        <v>0.24988410620263604</v>
      </c>
      <c r="Z193" s="551">
        <f t="shared" si="266"/>
        <v>0.1616357578836386</v>
      </c>
      <c r="AA193" s="551">
        <f t="shared" si="267"/>
        <v>0.10916560348539966</v>
      </c>
      <c r="AB193" s="551">
        <f t="shared" si="268"/>
        <v>8.7318530092024157E-2</v>
      </c>
      <c r="AC193" s="551">
        <f t="shared" si="269"/>
        <v>7.6591380648431184E-2</v>
      </c>
      <c r="AD193" s="551">
        <f t="shared" si="270"/>
        <v>9.1607337175314371E-2</v>
      </c>
      <c r="AE193" s="61"/>
      <c r="AF193" s="61">
        <f t="shared" si="271"/>
        <v>-9.1841464237878728E-2</v>
      </c>
      <c r="AG193" s="61"/>
      <c r="AH193" s="61"/>
      <c r="AI193" s="61">
        <f t="shared" si="276"/>
        <v>-0.17790531331668968</v>
      </c>
      <c r="AJ193" s="61"/>
      <c r="AK193" s="536">
        <f t="shared" si="277"/>
        <v>1.6227090719488741</v>
      </c>
      <c r="AL193" s="552">
        <f t="shared" si="278"/>
        <v>0.21830033868958473</v>
      </c>
      <c r="AM193" s="443">
        <f t="shared" ref="AM193:AV193" si="287">AM8</f>
        <v>1494049</v>
      </c>
      <c r="AN193" s="443">
        <f t="shared" si="287"/>
        <v>1238719</v>
      </c>
      <c r="AO193" s="443">
        <f t="shared" si="287"/>
        <v>1158649</v>
      </c>
      <c r="AP193" s="443">
        <f t="shared" si="287"/>
        <v>884273</v>
      </c>
      <c r="AQ193" s="443">
        <f t="shared" si="287"/>
        <v>307441</v>
      </c>
      <c r="AR193" s="443">
        <f t="shared" si="287"/>
        <v>1194282</v>
      </c>
      <c r="AS193" s="443">
        <f t="shared" si="287"/>
        <v>1079303</v>
      </c>
      <c r="AT193" s="443">
        <f t="shared" si="287"/>
        <v>939984</v>
      </c>
      <c r="AU193" s="443">
        <f t="shared" si="287"/>
        <v>343688</v>
      </c>
      <c r="AV193" s="443">
        <f t="shared" si="287"/>
        <v>95000</v>
      </c>
      <c r="AW193" s="553">
        <f t="shared" ref="AW193:BB193" si="288">AW8</f>
        <v>-4.1084210526315793E-2</v>
      </c>
      <c r="AX193" s="553">
        <f t="shared" si="288"/>
        <v>4.6539303088848023E-2</v>
      </c>
      <c r="AY193" s="553">
        <f t="shared" si="288"/>
        <v>-0.23493910534647397</v>
      </c>
      <c r="AZ193" s="538">
        <f t="shared" si="288"/>
        <v>-1.9789101565600001E-2</v>
      </c>
      <c r="BA193" s="538">
        <f t="shared" si="288"/>
        <v>2.6615606080528886E-2</v>
      </c>
      <c r="BB193" s="538">
        <f t="shared" si="288"/>
        <v>-0.21135910919718326</v>
      </c>
    </row>
    <row r="194" spans="1:54" ht="15" customHeight="1">
      <c r="A194" s="449">
        <v>2014</v>
      </c>
      <c r="B194" s="449"/>
      <c r="C194" s="449"/>
      <c r="D194" s="441"/>
      <c r="E194" s="441"/>
      <c r="F194" s="441"/>
      <c r="G194" s="441"/>
      <c r="H194" s="441"/>
      <c r="I194" s="441"/>
      <c r="J194" s="437" t="s">
        <v>143</v>
      </c>
      <c r="K194" s="543">
        <f t="shared" si="256"/>
        <v>9.0069606419235377</v>
      </c>
      <c r="L194" s="543">
        <f t="shared" si="256"/>
        <v>8.6761582439200051</v>
      </c>
      <c r="M194" s="543">
        <f t="shared" si="256"/>
        <v>8.8394247075453212</v>
      </c>
      <c r="N194" s="543">
        <f t="shared" si="256"/>
        <v>8.4333726530773259</v>
      </c>
      <c r="O194" s="543">
        <f t="shared" si="256"/>
        <v>8.1896937270746939</v>
      </c>
      <c r="P194" s="550">
        <f t="shared" si="257"/>
        <v>-0.25927363377170071</v>
      </c>
      <c r="Q194" s="550">
        <f t="shared" si="258"/>
        <v>-0.62268930847484394</v>
      </c>
      <c r="R194" s="550">
        <f t="shared" si="259"/>
        <v>-0.31177012401723797</v>
      </c>
      <c r="S194" s="550">
        <f t="shared" si="260"/>
        <v>-6.0711003132043446</v>
      </c>
      <c r="T194" s="550">
        <f t="shared" si="261"/>
        <v>-2.926654495664085</v>
      </c>
      <c r="U194" s="551">
        <f t="shared" si="275"/>
        <v>0.73287158146470299</v>
      </c>
      <c r="V194" s="551">
        <f t="shared" si="262"/>
        <v>1.0154237045519607</v>
      </c>
      <c r="W194" s="551">
        <f t="shared" si="263"/>
        <v>0.95841274023874867</v>
      </c>
      <c r="X194" s="551">
        <f t="shared" si="264"/>
        <v>0.90571808874342474</v>
      </c>
      <c r="Y194" s="551">
        <f t="shared" si="265"/>
        <v>0.53571742541996603</v>
      </c>
      <c r="Z194" s="551">
        <f t="shared" si="266"/>
        <v>0.15830716188018554</v>
      </c>
      <c r="AA194" s="551">
        <f t="shared" si="267"/>
        <v>8.6100772974520498E-2</v>
      </c>
      <c r="AB194" s="551">
        <f t="shared" si="268"/>
        <v>0.11282058895027004</v>
      </c>
      <c r="AC194" s="551">
        <f t="shared" si="269"/>
        <v>7.786474240338416E-2</v>
      </c>
      <c r="AD194" s="551">
        <f t="shared" si="270"/>
        <v>4.0981843416063909E-2</v>
      </c>
      <c r="AE194" s="61"/>
      <c r="AF194" s="61">
        <f t="shared" si="271"/>
        <v>8.4765607265501502E-2</v>
      </c>
      <c r="AG194" s="61"/>
      <c r="AH194" s="61"/>
      <c r="AI194" s="61">
        <f t="shared" si="276"/>
        <v>-0.58745661335388388</v>
      </c>
      <c r="AJ194" s="61"/>
      <c r="AK194" s="536">
        <f t="shared" si="277"/>
        <v>0.64973098047062794</v>
      </c>
      <c r="AL194" s="552">
        <f t="shared" si="278"/>
        <v>0.42269531481878264</v>
      </c>
      <c r="AM194" s="443">
        <f t="shared" ref="AM194:AV194" si="289">AM9</f>
        <v>26161.388665549501</v>
      </c>
      <c r="AN194" s="443">
        <f t="shared" si="289"/>
        <v>-1049.9999940544399</v>
      </c>
      <c r="AO194" s="443">
        <f t="shared" si="289"/>
        <v>2543.81378383934</v>
      </c>
      <c r="AP194" s="443">
        <f t="shared" si="289"/>
        <v>5567.4295952022103</v>
      </c>
      <c r="AQ194" s="443">
        <f t="shared" si="289"/>
        <v>40825.328558027701</v>
      </c>
      <c r="AR194" s="443">
        <f t="shared" si="289"/>
        <v>15503.6541485414</v>
      </c>
      <c r="AS194" s="443">
        <f t="shared" si="289"/>
        <v>43256.960311904499</v>
      </c>
      <c r="AT194" s="443">
        <f t="shared" si="289"/>
        <v>41414.414394065701</v>
      </c>
      <c r="AU194" s="443">
        <f t="shared" si="289"/>
        <v>43171.065231993802</v>
      </c>
      <c r="AV194" s="443">
        <f t="shared" si="289"/>
        <v>6685.6907257139701</v>
      </c>
      <c r="AW194" s="553">
        <f t="shared" ref="AW194:BB194" si="290">AW9</f>
        <v>-1.5774803808211793</v>
      </c>
      <c r="AX194" s="553">
        <f t="shared" si="290"/>
        <v>-0.64660915759708926</v>
      </c>
      <c r="AY194" s="553">
        <f t="shared" si="290"/>
        <v>-5.1951291039601527E-2</v>
      </c>
      <c r="AZ194" s="538">
        <f t="shared" si="290"/>
        <v>-0.96502342453825518</v>
      </c>
      <c r="BA194" s="538">
        <f t="shared" si="290"/>
        <v>-1.0583702723755926</v>
      </c>
      <c r="BB194" s="538">
        <f t="shared" si="290"/>
        <v>-8.496486821292884E-2</v>
      </c>
    </row>
    <row r="195" spans="1:54" ht="15" customHeight="1">
      <c r="A195" s="449">
        <v>2013</v>
      </c>
      <c r="B195" s="449"/>
      <c r="C195" s="449"/>
      <c r="D195" s="441"/>
      <c r="E195" s="441"/>
      <c r="F195" s="441"/>
      <c r="G195" s="441"/>
      <c r="H195" s="441"/>
      <c r="I195" s="441"/>
      <c r="J195" s="437" t="s">
        <v>144</v>
      </c>
      <c r="K195" s="543">
        <f t="shared" si="256"/>
        <v>8.7973353031239547</v>
      </c>
      <c r="L195" s="543">
        <f t="shared" si="256"/>
        <v>8.4099643405995543</v>
      </c>
      <c r="M195" s="543">
        <f t="shared" si="256"/>
        <v>8.3771418854834678</v>
      </c>
      <c r="N195" s="543">
        <f t="shared" si="256"/>
        <v>7.6929927386006396</v>
      </c>
      <c r="O195" s="543">
        <f t="shared" si="256"/>
        <v>7.7817267844419549</v>
      </c>
      <c r="P195" s="550">
        <f t="shared" si="257"/>
        <v>4.6453230472516829</v>
      </c>
      <c r="Q195" s="550">
        <f t="shared" si="258"/>
        <v>8.023350433398198</v>
      </c>
      <c r="R195" s="550">
        <f t="shared" si="259"/>
        <v>0.2039324972906025</v>
      </c>
      <c r="S195" s="550">
        <f t="shared" si="260"/>
        <v>-2.0705767644191124</v>
      </c>
      <c r="T195" s="550">
        <f t="shared" si="261"/>
        <v>2.4094246329038063</v>
      </c>
      <c r="U195" s="551">
        <f t="shared" si="275"/>
        <v>0.53321814019711911</v>
      </c>
      <c r="V195" s="551">
        <f t="shared" si="262"/>
        <v>0.680957382651873</v>
      </c>
      <c r="W195" s="551">
        <f t="shared" si="263"/>
        <v>0.61629602335984091</v>
      </c>
      <c r="X195" s="551">
        <f t="shared" si="264"/>
        <v>0.49369240851295171</v>
      </c>
      <c r="Y195" s="551">
        <f t="shared" si="265"/>
        <v>0.57959716758457624</v>
      </c>
      <c r="Z195" s="551">
        <f t="shared" si="266"/>
        <v>5.3531020022394293E-2</v>
      </c>
      <c r="AA195" s="551">
        <f t="shared" si="267"/>
        <v>2.7398597631607978E-2</v>
      </c>
      <c r="AB195" s="551">
        <f t="shared" si="268"/>
        <v>3.1988042741849278E-2</v>
      </c>
      <c r="AC195" s="551">
        <f t="shared" si="269"/>
        <v>1.3319467421100186E-2</v>
      </c>
      <c r="AD195" s="551">
        <f t="shared" si="270"/>
        <v>1.0501966955153399E-2</v>
      </c>
      <c r="AE195" s="61"/>
      <c r="AF195" s="61">
        <f t="shared" si="271"/>
        <v>-1.878029643590453E-2</v>
      </c>
      <c r="AG195" s="61"/>
      <c r="AH195" s="61"/>
      <c r="AI195" s="61">
        <f t="shared" si="276"/>
        <v>-4.3188084009190053E-2</v>
      </c>
      <c r="AJ195" s="61"/>
      <c r="AK195" s="536">
        <f t="shared" si="277"/>
        <v>0.59541510104151318</v>
      </c>
      <c r="AL195" s="552">
        <f t="shared" si="278"/>
        <v>3.669885577526466E-2</v>
      </c>
      <c r="AM195" s="443">
        <f t="shared" ref="AM195:AV195" si="291">AM10</f>
        <v>57695.591320633903</v>
      </c>
      <c r="AN195" s="443">
        <f t="shared" si="291"/>
        <v>52302.268830433502</v>
      </c>
      <c r="AO195" s="443">
        <f t="shared" si="291"/>
        <v>52138.225803718</v>
      </c>
      <c r="AP195" s="443">
        <f t="shared" si="291"/>
        <v>83358.880783975095</v>
      </c>
      <c r="AQ195" s="443">
        <f t="shared" si="291"/>
        <v>95930.340970158606</v>
      </c>
      <c r="AR195" s="443">
        <f t="shared" si="291"/>
        <v>538.28305959701504</v>
      </c>
      <c r="AS195" s="443">
        <f t="shared" si="291"/>
        <v>1053.2349337488399</v>
      </c>
      <c r="AT195" s="443">
        <f t="shared" si="291"/>
        <v>3230.0136067122198</v>
      </c>
      <c r="AU195" s="443">
        <f t="shared" si="291"/>
        <v>3207.23681151867</v>
      </c>
      <c r="AV195" s="443">
        <f t="shared" si="291"/>
        <v>131.238778978586</v>
      </c>
      <c r="AW195" s="553">
        <f t="shared" ref="AW195:BB195" si="292">AW10</f>
        <v>43.995896032831787</v>
      </c>
      <c r="AX195" s="553">
        <f t="shared" si="292"/>
        <v>-1.4157435897435908</v>
      </c>
      <c r="AY195" s="553">
        <f t="shared" si="292"/>
        <v>0.27442810117088245</v>
      </c>
      <c r="AZ195" s="538">
        <f t="shared" si="292"/>
        <v>25.525200423850574</v>
      </c>
      <c r="BA195" s="538">
        <f t="shared" si="292"/>
        <v>-0.72652084241385173</v>
      </c>
      <c r="BB195" s="538">
        <f t="shared" si="292"/>
        <v>0.17565217490695273</v>
      </c>
    </row>
    <row r="196" spans="1:54" ht="15" customHeight="1">
      <c r="A196" s="449">
        <v>2012</v>
      </c>
      <c r="B196" s="449"/>
      <c r="C196" s="449"/>
      <c r="D196" s="441"/>
      <c r="E196" s="441"/>
      <c r="F196" s="441"/>
      <c r="G196" s="441"/>
      <c r="H196" s="441"/>
      <c r="I196" s="441"/>
      <c r="J196" s="438" t="s">
        <v>145</v>
      </c>
      <c r="K196" s="543">
        <f t="shared" si="256"/>
        <v>8.3497208391297661</v>
      </c>
      <c r="L196" s="543">
        <f t="shared" si="256"/>
        <v>7.5878171975588824</v>
      </c>
      <c r="M196" s="543">
        <f t="shared" si="256"/>
        <v>7.4097419445441801</v>
      </c>
      <c r="N196" s="543">
        <f t="shared" si="256"/>
        <v>6.7440591848212303</v>
      </c>
      <c r="O196" s="543">
        <f t="shared" si="256"/>
        <v>4.7621739224297901</v>
      </c>
      <c r="P196" s="550">
        <f t="shared" si="257"/>
        <v>1.3208796319644818</v>
      </c>
      <c r="Q196" s="550">
        <f t="shared" si="258"/>
        <v>-0.45238098322478787</v>
      </c>
      <c r="R196" s="550">
        <f t="shared" si="259"/>
        <v>-0.91828087167070183</v>
      </c>
      <c r="S196" s="550">
        <f t="shared" si="260"/>
        <v>3.4216725559481729</v>
      </c>
      <c r="T196" s="550">
        <f t="shared" si="261"/>
        <v>-22.863247863247938</v>
      </c>
      <c r="U196" s="551">
        <f t="shared" si="275"/>
        <v>0.29595583689759636</v>
      </c>
      <c r="V196" s="551">
        <f t="shared" si="262"/>
        <v>0.1304646768965502</v>
      </c>
      <c r="W196" s="551">
        <f t="shared" si="263"/>
        <v>0.14010451309490762</v>
      </c>
      <c r="X196" s="551">
        <f t="shared" si="264"/>
        <v>0.47131248322061492</v>
      </c>
      <c r="Y196" s="551">
        <f t="shared" si="265"/>
        <v>0.51209227114564171</v>
      </c>
      <c r="Z196" s="551">
        <f t="shared" si="266"/>
        <v>5.1763813162464624E-2</v>
      </c>
      <c r="AA196" s="551">
        <f t="shared" si="267"/>
        <v>1.0282160167109053E-2</v>
      </c>
      <c r="AB196" s="551">
        <f t="shared" si="268"/>
        <v>8.4635482590688857E-3</v>
      </c>
      <c r="AC196" s="551">
        <f t="shared" si="269"/>
        <v>1.3937453788028622E-2</v>
      </c>
      <c r="AD196" s="551">
        <f t="shared" si="270"/>
        <v>1.9500974831702317E-3</v>
      </c>
      <c r="AE196" s="51"/>
      <c r="AF196" s="61">
        <f t="shared" si="271"/>
        <v>3.6813647642452152E-2</v>
      </c>
      <c r="AG196" s="51"/>
      <c r="AH196" s="51"/>
      <c r="AI196" s="61">
        <f t="shared" si="276"/>
        <v>8.2342819221579128E-2</v>
      </c>
      <c r="AJ196" s="51"/>
      <c r="AK196" s="536">
        <f t="shared" si="277"/>
        <v>2.6475680221143896</v>
      </c>
      <c r="AL196" s="552">
        <f t="shared" si="278"/>
        <v>-0.37198775805073409</v>
      </c>
      <c r="AM196" s="443">
        <f t="shared" ref="AM196:AV196" si="293">AM11</f>
        <v>57520.000027071903</v>
      </c>
      <c r="AN196" s="443">
        <f t="shared" si="293"/>
        <v>166935.999965147</v>
      </c>
      <c r="AO196" s="443">
        <f t="shared" si="293"/>
        <v>167841.00004407999</v>
      </c>
      <c r="AP196" s="443">
        <f t="shared" si="293"/>
        <v>32204.999952010799</v>
      </c>
      <c r="AQ196" s="443">
        <f t="shared" si="293"/>
        <v>29272.999971842401</v>
      </c>
      <c r="AR196" s="443">
        <f t="shared" si="293"/>
        <v>19666.999958756202</v>
      </c>
      <c r="AS196" s="443">
        <f t="shared" si="293"/>
        <v>21633.0000475089</v>
      </c>
      <c r="AT196" s="443">
        <f t="shared" si="293"/>
        <v>23599.999939406498</v>
      </c>
      <c r="AU196" s="443">
        <f t="shared" si="293"/>
        <v>25566.999961902202</v>
      </c>
      <c r="AV196" s="443">
        <f t="shared" si="293"/>
        <v>27532.9999933627</v>
      </c>
      <c r="AW196" s="553">
        <f t="shared" ref="AW196:BB196" si="294">AW11</f>
        <v>-9.7156138726639099E-2</v>
      </c>
      <c r="AX196" s="553">
        <f t="shared" si="294"/>
        <v>0.11362302968670542</v>
      </c>
      <c r="AY196" s="553">
        <f t="shared" si="294"/>
        <v>-6.4279660568969901E-2</v>
      </c>
      <c r="AZ196" s="538">
        <f t="shared" si="294"/>
        <v>-9.4338469851482587E-2</v>
      </c>
      <c r="BA196" s="538">
        <f t="shared" si="294"/>
        <v>0.10124135569737028</v>
      </c>
      <c r="BB196" s="538">
        <f t="shared" si="294"/>
        <v>-1.6777956932788277E-2</v>
      </c>
    </row>
    <row r="197" spans="1:54" ht="15" customHeight="1">
      <c r="A197" s="449">
        <v>2015</v>
      </c>
      <c r="B197" s="449"/>
      <c r="C197" s="449"/>
      <c r="D197" s="441"/>
      <c r="E197" s="441"/>
      <c r="F197" s="441"/>
      <c r="G197" s="441"/>
      <c r="H197" s="441"/>
      <c r="I197" s="441"/>
      <c r="J197" s="438" t="s">
        <v>146</v>
      </c>
      <c r="K197" s="543">
        <f t="shared" si="256"/>
        <v>12.683008441689687</v>
      </c>
      <c r="L197" s="543">
        <f t="shared" si="256"/>
        <v>12.936778100465176</v>
      </c>
      <c r="M197" s="543">
        <f t="shared" si="256"/>
        <v>13.096912227197027</v>
      </c>
      <c r="N197" s="543">
        <f t="shared" si="256"/>
        <v>12.953824008434148</v>
      </c>
      <c r="O197" s="543">
        <f t="shared" si="256"/>
        <v>13.104834642853366</v>
      </c>
      <c r="P197" s="550">
        <f t="shared" si="257"/>
        <v>-0.29187899176354482</v>
      </c>
      <c r="Q197" s="550">
        <f t="shared" si="258"/>
        <v>-0.49130647301166119</v>
      </c>
      <c r="R197" s="550">
        <f t="shared" si="259"/>
        <v>-0.31984777457507158</v>
      </c>
      <c r="S197" s="550">
        <f t="shared" si="260"/>
        <v>-0.34112046661253786</v>
      </c>
      <c r="T197" s="550">
        <f t="shared" si="261"/>
        <v>0.2395667111733481</v>
      </c>
      <c r="U197" s="551">
        <f t="shared" si="275"/>
        <v>0.73309442452583307</v>
      </c>
      <c r="V197" s="551">
        <f t="shared" si="262"/>
        <v>0.76841387235186975</v>
      </c>
      <c r="W197" s="551">
        <f t="shared" si="263"/>
        <v>0.73150423263542153</v>
      </c>
      <c r="X197" s="551">
        <f t="shared" si="264"/>
        <v>0.67298864638090494</v>
      </c>
      <c r="Y197" s="551">
        <f t="shared" si="265"/>
        <v>0.63564769103912966</v>
      </c>
      <c r="Z197" s="551">
        <f t="shared" si="266"/>
        <v>0.18452212225694378</v>
      </c>
      <c r="AA197" s="551">
        <f t="shared" si="267"/>
        <v>0.2030776377394472</v>
      </c>
      <c r="AB197" s="551">
        <f t="shared" si="268"/>
        <v>0.20197108631427163</v>
      </c>
      <c r="AC197" s="551">
        <f t="shared" si="269"/>
        <v>0.20757920163999996</v>
      </c>
      <c r="AD197" s="551">
        <f t="shared" si="270"/>
        <v>0.21733852845105511</v>
      </c>
      <c r="AE197" s="51"/>
      <c r="AF197" s="61">
        <f t="shared" si="271"/>
        <v>-0.11666707895840389</v>
      </c>
      <c r="AG197" s="51"/>
      <c r="AH197" s="51"/>
      <c r="AI197" s="61">
        <f t="shared" si="276"/>
        <v>-0.38350281081054582</v>
      </c>
      <c r="AJ197" s="51"/>
      <c r="AK197" s="536">
        <f t="shared" si="277"/>
        <v>-7.9224156563392403E-3</v>
      </c>
      <c r="AL197" s="552">
        <f t="shared" si="278"/>
        <v>9.5856541596291867E-2</v>
      </c>
      <c r="AM197" s="443">
        <f t="shared" ref="AM197:AV197" si="295">AM12</f>
        <v>466090</v>
      </c>
      <c r="AN197" s="443">
        <f t="shared" si="295"/>
        <v>473611</v>
      </c>
      <c r="AO197" s="443">
        <f t="shared" si="295"/>
        <v>647985</v>
      </c>
      <c r="AP197" s="443">
        <f t="shared" si="295"/>
        <v>665508</v>
      </c>
      <c r="AQ197" s="443">
        <f t="shared" si="295"/>
        <v>823649</v>
      </c>
      <c r="AR197" s="443">
        <f t="shared" si="295"/>
        <v>1099360</v>
      </c>
      <c r="AS197" s="443">
        <f t="shared" si="295"/>
        <v>1346648</v>
      </c>
      <c r="AT197" s="443">
        <f t="shared" si="295"/>
        <v>1420695</v>
      </c>
      <c r="AU197" s="443">
        <f t="shared" si="295"/>
        <v>1139166</v>
      </c>
      <c r="AV197" s="443">
        <f t="shared" si="295"/>
        <v>1154742</v>
      </c>
      <c r="AW197" s="553">
        <f t="shared" ref="AW197:BB197" si="296">AW12</f>
        <v>0.10192926212088935</v>
      </c>
      <c r="AX197" s="553">
        <f t="shared" si="296"/>
        <v>-0.12650131763061748</v>
      </c>
      <c r="AY197" s="553">
        <f t="shared" si="296"/>
        <v>-0.10973854345936319</v>
      </c>
      <c r="AZ197" s="538">
        <f t="shared" si="296"/>
        <v>0.11685817658873995</v>
      </c>
      <c r="BA197" s="538">
        <f t="shared" si="296"/>
        <v>-0.15594346464012504</v>
      </c>
      <c r="BB197" s="538">
        <f t="shared" si="296"/>
        <v>-0.14487421150989982</v>
      </c>
    </row>
    <row r="198" spans="1:54" ht="15" customHeight="1">
      <c r="A198" s="449">
        <v>2016</v>
      </c>
      <c r="B198" s="449"/>
      <c r="C198" s="449"/>
      <c r="D198" s="441"/>
      <c r="E198" s="441"/>
      <c r="F198" s="441"/>
      <c r="G198" s="441"/>
      <c r="H198" s="441"/>
      <c r="I198" s="441"/>
      <c r="J198" s="438" t="s">
        <v>147</v>
      </c>
      <c r="K198" s="543">
        <f t="shared" ref="K198:O207" si="297">LN(K13)</f>
        <v>9.1197150891288974</v>
      </c>
      <c r="L198" s="543">
        <f t="shared" si="297"/>
        <v>3.1354942145880456</v>
      </c>
      <c r="M198" s="543">
        <f t="shared" si="297"/>
        <v>3.6888794585097791</v>
      </c>
      <c r="N198" s="543">
        <f t="shared" si="297"/>
        <v>4.4659081129921425</v>
      </c>
      <c r="O198" s="543">
        <f t="shared" si="297"/>
        <v>3.9120229802451836</v>
      </c>
      <c r="P198" s="550">
        <f t="shared" si="257"/>
        <v>0.84299128352848762</v>
      </c>
      <c r="Q198" s="550">
        <f t="shared" si="258"/>
        <v>-47.260869565217412</v>
      </c>
      <c r="R198" s="550">
        <f t="shared" si="259"/>
        <v>189.20000000000007</v>
      </c>
      <c r="S198" s="550">
        <f t="shared" si="260"/>
        <v>-620.25287756353873</v>
      </c>
      <c r="T198" s="550">
        <f t="shared" si="261"/>
        <v>-32.939999999999962</v>
      </c>
      <c r="U198" s="551">
        <f t="shared" si="275"/>
        <v>9.6828363519065264E-2</v>
      </c>
      <c r="V198" s="551">
        <f t="shared" si="262"/>
        <v>0.18054535962553342</v>
      </c>
      <c r="W198" s="551">
        <f t="shared" si="263"/>
        <v>0.17294583414133752</v>
      </c>
      <c r="X198" s="551">
        <f t="shared" si="264"/>
        <v>0.18402553645691413</v>
      </c>
      <c r="Y198" s="551">
        <f t="shared" si="265"/>
        <v>0.18802746053768979</v>
      </c>
      <c r="Z198" s="551">
        <f t="shared" si="266"/>
        <v>0.38041137349031862</v>
      </c>
      <c r="AA198" s="551">
        <f t="shared" si="267"/>
        <v>1.5349091710605689E-4</v>
      </c>
      <c r="AB198" s="551">
        <f t="shared" si="268"/>
        <v>2.6705657034364243E-4</v>
      </c>
      <c r="AC198" s="551">
        <f t="shared" si="269"/>
        <v>6.1035498459626652E-4</v>
      </c>
      <c r="AD198" s="551">
        <f t="shared" si="270"/>
        <v>2.3287440957587925E-4</v>
      </c>
      <c r="AE198" s="51"/>
      <c r="AF198" s="61">
        <f t="shared" si="271"/>
        <v>5.8197986160446628E-2</v>
      </c>
      <c r="AG198" s="51"/>
      <c r="AH198" s="51"/>
      <c r="AI198" s="61">
        <f t="shared" si="276"/>
        <v>7.0539585108597952E-2</v>
      </c>
      <c r="AJ198" s="51"/>
      <c r="AK198" s="536">
        <f t="shared" si="277"/>
        <v>-0.22314352173540489</v>
      </c>
      <c r="AL198" s="552">
        <f t="shared" si="278"/>
        <v>-1.5081626396352271E-2</v>
      </c>
      <c r="AM198" s="443">
        <f t="shared" ref="AM198:AV198" si="298">AM13</f>
        <v>21684.9655826241</v>
      </c>
      <c r="AN198" s="443">
        <f t="shared" si="298"/>
        <v>122790.999950399</v>
      </c>
      <c r="AO198" s="443">
        <f t="shared" si="298"/>
        <v>123878.00005733701</v>
      </c>
      <c r="AP198" s="443">
        <f t="shared" si="298"/>
        <v>116309.00003746299</v>
      </c>
      <c r="AQ198" s="443">
        <f t="shared" si="298"/>
        <v>174337.00003646497</v>
      </c>
      <c r="AR198" s="443">
        <f t="shared" si="298"/>
        <v>0</v>
      </c>
      <c r="AS198" s="443">
        <f t="shared" si="298"/>
        <v>0</v>
      </c>
      <c r="AT198" s="443">
        <f t="shared" si="298"/>
        <v>0</v>
      </c>
      <c r="AU198" s="443">
        <f t="shared" si="298"/>
        <v>19737.000004249698</v>
      </c>
      <c r="AV198" s="443">
        <f t="shared" si="298"/>
        <v>22127.000010313499</v>
      </c>
      <c r="AW198" s="553">
        <f t="shared" ref="AW198:BB198" si="299">AW13</f>
        <v>-7.4433947564332512E-2</v>
      </c>
      <c r="AX198" s="553">
        <f t="shared" si="299"/>
        <v>-2.7340527958074836</v>
      </c>
      <c r="AY198" s="553" t="e">
        <f t="shared" si="299"/>
        <v>#DIV/0!</v>
      </c>
      <c r="AZ198" s="538">
        <f t="shared" si="299"/>
        <v>-2.1666509189746459E-2</v>
      </c>
      <c r="BA198" s="538">
        <f t="shared" si="299"/>
        <v>-0.88170996798108292</v>
      </c>
      <c r="BB198" s="538" t="e">
        <f t="shared" si="299"/>
        <v>#DIV/0!</v>
      </c>
    </row>
    <row r="199" spans="1:54" ht="15" customHeight="1">
      <c r="A199" s="449">
        <v>2017</v>
      </c>
      <c r="B199" s="449"/>
      <c r="C199" s="449"/>
      <c r="D199" s="441"/>
      <c r="E199" s="441"/>
      <c r="F199" s="441"/>
      <c r="G199" s="441"/>
      <c r="H199" s="441"/>
      <c r="I199" s="441"/>
      <c r="J199" s="438" t="s">
        <v>150</v>
      </c>
      <c r="K199" s="543">
        <f t="shared" si="297"/>
        <v>13.872835624583544</v>
      </c>
      <c r="L199" s="543">
        <f t="shared" si="297"/>
        <v>14.164052518672818</v>
      </c>
      <c r="M199" s="543">
        <f t="shared" si="297"/>
        <v>13.239257128875828</v>
      </c>
      <c r="N199" s="543">
        <f t="shared" si="297"/>
        <v>14.564565370462516</v>
      </c>
      <c r="O199" s="543">
        <f t="shared" si="297"/>
        <v>14.990157532908382</v>
      </c>
      <c r="P199" s="550">
        <f t="shared" si="257"/>
        <v>-4.403210576015109</v>
      </c>
      <c r="Q199" s="550">
        <f t="shared" si="258"/>
        <v>-0.86238532110091748</v>
      </c>
      <c r="R199" s="550">
        <f t="shared" si="259"/>
        <v>-1.0765124555160142</v>
      </c>
      <c r="S199" s="550">
        <f t="shared" si="260"/>
        <v>-1.4666666666666666</v>
      </c>
      <c r="T199" s="550">
        <f t="shared" si="261"/>
        <v>-4.7883843064565959E-2</v>
      </c>
      <c r="U199" s="551">
        <f t="shared" si="275"/>
        <v>1.7927291088109063</v>
      </c>
      <c r="V199" s="551">
        <f t="shared" si="262"/>
        <v>0.80676797068649642</v>
      </c>
      <c r="W199" s="551">
        <f t="shared" si="263"/>
        <v>0.72022492625368728</v>
      </c>
      <c r="X199" s="551">
        <f t="shared" si="264"/>
        <v>0.6130018907796686</v>
      </c>
      <c r="Y199" s="551">
        <f t="shared" si="265"/>
        <v>0.5355395550632327</v>
      </c>
      <c r="Z199" s="551">
        <f t="shared" si="266"/>
        <v>0.26735672809896494</v>
      </c>
      <c r="AA199" s="551">
        <f t="shared" si="267"/>
        <v>0.15271042138161439</v>
      </c>
      <c r="AB199" s="551">
        <f t="shared" si="268"/>
        <v>5.1806784660766964E-2</v>
      </c>
      <c r="AC199" s="551">
        <f t="shared" si="269"/>
        <v>0.11761761761761762</v>
      </c>
      <c r="AD199" s="551">
        <f t="shared" si="270"/>
        <v>0.14940459706452505</v>
      </c>
      <c r="AE199" s="51"/>
      <c r="AF199" s="61">
        <f t="shared" si="271"/>
        <v>-4.8616582688589191E-2</v>
      </c>
      <c r="AG199" s="51"/>
      <c r="AH199" s="51"/>
      <c r="AI199" s="61">
        <f t="shared" si="276"/>
        <v>-0.18393806007326824</v>
      </c>
      <c r="AJ199" s="51"/>
      <c r="AK199" s="536">
        <f t="shared" si="277"/>
        <v>-1.7509004040325533</v>
      </c>
      <c r="AL199" s="552">
        <f t="shared" si="278"/>
        <v>0.18468537119045458</v>
      </c>
      <c r="AM199" s="443">
        <f t="shared" ref="AM199:AV199" si="300">AM14</f>
        <v>-3140000</v>
      </c>
      <c r="AN199" s="443">
        <f t="shared" si="300"/>
        <v>1793000</v>
      </c>
      <c r="AO199" s="443">
        <f t="shared" si="300"/>
        <v>3035000</v>
      </c>
      <c r="AP199" s="443">
        <f t="shared" si="300"/>
        <v>6959000</v>
      </c>
      <c r="AQ199" s="443">
        <f t="shared" si="300"/>
        <v>10063000</v>
      </c>
      <c r="AR199" s="443">
        <f t="shared" si="300"/>
        <v>556000</v>
      </c>
      <c r="AS199" s="443">
        <f t="shared" si="300"/>
        <v>6716000</v>
      </c>
      <c r="AT199" s="443">
        <f t="shared" si="300"/>
        <v>7349000</v>
      </c>
      <c r="AU199" s="443">
        <f t="shared" si="300"/>
        <v>10164000</v>
      </c>
      <c r="AV199" s="443">
        <f t="shared" si="300"/>
        <v>6880000</v>
      </c>
      <c r="AW199" s="553">
        <f t="shared" ref="AW199:BB199" si="301">AW14</f>
        <v>-2.2529069767441859E-2</v>
      </c>
      <c r="AX199" s="553">
        <f t="shared" si="301"/>
        <v>-0.30519480519480519</v>
      </c>
      <c r="AY199" s="553">
        <f t="shared" si="301"/>
        <v>-8.2324125731392028E-2</v>
      </c>
      <c r="AZ199" s="538">
        <f t="shared" si="301"/>
        <v>-1.9219274278206772E-2</v>
      </c>
      <c r="BA199" s="538">
        <f t="shared" si="301"/>
        <v>-0.35959083181305407</v>
      </c>
      <c r="BB199" s="538">
        <f t="shared" si="301"/>
        <v>-0.11506253635134273</v>
      </c>
    </row>
    <row r="200" spans="1:54" ht="15" customHeight="1">
      <c r="A200" s="449">
        <v>2014</v>
      </c>
      <c r="B200" s="449"/>
      <c r="C200" s="449"/>
      <c r="D200" s="441"/>
      <c r="E200" s="441"/>
      <c r="F200" s="441"/>
      <c r="G200" s="441"/>
      <c r="H200" s="441"/>
      <c r="I200" s="441"/>
      <c r="J200" s="438" t="s">
        <v>157</v>
      </c>
      <c r="K200" s="543">
        <f t="shared" si="297"/>
        <v>14.243568514725073</v>
      </c>
      <c r="L200" s="543">
        <f t="shared" si="297"/>
        <v>14.166836923726073</v>
      </c>
      <c r="M200" s="543">
        <f t="shared" si="297"/>
        <v>14.19459952046863</v>
      </c>
      <c r="N200" s="543">
        <f t="shared" si="297"/>
        <v>14.364191925274701</v>
      </c>
      <c r="O200" s="543">
        <f t="shared" si="297"/>
        <v>14.550728712744503</v>
      </c>
      <c r="P200" s="550">
        <f t="shared" si="257"/>
        <v>-2.0815694709227485E-2</v>
      </c>
      <c r="Q200" s="550">
        <f t="shared" si="258"/>
        <v>2.4500492979701624E-2</v>
      </c>
      <c r="R200" s="550">
        <f t="shared" si="259"/>
        <v>-0.10960311522684166</v>
      </c>
      <c r="S200" s="550">
        <f t="shared" si="260"/>
        <v>-6.7731426732656683E-2</v>
      </c>
      <c r="T200" s="550">
        <f t="shared" si="261"/>
        <v>-6.118593226928714E-3</v>
      </c>
      <c r="U200" s="551">
        <f t="shared" si="275"/>
        <v>0.71543795420384682</v>
      </c>
      <c r="V200" s="551">
        <f t="shared" si="262"/>
        <v>0.98147400411029573</v>
      </c>
      <c r="W200" s="551">
        <f t="shared" si="263"/>
        <v>0.80631043329849894</v>
      </c>
      <c r="X200" s="551">
        <f t="shared" si="264"/>
        <v>0.6003439152888187</v>
      </c>
      <c r="Y200" s="551">
        <f t="shared" si="265"/>
        <v>0.55432670426035946</v>
      </c>
      <c r="Z200" s="551">
        <f t="shared" si="266"/>
        <v>1.1065877047974313</v>
      </c>
      <c r="AA200" s="551">
        <f t="shared" si="267"/>
        <v>1.1709159498919688</v>
      </c>
      <c r="AB200" s="551">
        <f t="shared" si="268"/>
        <v>1.1619043756133796</v>
      </c>
      <c r="AC200" s="551">
        <f t="shared" si="269"/>
        <v>1.2016687597320599</v>
      </c>
      <c r="AD200" s="551">
        <f t="shared" si="270"/>
        <v>1.0572273249313491</v>
      </c>
      <c r="AE200" s="51"/>
      <c r="AF200" s="61">
        <f t="shared" si="271"/>
        <v>-0.12087959521327585</v>
      </c>
      <c r="AG200" s="51"/>
      <c r="AH200" s="51"/>
      <c r="AI200" s="61">
        <f t="shared" si="276"/>
        <v>-0.64297230383473658</v>
      </c>
      <c r="AJ200" s="51"/>
      <c r="AK200" s="536">
        <f t="shared" si="277"/>
        <v>-0.35612919227587286</v>
      </c>
      <c r="AL200" s="552">
        <f t="shared" si="278"/>
        <v>0.25198372903813948</v>
      </c>
      <c r="AM200" s="443">
        <f t="shared" ref="AM200:AV200" si="302">AM15</f>
        <v>394543</v>
      </c>
      <c r="AN200" s="443">
        <f t="shared" si="302"/>
        <v>22483</v>
      </c>
      <c r="AO200" s="443">
        <f t="shared" si="302"/>
        <v>243541</v>
      </c>
      <c r="AP200" s="443">
        <f t="shared" si="302"/>
        <v>575693</v>
      </c>
      <c r="AQ200" s="443">
        <f t="shared" si="302"/>
        <v>879326</v>
      </c>
      <c r="AR200" s="443">
        <f t="shared" si="302"/>
        <v>598015</v>
      </c>
      <c r="AS200" s="443">
        <f t="shared" si="302"/>
        <v>839594</v>
      </c>
      <c r="AT200" s="443">
        <f t="shared" si="302"/>
        <v>612645</v>
      </c>
      <c r="AU200" s="443">
        <f t="shared" si="302"/>
        <v>475868</v>
      </c>
      <c r="AV200" s="443">
        <f t="shared" si="302"/>
        <v>628405</v>
      </c>
      <c r="AW200" s="553">
        <f t="shared" ref="AW200:BB200" si="303">AW15</f>
        <v>-2.0310150301159284E-2</v>
      </c>
      <c r="AX200" s="553">
        <f t="shared" si="303"/>
        <v>-0.24637294375751259</v>
      </c>
      <c r="AY200" s="553">
        <f t="shared" si="303"/>
        <v>-0.26136669686359965</v>
      </c>
      <c r="AZ200" s="538">
        <f t="shared" si="303"/>
        <v>-1.7727193644348611E-2</v>
      </c>
      <c r="BA200" s="538">
        <f t="shared" si="303"/>
        <v>-0.22929923723333145</v>
      </c>
      <c r="BB200" s="538">
        <f t="shared" si="303"/>
        <v>-0.33809103376081118</v>
      </c>
    </row>
    <row r="201" spans="1:54" ht="15" customHeight="1">
      <c r="A201" s="449">
        <v>2018</v>
      </c>
      <c r="B201" s="449"/>
      <c r="C201" s="449"/>
      <c r="D201" s="441"/>
      <c r="E201" s="441"/>
      <c r="F201" s="441"/>
      <c r="G201" s="441"/>
      <c r="H201" s="441"/>
      <c r="I201" s="441"/>
      <c r="J201" s="438" t="s">
        <v>202</v>
      </c>
      <c r="K201" s="543">
        <f t="shared" si="297"/>
        <v>13.127369147549226</v>
      </c>
      <c r="L201" s="543">
        <f t="shared" si="297"/>
        <v>12.824690332225909</v>
      </c>
      <c r="M201" s="543">
        <f t="shared" si="297"/>
        <v>12.794745448823448</v>
      </c>
      <c r="N201" s="543">
        <f t="shared" si="297"/>
        <v>12.871997269962757</v>
      </c>
      <c r="O201" s="543">
        <f t="shared" si="297"/>
        <v>12.828650204222868</v>
      </c>
      <c r="P201" s="550">
        <f t="shared" si="257"/>
        <v>6.3016516484524304E-2</v>
      </c>
      <c r="Q201" s="550">
        <f t="shared" si="258"/>
        <v>4.0046999907229465E-2</v>
      </c>
      <c r="R201" s="550">
        <f t="shared" si="259"/>
        <v>4.7657530468544394E-2</v>
      </c>
      <c r="S201" s="550">
        <f t="shared" si="260"/>
        <v>0.10519543360765714</v>
      </c>
      <c r="T201" s="550">
        <f t="shared" si="261"/>
        <v>0.10802735688773017</v>
      </c>
      <c r="U201" s="551">
        <f t="shared" si="275"/>
        <v>0.61892188082113919</v>
      </c>
      <c r="V201" s="551">
        <f t="shared" si="262"/>
        <v>0.53931177928533702</v>
      </c>
      <c r="W201" s="551">
        <f t="shared" si="263"/>
        <v>0.53585694260627115</v>
      </c>
      <c r="X201" s="551">
        <f t="shared" si="264"/>
        <v>0.49556940751616263</v>
      </c>
      <c r="Y201" s="551">
        <f t="shared" si="265"/>
        <v>0.52727117164756065</v>
      </c>
      <c r="Z201" s="551">
        <f t="shared" si="266"/>
        <v>0.53372073562265909</v>
      </c>
      <c r="AA201" s="551">
        <f t="shared" si="267"/>
        <v>0.44935644507403777</v>
      </c>
      <c r="AB201" s="551">
        <f t="shared" si="268"/>
        <v>0.42618953254130459</v>
      </c>
      <c r="AC201" s="551">
        <f t="shared" si="269"/>
        <v>1.3838746802118853</v>
      </c>
      <c r="AD201" s="551">
        <f t="shared" si="270"/>
        <v>1.3578622679146577</v>
      </c>
      <c r="AE201" s="51"/>
      <c r="AF201" s="61">
        <f t="shared" si="271"/>
        <v>-0.1263751311879375</v>
      </c>
      <c r="AG201" s="51"/>
      <c r="AH201" s="51"/>
      <c r="AI201" s="61">
        <f t="shared" si="276"/>
        <v>-0.26653633087733591</v>
      </c>
      <c r="AJ201" s="51"/>
      <c r="AK201" s="536">
        <f t="shared" si="277"/>
        <v>-3.3904755399418146E-2</v>
      </c>
      <c r="AL201" s="552">
        <f t="shared" si="278"/>
        <v>8.5857709587104925E-3</v>
      </c>
      <c r="AM201" s="443">
        <f t="shared" ref="AM201:AV201" si="304">AM16</f>
        <v>358792.96562999999</v>
      </c>
      <c r="AN201" s="443">
        <f t="shared" si="304"/>
        <v>380634.69884999999</v>
      </c>
      <c r="AO201" s="443">
        <f t="shared" si="304"/>
        <v>392406.59671499999</v>
      </c>
      <c r="AP201" s="443">
        <f t="shared" si="304"/>
        <v>141886.937814</v>
      </c>
      <c r="AQ201" s="443">
        <f t="shared" si="304"/>
        <v>129768.22408000001</v>
      </c>
      <c r="AR201" s="443">
        <f t="shared" si="304"/>
        <v>347812.83973800001</v>
      </c>
      <c r="AS201" s="443">
        <f t="shared" si="304"/>
        <v>370515.03735</v>
      </c>
      <c r="AT201" s="443">
        <f t="shared" si="304"/>
        <v>394691.07720699999</v>
      </c>
      <c r="AU201" s="443">
        <f t="shared" si="304"/>
        <v>62769.46557</v>
      </c>
      <c r="AV201" s="443">
        <f t="shared" si="304"/>
        <v>61908.309760000004</v>
      </c>
      <c r="AW201" s="553">
        <f t="shared" ref="AW201:BB201" si="305">AW16</f>
        <v>0.65042435857321657</v>
      </c>
      <c r="AX201" s="553">
        <f t="shared" si="305"/>
        <v>0.65235777453505561</v>
      </c>
      <c r="AY201" s="553">
        <f t="shared" si="305"/>
        <v>4.3507243813353295E-2</v>
      </c>
      <c r="AZ201" s="538">
        <f t="shared" si="305"/>
        <v>0.48963628543341242</v>
      </c>
      <c r="BA201" s="538">
        <f t="shared" si="305"/>
        <v>0.46886564792058727</v>
      </c>
      <c r="BB201" s="538">
        <f t="shared" si="305"/>
        <v>4.3624805150472235E-2</v>
      </c>
    </row>
    <row r="202" spans="1:54" ht="15" customHeight="1">
      <c r="A202" s="449">
        <v>2018</v>
      </c>
      <c r="B202" s="449"/>
      <c r="C202" s="449"/>
      <c r="D202" s="441"/>
      <c r="E202" s="441"/>
      <c r="F202" s="441"/>
      <c r="G202" s="441"/>
      <c r="H202" s="441"/>
      <c r="I202" s="441"/>
      <c r="J202" s="438" t="s">
        <v>203</v>
      </c>
      <c r="K202" s="543">
        <f t="shared" si="297"/>
        <v>11.270277424747061</v>
      </c>
      <c r="L202" s="543">
        <f t="shared" si="297"/>
        <v>11.349827071754406</v>
      </c>
      <c r="M202" s="543">
        <f t="shared" si="297"/>
        <v>11.684927239524544</v>
      </c>
      <c r="N202" s="543">
        <f t="shared" si="297"/>
        <v>11.674409047214658</v>
      </c>
      <c r="O202" s="543">
        <f t="shared" si="297"/>
        <v>11.70238853743122</v>
      </c>
      <c r="P202" s="550">
        <f t="shared" si="257"/>
        <v>0.3943040965589597</v>
      </c>
      <c r="Q202" s="550">
        <f t="shared" si="258"/>
        <v>0.30503429336350985</v>
      </c>
      <c r="R202" s="550">
        <f t="shared" si="259"/>
        <v>0.22842911708380345</v>
      </c>
      <c r="S202" s="550">
        <f t="shared" si="260"/>
        <v>0.32789448690143541</v>
      </c>
      <c r="T202" s="550">
        <f t="shared" si="261"/>
        <v>0.46268774042313349</v>
      </c>
      <c r="U202" s="551">
        <f t="shared" si="275"/>
        <v>0.92397424677439699</v>
      </c>
      <c r="V202" s="551">
        <f t="shared" si="262"/>
        <v>0.92537445354600445</v>
      </c>
      <c r="W202" s="551">
        <f t="shared" si="263"/>
        <v>0.92719219275316167</v>
      </c>
      <c r="X202" s="551">
        <f t="shared" si="264"/>
        <v>0.92427448384922795</v>
      </c>
      <c r="Y202" s="551">
        <f t="shared" si="265"/>
        <v>0.92433030779166403</v>
      </c>
      <c r="Z202" s="551">
        <f t="shared" si="266"/>
        <v>1.1822754582850611E-2</v>
      </c>
      <c r="AA202" s="551">
        <f t="shared" si="267"/>
        <v>1.2939049244596856E-2</v>
      </c>
      <c r="AB202" s="551">
        <f t="shared" si="268"/>
        <v>2.1254211752348057E-2</v>
      </c>
      <c r="AC202" s="551">
        <f t="shared" si="269"/>
        <v>1.7639318134164417E-2</v>
      </c>
      <c r="AD202" s="551">
        <f t="shared" si="270"/>
        <v>1.9254195524677997E-2</v>
      </c>
      <c r="AE202" s="51"/>
      <c r="AF202" s="61">
        <f t="shared" si="271"/>
        <v>-4.0535993960774059E-3</v>
      </c>
      <c r="AG202" s="51"/>
      <c r="AH202" s="51"/>
      <c r="AI202" s="61">
        <f t="shared" si="276"/>
        <v>-5.1047635084531556E-2</v>
      </c>
      <c r="AJ202" s="51"/>
      <c r="AK202" s="536">
        <f t="shared" si="277"/>
        <v>-1.7461297906676578E-2</v>
      </c>
      <c r="AL202" s="552">
        <f t="shared" si="278"/>
        <v>2.8618849614976405E-3</v>
      </c>
      <c r="AM202" s="443">
        <f t="shared" ref="AM202:AV202" si="306">AM17</f>
        <v>504500.21089515102</v>
      </c>
      <c r="AN202" s="443">
        <f t="shared" si="306"/>
        <v>489950.74953198398</v>
      </c>
      <c r="AO202" s="443">
        <f t="shared" si="306"/>
        <v>406848.17300840502</v>
      </c>
      <c r="AP202" s="443">
        <f t="shared" si="306"/>
        <v>504535.67251093697</v>
      </c>
      <c r="AQ202" s="443">
        <f t="shared" si="306"/>
        <v>474984.41134495998</v>
      </c>
      <c r="AR202" s="443">
        <f t="shared" si="306"/>
        <v>504500.21089515102</v>
      </c>
      <c r="AS202" s="443">
        <f t="shared" si="306"/>
        <v>489950.74953198398</v>
      </c>
      <c r="AT202" s="443">
        <f t="shared" si="306"/>
        <v>406848.17300840502</v>
      </c>
      <c r="AU202" s="443">
        <f t="shared" si="306"/>
        <v>504535.67251093697</v>
      </c>
      <c r="AV202" s="443">
        <f t="shared" si="306"/>
        <v>474984.41134495998</v>
      </c>
      <c r="AW202" s="553">
        <f t="shared" ref="AW202:BB202" si="307">AW17</f>
        <v>0.11773115445548329</v>
      </c>
      <c r="AX202" s="553">
        <f t="shared" si="307"/>
        <v>7.6378946792217448E-2</v>
      </c>
      <c r="AY202" s="553">
        <f t="shared" si="307"/>
        <v>6.6683519370951738E-2</v>
      </c>
      <c r="AZ202" s="538">
        <f t="shared" si="307"/>
        <v>0.11773115445548328</v>
      </c>
      <c r="BA202" s="538">
        <f t="shared" si="307"/>
        <v>7.6378946792217448E-2</v>
      </c>
      <c r="BB202" s="538">
        <f t="shared" si="307"/>
        <v>6.6683519370951738E-2</v>
      </c>
    </row>
    <row r="203" spans="1:54" ht="15" customHeight="1">
      <c r="A203" s="449">
        <v>2012</v>
      </c>
      <c r="B203" s="449"/>
      <c r="C203" s="449"/>
      <c r="D203" s="441"/>
      <c r="E203" s="441"/>
      <c r="F203" s="441"/>
      <c r="G203" s="441"/>
      <c r="H203" s="441"/>
      <c r="I203" s="441"/>
      <c r="J203" s="438" t="s">
        <v>204</v>
      </c>
      <c r="K203" s="543">
        <f t="shared" si="297"/>
        <v>8.9466178663838001</v>
      </c>
      <c r="L203" s="543">
        <f t="shared" si="297"/>
        <v>8.3363578218121841</v>
      </c>
      <c r="M203" s="543">
        <f t="shared" si="297"/>
        <v>8.3923371693876785</v>
      </c>
      <c r="N203" s="543">
        <f t="shared" si="297"/>
        <v>8.4087077488954058</v>
      </c>
      <c r="O203" s="543">
        <f t="shared" si="297"/>
        <v>8.2968183289037931</v>
      </c>
      <c r="P203" s="550">
        <f t="shared" si="257"/>
        <v>-0.27749433605810903</v>
      </c>
      <c r="Q203" s="550">
        <f t="shared" si="258"/>
        <v>-5.4617399492252483</v>
      </c>
      <c r="R203" s="550">
        <f t="shared" si="259"/>
        <v>-1.5000000186346263</v>
      </c>
      <c r="S203" s="550">
        <f t="shared" si="260"/>
        <v>-1.6176470964904832</v>
      </c>
      <c r="T203" s="550">
        <f t="shared" si="261"/>
        <v>0.87096772179637183</v>
      </c>
      <c r="U203" s="551">
        <f t="shared" si="275"/>
        <v>0.73525387121816688</v>
      </c>
      <c r="V203" s="551">
        <f t="shared" si="262"/>
        <v>0.73948967829543233</v>
      </c>
      <c r="W203" s="551">
        <f t="shared" si="263"/>
        <v>0.64859133617857245</v>
      </c>
      <c r="X203" s="551">
        <f t="shared" si="264"/>
        <v>0.57794015306229773</v>
      </c>
      <c r="Y203" s="551">
        <f t="shared" si="265"/>
        <v>0.46730930381713154</v>
      </c>
      <c r="Z203" s="551">
        <f t="shared" si="266"/>
        <v>1.9624421554664099E-2</v>
      </c>
      <c r="AA203" s="551">
        <f t="shared" si="267"/>
        <v>9.2023881889246439E-3</v>
      </c>
      <c r="AB203" s="551">
        <f t="shared" si="268"/>
        <v>9.694032048110722E-3</v>
      </c>
      <c r="AC203" s="551">
        <f t="shared" si="269"/>
        <v>1.1830201645575003E-2</v>
      </c>
      <c r="AD203" s="551">
        <f t="shared" si="270"/>
        <v>1.2992456189108938E-2</v>
      </c>
      <c r="AE203" s="51"/>
      <c r="AF203" s="61">
        <f t="shared" si="271"/>
        <v>-2.5857058220378131E-2</v>
      </c>
      <c r="AG203" s="51"/>
      <c r="AH203" s="51"/>
      <c r="AI203" s="61">
        <f t="shared" si="276"/>
        <v>-6.2622426060959233E-2</v>
      </c>
      <c r="AJ203" s="51"/>
      <c r="AK203" s="536">
        <f t="shared" si="277"/>
        <v>9.5518840483884954E-2</v>
      </c>
      <c r="AL203" s="552">
        <f t="shared" si="278"/>
        <v>0.18128203236144091</v>
      </c>
      <c r="AM203" s="443">
        <f t="shared" ref="AM203:AV203" si="308">AM18</f>
        <v>103633.346992929</v>
      </c>
      <c r="AN203" s="443">
        <f t="shared" si="308"/>
        <v>118129.560047359</v>
      </c>
      <c r="AO203" s="443">
        <f t="shared" si="308"/>
        <v>159975.596007249</v>
      </c>
      <c r="AP203" s="443">
        <f t="shared" si="308"/>
        <v>159911.27426799701</v>
      </c>
      <c r="AQ203" s="443">
        <f t="shared" si="308"/>
        <v>164454.691622124</v>
      </c>
      <c r="AR203" s="443">
        <f t="shared" si="308"/>
        <v>31300.123161826901</v>
      </c>
      <c r="AS203" s="443">
        <f t="shared" si="308"/>
        <v>35669.061524065401</v>
      </c>
      <c r="AT203" s="443">
        <f t="shared" si="308"/>
        <v>41510.908979121094</v>
      </c>
      <c r="AU203" s="443">
        <f t="shared" si="308"/>
        <v>42616.6184284173</v>
      </c>
      <c r="AV203" s="443">
        <f t="shared" si="308"/>
        <v>24713.490178484699</v>
      </c>
      <c r="AW203" s="553">
        <f t="shared" ref="AW203:BB203" si="309">AW18</f>
        <v>0.14136125580178271</v>
      </c>
      <c r="AX203" s="553">
        <f t="shared" si="309"/>
        <v>-0.17027863958381551</v>
      </c>
      <c r="AY203" s="553">
        <f t="shared" si="309"/>
        <v>-0.15946843935433613</v>
      </c>
      <c r="AZ203" s="538">
        <f t="shared" si="309"/>
        <v>7.7375440044854985E-2</v>
      </c>
      <c r="BA203" s="538">
        <f t="shared" si="309"/>
        <v>-0.11758886908711189</v>
      </c>
      <c r="BB203" s="538">
        <f t="shared" si="309"/>
        <v>-0.11797089636932956</v>
      </c>
    </row>
    <row r="204" spans="1:54" ht="15" customHeight="1">
      <c r="A204" s="449">
        <v>2013</v>
      </c>
      <c r="B204" s="449"/>
      <c r="C204" s="449"/>
      <c r="D204" s="441"/>
      <c r="E204" s="441"/>
      <c r="F204" s="441"/>
      <c r="G204" s="441"/>
      <c r="H204" s="441"/>
      <c r="I204" s="441"/>
      <c r="J204" s="438" t="s">
        <v>205</v>
      </c>
      <c r="K204" s="543">
        <f t="shared" si="297"/>
        <v>12.377080442423855</v>
      </c>
      <c r="L204" s="543">
        <f t="shared" si="297"/>
        <v>12.812572019364447</v>
      </c>
      <c r="M204" s="543">
        <f t="shared" si="297"/>
        <v>12.679196402112153</v>
      </c>
      <c r="N204" s="543">
        <f t="shared" si="297"/>
        <v>12.428015476267865</v>
      </c>
      <c r="O204" s="543">
        <f t="shared" si="297"/>
        <v>12.063356343328579</v>
      </c>
      <c r="P204" s="550">
        <f t="shared" si="257"/>
        <v>-0.36072482090181207</v>
      </c>
      <c r="Q204" s="550">
        <f t="shared" si="258"/>
        <v>-0.41139585605234458</v>
      </c>
      <c r="R204" s="550">
        <f t="shared" si="259"/>
        <v>-0.36915887850467288</v>
      </c>
      <c r="S204" s="550">
        <f t="shared" si="260"/>
        <v>-0.41529835802963555</v>
      </c>
      <c r="T204" s="550">
        <f t="shared" si="261"/>
        <v>-0.17877739331026529</v>
      </c>
      <c r="U204" s="551">
        <f t="shared" si="275"/>
        <v>0.79879107452896925</v>
      </c>
      <c r="V204" s="551">
        <f t="shared" si="262"/>
        <v>0.76854650168215777</v>
      </c>
      <c r="W204" s="551">
        <f t="shared" si="263"/>
        <v>0.7199738903394256</v>
      </c>
      <c r="X204" s="551">
        <f t="shared" si="264"/>
        <v>0.6840864984751871</v>
      </c>
      <c r="Y204" s="551">
        <f t="shared" si="265"/>
        <v>0.61481653776821543</v>
      </c>
      <c r="Z204" s="551">
        <f t="shared" si="266"/>
        <v>0.15259468844447302</v>
      </c>
      <c r="AA204" s="551">
        <f t="shared" si="267"/>
        <v>0.20915778069225066</v>
      </c>
      <c r="AB204" s="551">
        <f t="shared" si="268"/>
        <v>0.16117694316127737</v>
      </c>
      <c r="AC204" s="551">
        <f t="shared" si="269"/>
        <v>0.11537750669993531</v>
      </c>
      <c r="AD204" s="551">
        <f t="shared" si="270"/>
        <v>0.10083154038495086</v>
      </c>
      <c r="AE204" s="51"/>
      <c r="AF204" s="61">
        <f t="shared" si="271"/>
        <v>-4.1473499624748299E-2</v>
      </c>
      <c r="AG204" s="51"/>
      <c r="AH204" s="51"/>
      <c r="AI204" s="61">
        <f t="shared" si="276"/>
        <v>-0.1656803109562307</v>
      </c>
      <c r="AJ204" s="51"/>
      <c r="AK204" s="536">
        <f t="shared" si="277"/>
        <v>0.6158400587835744</v>
      </c>
      <c r="AL204" s="552">
        <f t="shared" si="278"/>
        <v>0.10515735257121017</v>
      </c>
      <c r="AM204" s="443">
        <f t="shared" ref="AM204:AV204" si="310">AM19</f>
        <v>312900</v>
      </c>
      <c r="AN204" s="443">
        <f t="shared" si="310"/>
        <v>405900</v>
      </c>
      <c r="AO204" s="443">
        <f t="shared" si="310"/>
        <v>557700</v>
      </c>
      <c r="AP204" s="443">
        <f t="shared" si="310"/>
        <v>683700</v>
      </c>
      <c r="AQ204" s="443">
        <f t="shared" si="310"/>
        <v>662400</v>
      </c>
      <c r="AR204" s="443">
        <f t="shared" si="310"/>
        <v>801200</v>
      </c>
      <c r="AS204" s="443">
        <f t="shared" si="310"/>
        <v>939400</v>
      </c>
      <c r="AT204" s="443">
        <f t="shared" si="310"/>
        <v>1188400</v>
      </c>
      <c r="AU204" s="443">
        <f t="shared" si="310"/>
        <v>1196200</v>
      </c>
      <c r="AV204" s="443">
        <f t="shared" si="310"/>
        <v>790900</v>
      </c>
      <c r="AW204" s="553">
        <f t="shared" ref="AW204:BB204" si="311">AW19</f>
        <v>-3.919585282589455E-2</v>
      </c>
      <c r="AX204" s="553">
        <f t="shared" si="311"/>
        <v>-8.6691188764420668E-2</v>
      </c>
      <c r="AY204" s="553">
        <f t="shared" si="311"/>
        <v>-9.971390104341972E-2</v>
      </c>
      <c r="AZ204" s="538">
        <f t="shared" si="311"/>
        <v>-4.2124658482769264E-2</v>
      </c>
      <c r="BA204" s="538">
        <f t="shared" si="311"/>
        <v>-0.10722036085654042</v>
      </c>
      <c r="BB204" s="538">
        <f t="shared" si="311"/>
        <v>-0.13129130483337997</v>
      </c>
    </row>
    <row r="205" spans="1:54" ht="15" customHeight="1">
      <c r="A205" s="449">
        <v>2012</v>
      </c>
      <c r="B205" s="449"/>
      <c r="C205" s="449"/>
      <c r="D205" s="441">
        <v>0.25</v>
      </c>
      <c r="E205" s="441"/>
      <c r="F205" s="441"/>
      <c r="G205" s="441"/>
      <c r="H205" s="441"/>
      <c r="I205" s="441"/>
      <c r="J205" s="438" t="s">
        <v>206</v>
      </c>
      <c r="K205" s="543">
        <f t="shared" si="297"/>
        <v>11.546410711111042</v>
      </c>
      <c r="L205" s="543">
        <f t="shared" si="297"/>
        <v>10.456130468113511</v>
      </c>
      <c r="M205" s="543">
        <f t="shared" si="297"/>
        <v>10.911484480118032</v>
      </c>
      <c r="N205" s="543">
        <f t="shared" si="297"/>
        <v>10.770640841221686</v>
      </c>
      <c r="O205" s="543">
        <f t="shared" si="297"/>
        <v>10.782805980878782</v>
      </c>
      <c r="P205" s="550">
        <f t="shared" si="257"/>
        <v>9.8792535675082602E-3</v>
      </c>
      <c r="Q205" s="550">
        <f t="shared" si="258"/>
        <v>2.5007454219475467E-2</v>
      </c>
      <c r="R205" s="550">
        <f t="shared" si="259"/>
        <v>-0.15612985711155866</v>
      </c>
      <c r="S205" s="550">
        <f t="shared" si="260"/>
        <v>-7.4494806634835015E-2</v>
      </c>
      <c r="T205" s="550">
        <f t="shared" si="261"/>
        <v>-0.81599215602035846</v>
      </c>
      <c r="U205" s="551">
        <f t="shared" si="275"/>
        <v>0.46622613803230517</v>
      </c>
      <c r="V205" s="551">
        <f t="shared" si="262"/>
        <v>0.49530157785860063</v>
      </c>
      <c r="W205" s="551">
        <f t="shared" si="263"/>
        <v>0.71210415344619393</v>
      </c>
      <c r="X205" s="551">
        <f t="shared" si="264"/>
        <v>0.90407792055389236</v>
      </c>
      <c r="Y205" s="551">
        <f t="shared" si="265"/>
        <v>1.3313138336579868</v>
      </c>
      <c r="Z205" s="551">
        <f t="shared" si="266"/>
        <v>0.66886930983847048</v>
      </c>
      <c r="AA205" s="551">
        <f t="shared" si="267"/>
        <v>1.7458052216708777</v>
      </c>
      <c r="AB205" s="551">
        <f t="shared" si="268"/>
        <v>1.7051698020511319</v>
      </c>
      <c r="AC205" s="551">
        <f t="shared" si="269"/>
        <v>0.62229889104031044</v>
      </c>
      <c r="AD205" s="551">
        <f t="shared" si="270"/>
        <v>0.49188706480634142</v>
      </c>
      <c r="AE205" s="51"/>
      <c r="AF205" s="61">
        <f t="shared" si="271"/>
        <v>0.13514806898466436</v>
      </c>
      <c r="AG205" s="51"/>
      <c r="AH205" s="51"/>
      <c r="AI205" s="61">
        <f t="shared" si="276"/>
        <v>-2.1362045520278281</v>
      </c>
      <c r="AJ205" s="51"/>
      <c r="AK205" s="536">
        <f t="shared" si="277"/>
        <v>0.12867849923925018</v>
      </c>
      <c r="AL205" s="552">
        <f t="shared" si="278"/>
        <v>-0.6192096802117929</v>
      </c>
      <c r="AM205" s="443">
        <f t="shared" ref="AM205:AV205" si="312">AM20</f>
        <v>82519.861713051796</v>
      </c>
      <c r="AN205" s="443">
        <f t="shared" si="312"/>
        <v>10047.9143223763</v>
      </c>
      <c r="AO205" s="443">
        <f t="shared" si="312"/>
        <v>9252.6314907073993</v>
      </c>
      <c r="AP205" s="443">
        <f t="shared" si="312"/>
        <v>7337.5224307179496</v>
      </c>
      <c r="AQ205" s="443">
        <f t="shared" si="312"/>
        <v>-32455.425308108301</v>
      </c>
      <c r="AR205" s="443">
        <f t="shared" si="312"/>
        <v>22474.460273981102</v>
      </c>
      <c r="AS205" s="443">
        <f t="shared" si="312"/>
        <v>720.18845824897301</v>
      </c>
      <c r="AT205" s="443">
        <f t="shared" si="312"/>
        <v>2259.7039258181999</v>
      </c>
      <c r="AU205" s="443">
        <f t="shared" si="312"/>
        <v>15130.5206237733</v>
      </c>
      <c r="AV205" s="443">
        <f t="shared" si="312"/>
        <v>67011.685314774499</v>
      </c>
      <c r="AW205" s="553">
        <f t="shared" ref="AW205:BB205" si="313">AW20</f>
        <v>-0.58674389636273117</v>
      </c>
      <c r="AX205" s="553">
        <f t="shared" si="313"/>
        <v>-0.23436999418583995</v>
      </c>
      <c r="AY205" s="553">
        <f t="shared" si="313"/>
        <v>-3.7864473396899414</v>
      </c>
      <c r="AZ205" s="538">
        <f t="shared" si="313"/>
        <v>-1.1825162525719444</v>
      </c>
      <c r="BA205" s="538">
        <f t="shared" si="313"/>
        <v>-0.25824677254088241</v>
      </c>
      <c r="BB205" s="538">
        <f t="shared" si="313"/>
        <v>-2.9625727949436866</v>
      </c>
    </row>
    <row r="206" spans="1:54" ht="15" customHeight="1">
      <c r="A206" s="449">
        <v>2016</v>
      </c>
      <c r="B206" s="449"/>
      <c r="C206" s="449"/>
      <c r="D206" s="441">
        <v>0.13</v>
      </c>
      <c r="E206" s="441"/>
      <c r="F206" s="441"/>
      <c r="G206" s="441"/>
      <c r="H206" s="441"/>
      <c r="I206" s="441"/>
      <c r="J206" s="438" t="s">
        <v>207</v>
      </c>
      <c r="K206" s="543">
        <f t="shared" si="297"/>
        <v>9.9762319090196829</v>
      </c>
      <c r="L206" s="543">
        <f t="shared" si="297"/>
        <v>9.9606376540427561</v>
      </c>
      <c r="M206" s="543">
        <f t="shared" si="297"/>
        <v>10.355055696395604</v>
      </c>
      <c r="N206" s="543">
        <f t="shared" si="297"/>
        <v>10.382549503273609</v>
      </c>
      <c r="O206" s="543">
        <f t="shared" si="297"/>
        <v>10.246698802221225</v>
      </c>
      <c r="P206" s="550">
        <f t="shared" si="257"/>
        <v>-8.1953931691818763E-2</v>
      </c>
      <c r="Q206" s="550">
        <f t="shared" si="258"/>
        <v>3.8098705589549142E-2</v>
      </c>
      <c r="R206" s="550">
        <f t="shared" si="259"/>
        <v>-6.6423439735422876E-2</v>
      </c>
      <c r="S206" s="550">
        <f t="shared" si="260"/>
        <v>-3.7600143703969892E-2</v>
      </c>
      <c r="T206" s="550">
        <f t="shared" si="261"/>
        <v>-4.1470033984569991E-2</v>
      </c>
      <c r="U206" s="551">
        <f t="shared" si="275"/>
        <v>0.57643165683004027</v>
      </c>
      <c r="V206" s="551">
        <f t="shared" si="262"/>
        <v>0.53745849458159367</v>
      </c>
      <c r="W206" s="551">
        <f t="shared" si="263"/>
        <v>0.60893583635966719</v>
      </c>
      <c r="X206" s="551">
        <f t="shared" si="264"/>
        <v>0.63246080578440689</v>
      </c>
      <c r="Y206" s="551">
        <f t="shared" si="265"/>
        <v>0.57075615491812959</v>
      </c>
      <c r="Z206" s="551">
        <f t="shared" si="266"/>
        <v>1.0095907108031821</v>
      </c>
      <c r="AA206" s="551">
        <f t="shared" si="267"/>
        <v>0.85698851120704411</v>
      </c>
      <c r="AB206" s="551">
        <f t="shared" si="268"/>
        <v>1.0430574989687538</v>
      </c>
      <c r="AC206" s="551">
        <f t="shared" si="269"/>
        <v>0.96760176591232883</v>
      </c>
      <c r="AD206" s="551">
        <f t="shared" si="270"/>
        <v>0.90127453257461565</v>
      </c>
      <c r="AE206" s="51"/>
      <c r="AF206" s="61">
        <f t="shared" si="271"/>
        <v>-3.1907581428035195E-2</v>
      </c>
      <c r="AG206" s="51"/>
      <c r="AH206" s="51"/>
      <c r="AI206" s="61">
        <f t="shared" si="276"/>
        <v>-9.0092711138624326E-2</v>
      </c>
      <c r="AJ206" s="51"/>
      <c r="AK206" s="536">
        <f t="shared" si="277"/>
        <v>0.10835689417437987</v>
      </c>
      <c r="AL206" s="552">
        <f t="shared" si="278"/>
        <v>3.8179681441537605E-2</v>
      </c>
      <c r="AM206" s="443">
        <f t="shared" ref="AM206:AV206" si="314">AM21</f>
        <v>9024.0317871198095</v>
      </c>
      <c r="AN206" s="443">
        <f t="shared" si="314"/>
        <v>11429.4591331184</v>
      </c>
      <c r="AO206" s="443">
        <f t="shared" si="314"/>
        <v>11778.319174796299</v>
      </c>
      <c r="AP206" s="443">
        <f t="shared" si="314"/>
        <v>12265.6611834466</v>
      </c>
      <c r="AQ206" s="443">
        <f t="shared" si="314"/>
        <v>13425.5388219506</v>
      </c>
      <c r="AR206" s="443">
        <f t="shared" si="314"/>
        <v>3011.3894870877298</v>
      </c>
      <c r="AS206" s="443">
        <f t="shared" si="314"/>
        <v>2603.5673152655399</v>
      </c>
      <c r="AT206" s="443">
        <f t="shared" si="314"/>
        <v>4720.7064762934997</v>
      </c>
      <c r="AU206" s="443">
        <f t="shared" si="314"/>
        <v>4472.8538029789897</v>
      </c>
      <c r="AV206" s="443">
        <f t="shared" si="314"/>
        <v>6885.2438674718096</v>
      </c>
      <c r="AW206" s="553">
        <f t="shared" ref="AW206:BB206" si="315">AW21</f>
        <v>-0.16978519263423408</v>
      </c>
      <c r="AX206" s="553">
        <f t="shared" si="315"/>
        <v>-0.27144932046892861</v>
      </c>
      <c r="AY206" s="553">
        <f t="shared" si="315"/>
        <v>-0.44203627731764578</v>
      </c>
      <c r="AZ206" s="538">
        <f t="shared" si="315"/>
        <v>-0.13428182920524565</v>
      </c>
      <c r="BA206" s="538">
        <f t="shared" si="315"/>
        <v>-0.20806302139992694</v>
      </c>
      <c r="BB206" s="538">
        <f t="shared" si="315"/>
        <v>-0.33845519715306632</v>
      </c>
    </row>
    <row r="207" spans="1:54" ht="15" customHeight="1">
      <c r="A207" s="449">
        <v>2012</v>
      </c>
      <c r="B207" s="449"/>
      <c r="C207" s="450"/>
      <c r="D207" s="452"/>
      <c r="E207" s="647"/>
      <c r="F207" s="452"/>
      <c r="G207" s="452"/>
      <c r="H207" s="647"/>
      <c r="I207" s="452"/>
      <c r="J207" s="438" t="s">
        <v>210</v>
      </c>
      <c r="K207" s="543">
        <f t="shared" si="297"/>
        <v>11.731614222874246</v>
      </c>
      <c r="L207" s="543">
        <f t="shared" si="297"/>
        <v>12.302036070650582</v>
      </c>
      <c r="M207" s="543">
        <f t="shared" si="297"/>
        <v>12.606076251127428</v>
      </c>
      <c r="N207" s="543">
        <f t="shared" si="297"/>
        <v>12.624918605440865</v>
      </c>
      <c r="O207" s="543">
        <f t="shared" si="297"/>
        <v>12.590581812589056</v>
      </c>
      <c r="P207" s="550">
        <f t="shared" si="257"/>
        <v>-0.12080961669385222</v>
      </c>
      <c r="Q207" s="550">
        <f t="shared" si="258"/>
        <v>-0.14662047241361356</v>
      </c>
      <c r="R207" s="550">
        <f t="shared" si="259"/>
        <v>0.30726079726446093</v>
      </c>
      <c r="S207" s="550">
        <f t="shared" si="260"/>
        <v>0.1747291291929772</v>
      </c>
      <c r="T207" s="550">
        <f t="shared" si="261"/>
        <v>0.10691128033100415</v>
      </c>
      <c r="U207" s="551">
        <f t="shared" si="275"/>
        <v>0.86598125719992003</v>
      </c>
      <c r="V207" s="551">
        <f t="shared" si="262"/>
        <v>0.81544934505673605</v>
      </c>
      <c r="W207" s="551">
        <f t="shared" si="263"/>
        <v>0.56296204457806087</v>
      </c>
      <c r="X207" s="551">
        <f t="shared" si="264"/>
        <v>0.60209459127960363</v>
      </c>
      <c r="Y207" s="551">
        <f t="shared" si="265"/>
        <v>0.69767100467275922</v>
      </c>
      <c r="Z207" s="551">
        <f t="shared" si="266"/>
        <v>1.0596991716058954</v>
      </c>
      <c r="AA207" s="551">
        <f t="shared" si="267"/>
        <v>1.0281441960681099</v>
      </c>
      <c r="AB207" s="551">
        <f t="shared" si="268"/>
        <v>1.3494335333472973</v>
      </c>
      <c r="AC207" s="551">
        <f t="shared" si="269"/>
        <v>0.61974354661227804</v>
      </c>
      <c r="AD207" s="551">
        <f t="shared" si="270"/>
        <v>0.48586475581731942</v>
      </c>
      <c r="AE207" s="51"/>
      <c r="AF207" s="61">
        <f t="shared" si="271"/>
        <v>0.36268360019954882</v>
      </c>
      <c r="AG207" s="51"/>
      <c r="AH207" s="51"/>
      <c r="AI207" s="61">
        <f t="shared" si="276"/>
        <v>0.77690891586083588</v>
      </c>
      <c r="AJ207" s="51"/>
      <c r="AK207" s="536">
        <f t="shared" si="277"/>
        <v>1.5494438538372445E-2</v>
      </c>
      <c r="AL207" s="552">
        <f t="shared" si="278"/>
        <v>-0.13470896009469835</v>
      </c>
      <c r="AM207" s="443">
        <f t="shared" ref="AM207:AV207" si="316">AM22</f>
        <v>15738.440392</v>
      </c>
      <c r="AN207" s="443">
        <f t="shared" si="316"/>
        <v>39515.701289999997</v>
      </c>
      <c r="AO207" s="443">
        <f t="shared" si="316"/>
        <v>96631.119709000006</v>
      </c>
      <c r="AP207" s="443">
        <f t="shared" si="316"/>
        <v>195209.21463599999</v>
      </c>
      <c r="AQ207" s="443">
        <f t="shared" si="316"/>
        <v>182803.543164</v>
      </c>
      <c r="AR207" s="443">
        <f t="shared" si="316"/>
        <v>78608.846313999995</v>
      </c>
      <c r="AS207" s="443">
        <f t="shared" si="316"/>
        <v>81952.471634999994</v>
      </c>
      <c r="AT207" s="443">
        <f t="shared" si="316"/>
        <v>25181.297430999999</v>
      </c>
      <c r="AU207" s="443">
        <f t="shared" si="316"/>
        <v>149580.06926399999</v>
      </c>
      <c r="AV207" s="443">
        <f t="shared" si="316"/>
        <v>235281.12022800001</v>
      </c>
      <c r="AW207" s="553">
        <f t="shared" ref="AW207:BB207" si="317">AW22</f>
        <v>0.13349243543877945</v>
      </c>
      <c r="AX207" s="553">
        <f t="shared" si="317"/>
        <v>0.35516001636713884</v>
      </c>
      <c r="AY207" s="553">
        <f t="shared" si="317"/>
        <v>3.6406456018878517</v>
      </c>
      <c r="AZ207" s="538">
        <f t="shared" si="317"/>
        <v>0.14507822466092701</v>
      </c>
      <c r="BA207" s="538">
        <f t="shared" si="317"/>
        <v>0.3221271751159604</v>
      </c>
      <c r="BB207" s="538">
        <f t="shared" si="317"/>
        <v>2.464173314934599</v>
      </c>
    </row>
    <row r="208" spans="1:54" ht="15" customHeight="1">
      <c r="A208" s="449">
        <v>2007</v>
      </c>
      <c r="B208" s="449"/>
      <c r="C208" s="450"/>
      <c r="D208" s="452"/>
      <c r="E208" s="647"/>
      <c r="F208" s="452"/>
      <c r="G208" s="452"/>
      <c r="H208" s="647"/>
      <c r="I208" s="452"/>
      <c r="J208" s="438" t="s">
        <v>211</v>
      </c>
      <c r="K208" s="543">
        <f t="shared" ref="K208:O217" si="318">LN(K23)</f>
        <v>10.171094484482378</v>
      </c>
      <c r="L208" s="543">
        <f t="shared" si="318"/>
        <v>10.237949663064036</v>
      </c>
      <c r="M208" s="543">
        <f t="shared" si="318"/>
        <v>12.269771509254101</v>
      </c>
      <c r="N208" s="543">
        <f t="shared" si="318"/>
        <v>12.23986716347795</v>
      </c>
      <c r="O208" s="543">
        <f t="shared" si="318"/>
        <v>12.44804833454431</v>
      </c>
      <c r="P208" s="550">
        <f t="shared" si="257"/>
        <v>0.14150799888446619</v>
      </c>
      <c r="Q208" s="550">
        <f t="shared" si="258"/>
        <v>0.39851343624928531</v>
      </c>
      <c r="R208" s="550">
        <f t="shared" si="259"/>
        <v>5.2462887989203788E-2</v>
      </c>
      <c r="S208" s="550">
        <f t="shared" si="260"/>
        <v>2.9776674937965257E-2</v>
      </c>
      <c r="T208" s="550">
        <f t="shared" si="261"/>
        <v>7.1756847846069005E-2</v>
      </c>
      <c r="U208" s="551">
        <f t="shared" si="275"/>
        <v>0.26376275796506327</v>
      </c>
      <c r="V208" s="551">
        <f t="shared" si="262"/>
        <v>0.22279478629887844</v>
      </c>
      <c r="W208" s="551">
        <f t="shared" si="263"/>
        <v>0.76096196868008947</v>
      </c>
      <c r="X208" s="551">
        <f t="shared" si="264"/>
        <v>0.7384615384615385</v>
      </c>
      <c r="Y208" s="551">
        <f t="shared" si="265"/>
        <v>0.8562041710313304</v>
      </c>
      <c r="Z208" s="551">
        <f t="shared" si="266"/>
        <v>0.41663123704398114</v>
      </c>
      <c r="AA208" s="551">
        <f t="shared" si="267"/>
        <v>0.53016065474386176</v>
      </c>
      <c r="AB208" s="551">
        <f t="shared" si="268"/>
        <v>1.3261744966442952</v>
      </c>
      <c r="AC208" s="551">
        <f t="shared" si="269"/>
        <v>1.86</v>
      </c>
      <c r="AD208" s="551">
        <f t="shared" si="270"/>
        <v>1.5540424721455099</v>
      </c>
      <c r="AE208" s="51"/>
      <c r="AF208" s="61">
        <f t="shared" si="271"/>
        <v>-4.1938245148485917E-2</v>
      </c>
      <c r="AG208" s="51"/>
      <c r="AH208" s="51"/>
      <c r="AI208" s="61">
        <f t="shared" si="276"/>
        <v>-0.48443445196118834</v>
      </c>
      <c r="AJ208" s="51"/>
      <c r="AK208" s="536">
        <f t="shared" si="277"/>
        <v>-0.17827682529021005</v>
      </c>
      <c r="AL208" s="552">
        <f t="shared" si="278"/>
        <v>-9.5242202351240923E-2</v>
      </c>
      <c r="AM208" s="443">
        <f t="shared" ref="AM208:AV208" si="319">AM23</f>
        <v>46186.618122</v>
      </c>
      <c r="AN208" s="443">
        <f t="shared" si="319"/>
        <v>40965.027999999998</v>
      </c>
      <c r="AO208" s="443">
        <f t="shared" si="319"/>
        <v>38420.268199999999</v>
      </c>
      <c r="AP208" s="443">
        <f t="shared" si="319"/>
        <v>29089.039999999997</v>
      </c>
      <c r="AQ208" s="443">
        <f t="shared" si="319"/>
        <v>23572.308000000001</v>
      </c>
      <c r="AR208" s="443">
        <f t="shared" si="319"/>
        <v>1853.912251</v>
      </c>
      <c r="AS208" s="443">
        <f t="shared" si="319"/>
        <v>1901.2629999999999</v>
      </c>
      <c r="AT208" s="443">
        <f t="shared" si="319"/>
        <v>7551.0119999999997</v>
      </c>
      <c r="AU208" s="443">
        <f t="shared" si="319"/>
        <v>8555.5999999999985</v>
      </c>
      <c r="AV208" s="443">
        <f t="shared" si="319"/>
        <v>15782.5188</v>
      </c>
      <c r="AW208" s="553">
        <f t="shared" ref="AW208:BB208" si="320">AW23</f>
        <v>1.1582591493570722</v>
      </c>
      <c r="AX208" s="553">
        <f t="shared" si="320"/>
        <v>0.72000000000000008</v>
      </c>
      <c r="AY208" s="553">
        <f t="shared" si="320"/>
        <v>1.480952380952381</v>
      </c>
      <c r="AZ208" s="538">
        <f t="shared" si="320"/>
        <v>1.1032195040348003</v>
      </c>
      <c r="BA208" s="538">
        <f t="shared" si="320"/>
        <v>0.58707692307692316</v>
      </c>
      <c r="BB208" s="538">
        <f t="shared" si="320"/>
        <v>1.1965233834025781</v>
      </c>
    </row>
    <row r="209" spans="1:54" ht="15" customHeight="1">
      <c r="A209" s="449">
        <v>2004</v>
      </c>
      <c r="B209" s="449"/>
      <c r="C209" s="450"/>
      <c r="D209" s="452"/>
      <c r="E209" s="647"/>
      <c r="F209" s="452"/>
      <c r="G209" s="452"/>
      <c r="H209" s="647"/>
      <c r="I209" s="452"/>
      <c r="J209" s="438" t="s">
        <v>212</v>
      </c>
      <c r="K209" s="543">
        <f t="shared" si="318"/>
        <v>10.479856392564475</v>
      </c>
      <c r="L209" s="543">
        <f t="shared" si="318"/>
        <v>10.98544227102701</v>
      </c>
      <c r="M209" s="543">
        <f t="shared" si="318"/>
        <v>10.946472343149781</v>
      </c>
      <c r="N209" s="543">
        <f t="shared" si="318"/>
        <v>10.747878463264898</v>
      </c>
      <c r="O209" s="543">
        <f t="shared" si="318"/>
        <v>10.577635535963427</v>
      </c>
      <c r="P209" s="550">
        <f t="shared" si="257"/>
        <v>0.24519230769230771</v>
      </c>
      <c r="Q209" s="550">
        <f t="shared" si="258"/>
        <v>0.62962962962962954</v>
      </c>
      <c r="R209" s="550">
        <f t="shared" si="259"/>
        <v>0.65479452054794529</v>
      </c>
      <c r="S209" s="550">
        <f t="shared" si="260"/>
        <v>0.66773162939297115</v>
      </c>
      <c r="T209" s="550">
        <f t="shared" si="261"/>
        <v>0.69784172661870503</v>
      </c>
      <c r="U209" s="551">
        <f t="shared" si="275"/>
        <v>0.95912645333882085</v>
      </c>
      <c r="V209" s="551">
        <f t="shared" si="262"/>
        <v>0.93189660048645284</v>
      </c>
      <c r="W209" s="551">
        <f t="shared" si="263"/>
        <v>0.93468118195956451</v>
      </c>
      <c r="X209" s="551">
        <f t="shared" si="264"/>
        <v>0.93248193248193256</v>
      </c>
      <c r="Y209" s="551">
        <f t="shared" si="265"/>
        <v>0.93117928784618587</v>
      </c>
      <c r="Z209" s="551">
        <f t="shared" si="266"/>
        <v>5.3503446856672495E-3</v>
      </c>
      <c r="AA209" s="551">
        <f t="shared" si="267"/>
        <v>1.0690649923638215E-2</v>
      </c>
      <c r="AB209" s="551">
        <f t="shared" si="268"/>
        <v>1.0710408169253791E-2</v>
      </c>
      <c r="AC209" s="551">
        <f t="shared" si="269"/>
        <v>1.0329010329010331E-2</v>
      </c>
      <c r="AD209" s="551">
        <f t="shared" si="270"/>
        <v>9.6480877351287578E-3</v>
      </c>
      <c r="AE209" s="51"/>
      <c r="AF209" s="61">
        <f t="shared" si="271"/>
        <v>2.802783784083291E-4</v>
      </c>
      <c r="AG209" s="51"/>
      <c r="AH209" s="51"/>
      <c r="AI209" s="61">
        <f t="shared" si="276"/>
        <v>9.5359069611916925E-3</v>
      </c>
      <c r="AJ209" s="51"/>
      <c r="AK209" s="536">
        <f t="shared" si="277"/>
        <v>0.36883680718635425</v>
      </c>
      <c r="AL209" s="552">
        <f t="shared" si="278"/>
        <v>3.5018941133786452E-3</v>
      </c>
      <c r="AM209" s="443">
        <f t="shared" ref="AM209:AV209" si="321">AM24</f>
        <v>271896.96799999999</v>
      </c>
      <c r="AN209" s="443">
        <f t="shared" si="321"/>
        <v>375908.06400000001</v>
      </c>
      <c r="AO209" s="443">
        <f t="shared" si="321"/>
        <v>346118.51399999997</v>
      </c>
      <c r="AP209" s="443">
        <f t="shared" si="321"/>
        <v>304162.45199999999</v>
      </c>
      <c r="AQ209" s="443">
        <f t="shared" si="321"/>
        <v>279953.99099999998</v>
      </c>
      <c r="AR209" s="443">
        <f t="shared" si="321"/>
        <v>216970.01599999997</v>
      </c>
      <c r="AS209" s="443">
        <f t="shared" si="321"/>
        <v>194198.35199999998</v>
      </c>
      <c r="AT209" s="443">
        <f t="shared" si="321"/>
        <v>195916.13999999998</v>
      </c>
      <c r="AU209" s="443">
        <f t="shared" si="321"/>
        <v>141228.9</v>
      </c>
      <c r="AV209" s="443">
        <f t="shared" si="321"/>
        <v>98823.9</v>
      </c>
      <c r="AW209" s="553">
        <f t="shared" ref="AW209:BB209" si="322">AW24</f>
        <v>0.27714285714285714</v>
      </c>
      <c r="AX209" s="553">
        <f t="shared" si="322"/>
        <v>0.21999999999999997</v>
      </c>
      <c r="AY209" s="553">
        <f t="shared" si="322"/>
        <v>0.1896825396825397</v>
      </c>
      <c r="AZ209" s="538">
        <f t="shared" si="322"/>
        <v>0.26480252654959396</v>
      </c>
      <c r="BA209" s="538">
        <f t="shared" si="322"/>
        <v>0.21204303204303204</v>
      </c>
      <c r="BB209" s="538">
        <f t="shared" si="322"/>
        <v>0.18430581696962756</v>
      </c>
    </row>
    <row r="210" spans="1:54" ht="15" customHeight="1">
      <c r="A210" s="449">
        <v>2008</v>
      </c>
      <c r="B210" s="449"/>
      <c r="C210" s="450"/>
      <c r="D210" s="453">
        <v>0.48</v>
      </c>
      <c r="E210" s="453"/>
      <c r="F210" s="453"/>
      <c r="G210" s="453"/>
      <c r="H210" s="453"/>
      <c r="I210" s="453"/>
      <c r="J210" s="438" t="s">
        <v>245</v>
      </c>
      <c r="K210" s="543">
        <f t="shared" si="318"/>
        <v>12.478299041561542</v>
      </c>
      <c r="L210" s="543">
        <f t="shared" si="318"/>
        <v>12.30382166810195</v>
      </c>
      <c r="M210" s="543">
        <f t="shared" si="318"/>
        <v>12.156084838149832</v>
      </c>
      <c r="N210" s="543">
        <f t="shared" si="318"/>
        <v>12.114268278840257</v>
      </c>
      <c r="O210" s="543">
        <f t="shared" si="318"/>
        <v>11.933230739078434</v>
      </c>
      <c r="P210" s="550">
        <f t="shared" si="257"/>
        <v>-5.4827550556784392E-2</v>
      </c>
      <c r="Q210" s="550">
        <f t="shared" si="258"/>
        <v>-0.5161989880233403</v>
      </c>
      <c r="R210" s="550">
        <f t="shared" si="259"/>
        <v>-1.03521859513606E-2</v>
      </c>
      <c r="S210" s="550">
        <f t="shared" si="260"/>
        <v>-4.4329485493001461E-2</v>
      </c>
      <c r="T210" s="550">
        <f t="shared" si="261"/>
        <v>5.2135210317794826E-2</v>
      </c>
      <c r="U210" s="551">
        <f t="shared" si="275"/>
        <v>0.6094890261995578</v>
      </c>
      <c r="V210" s="551">
        <f t="shared" si="262"/>
        <v>0.5381477640084058</v>
      </c>
      <c r="W210" s="551">
        <f t="shared" si="263"/>
        <v>0.32647952252293511</v>
      </c>
      <c r="X210" s="551">
        <f t="shared" si="264"/>
        <v>0.58850638889552975</v>
      </c>
      <c r="Y210" s="551">
        <f t="shared" si="265"/>
        <v>0.53597011103966552</v>
      </c>
      <c r="Z210" s="551">
        <f t="shared" si="266"/>
        <v>0.83574144918968385</v>
      </c>
      <c r="AA210" s="551">
        <f t="shared" si="267"/>
        <v>0.70771322871540454</v>
      </c>
      <c r="AB210" s="551">
        <f t="shared" si="268"/>
        <v>0.50490375662102549</v>
      </c>
      <c r="AC210" s="551">
        <f t="shared" si="269"/>
        <v>0.26088086477782502</v>
      </c>
      <c r="AD210" s="551">
        <f t="shared" si="270"/>
        <v>0.40035160835850553</v>
      </c>
      <c r="AE210" s="51"/>
      <c r="AF210" s="61">
        <f t="shared" si="271"/>
        <v>-2.6099272878919482E-2</v>
      </c>
      <c r="AG210" s="51"/>
      <c r="AH210" s="51"/>
      <c r="AI210" s="61">
        <f t="shared" si="276"/>
        <v>-5.2741302650583292E-2</v>
      </c>
      <c r="AJ210" s="51"/>
      <c r="AK210" s="536">
        <f t="shared" si="277"/>
        <v>0.22285409907139805</v>
      </c>
      <c r="AL210" s="552">
        <f t="shared" si="278"/>
        <v>-0.20949058851673041</v>
      </c>
      <c r="AM210" s="443">
        <f t="shared" ref="AM210:AV210" si="323">AM25</f>
        <v>122692.415868</v>
      </c>
      <c r="AN210" s="443">
        <f t="shared" si="323"/>
        <v>143922.13527500001</v>
      </c>
      <c r="AO210" s="443">
        <f t="shared" si="323"/>
        <v>253783.14155999999</v>
      </c>
      <c r="AP210" s="443">
        <f t="shared" si="323"/>
        <v>287793.33843</v>
      </c>
      <c r="AQ210" s="443">
        <f t="shared" si="323"/>
        <v>176457.53887999998</v>
      </c>
      <c r="AR210" s="443">
        <f t="shared" si="323"/>
        <v>97864.535736000005</v>
      </c>
      <c r="AS210" s="443">
        <f t="shared" si="323"/>
        <v>101568.747032</v>
      </c>
      <c r="AT210" s="443">
        <f t="shared" si="323"/>
        <v>630.45241999999996</v>
      </c>
      <c r="AU210" s="443">
        <f t="shared" si="323"/>
        <v>58738.962776</v>
      </c>
      <c r="AV210" s="443">
        <f t="shared" si="323"/>
        <v>142335.92384799998</v>
      </c>
      <c r="AW210" s="553">
        <f t="shared" ref="AW210:BB210" si="324">AW25</f>
        <v>5.5763864928969779E-2</v>
      </c>
      <c r="AX210" s="553">
        <f t="shared" si="324"/>
        <v>-0.13769757220338152</v>
      </c>
      <c r="AY210" s="553">
        <f t="shared" si="324"/>
        <v>-3.1239229599594527</v>
      </c>
      <c r="AZ210" s="538">
        <f t="shared" si="324"/>
        <v>5.0760203021504469E-2</v>
      </c>
      <c r="BA210" s="538">
        <f t="shared" si="324"/>
        <v>-9.2600615487663809E-2</v>
      </c>
      <c r="BB210" s="538">
        <f t="shared" si="324"/>
        <v>-1.0251237339420776</v>
      </c>
    </row>
    <row r="211" spans="1:54" ht="15" customHeight="1">
      <c r="A211" s="449">
        <v>2008</v>
      </c>
      <c r="B211" s="449"/>
      <c r="C211" s="450"/>
      <c r="D211" s="454">
        <v>0.3</v>
      </c>
      <c r="E211" s="648"/>
      <c r="F211" s="454"/>
      <c r="G211" s="454"/>
      <c r="H211" s="648"/>
      <c r="I211" s="454"/>
      <c r="J211" s="438" t="s">
        <v>256</v>
      </c>
      <c r="K211" s="543">
        <f t="shared" si="318"/>
        <v>10.873830768729865</v>
      </c>
      <c r="L211" s="543">
        <f t="shared" si="318"/>
        <v>12.054301632049684</v>
      </c>
      <c r="M211" s="543">
        <f t="shared" si="318"/>
        <v>12.605865027441876</v>
      </c>
      <c r="N211" s="543">
        <f t="shared" si="318"/>
        <v>12.659082698399338</v>
      </c>
      <c r="O211" s="543">
        <f t="shared" si="318"/>
        <v>12.170347017445081</v>
      </c>
      <c r="P211" s="550">
        <f t="shared" si="257"/>
        <v>0.10548155446501317</v>
      </c>
      <c r="Q211" s="550">
        <f t="shared" si="258"/>
        <v>-9.2558645693302369E-2</v>
      </c>
      <c r="R211" s="550">
        <f t="shared" si="259"/>
        <v>-0.30464661770079415</v>
      </c>
      <c r="S211" s="550">
        <f t="shared" si="260"/>
        <v>3.5075395412704061E-2</v>
      </c>
      <c r="T211" s="550">
        <f t="shared" si="261"/>
        <v>0.29321021240432998</v>
      </c>
      <c r="U211" s="551">
        <f t="shared" si="275"/>
        <v>0.37424794804366884</v>
      </c>
      <c r="V211" s="551">
        <f t="shared" si="262"/>
        <v>0.15807431216381326</v>
      </c>
      <c r="W211" s="551">
        <f t="shared" si="263"/>
        <v>0.55587717561703787</v>
      </c>
      <c r="X211" s="551">
        <f t="shared" si="264"/>
        <v>0.46795337656529518</v>
      </c>
      <c r="Y211" s="551">
        <f t="shared" si="265"/>
        <v>0.46941448939711949</v>
      </c>
      <c r="Z211" s="551">
        <f t="shared" si="266"/>
        <v>0.262854609929078</v>
      </c>
      <c r="AA211" s="551">
        <f t="shared" si="267"/>
        <v>0.871167914666234</v>
      </c>
      <c r="AB211" s="551">
        <f t="shared" si="268"/>
        <v>0.79802408761857879</v>
      </c>
      <c r="AC211" s="551">
        <f t="shared" si="269"/>
        <v>0.54961426654740608</v>
      </c>
      <c r="AD211" s="551">
        <f t="shared" si="270"/>
        <v>0.34917312006947965</v>
      </c>
      <c r="AE211" s="51"/>
      <c r="AF211" s="61">
        <f t="shared" si="271"/>
        <v>-0.34549646383821697</v>
      </c>
      <c r="AG211" s="51"/>
      <c r="AH211" s="51"/>
      <c r="AI211" s="61">
        <f t="shared" si="276"/>
        <v>-0.74036374719073827</v>
      </c>
      <c r="AJ211" s="51"/>
      <c r="AK211" s="536">
        <f t="shared" si="277"/>
        <v>0.43551800999679458</v>
      </c>
      <c r="AL211" s="552">
        <f t="shared" si="278"/>
        <v>8.6462686219918372E-2</v>
      </c>
      <c r="AM211" s="443">
        <f t="shared" ref="AM211:AV211" si="325">AM26</f>
        <v>125641</v>
      </c>
      <c r="AN211" s="443">
        <f t="shared" si="325"/>
        <v>166070</v>
      </c>
      <c r="AO211" s="443">
        <f t="shared" si="325"/>
        <v>166014</v>
      </c>
      <c r="AP211" s="443">
        <f t="shared" si="325"/>
        <v>304552</v>
      </c>
      <c r="AQ211" s="443">
        <f t="shared" si="325"/>
        <v>293245</v>
      </c>
      <c r="AR211" s="443">
        <f t="shared" si="325"/>
        <v>0</v>
      </c>
      <c r="AS211" s="443">
        <f t="shared" si="325"/>
        <v>0</v>
      </c>
      <c r="AT211" s="443">
        <f t="shared" si="325"/>
        <v>73528</v>
      </c>
      <c r="AU211" s="443">
        <f t="shared" si="325"/>
        <v>102512</v>
      </c>
      <c r="AV211" s="443">
        <f t="shared" si="325"/>
        <v>141620</v>
      </c>
      <c r="AW211" s="553">
        <f t="shared" ref="AW211:BB211" si="326">AW26</f>
        <v>0.39954808642847056</v>
      </c>
      <c r="AX211" s="553">
        <f t="shared" si="326"/>
        <v>0.10764593413454035</v>
      </c>
      <c r="AY211" s="553">
        <f t="shared" si="326"/>
        <v>-1.2359509302578608</v>
      </c>
      <c r="AZ211" s="538">
        <f t="shared" si="326"/>
        <v>0.2899342610848874</v>
      </c>
      <c r="BA211" s="538">
        <f t="shared" si="326"/>
        <v>6.9651216075397121E-2</v>
      </c>
      <c r="BB211" s="538">
        <f t="shared" si="326"/>
        <v>-0.93015225144975244</v>
      </c>
    </row>
    <row r="212" spans="1:54" ht="15" customHeight="1">
      <c r="A212" s="449">
        <v>2006</v>
      </c>
      <c r="B212" s="449"/>
      <c r="C212" s="450"/>
      <c r="D212" s="454">
        <v>0.31</v>
      </c>
      <c r="E212" s="648"/>
      <c r="F212" s="454"/>
      <c r="G212" s="454"/>
      <c r="H212" s="648"/>
      <c r="I212" s="454"/>
      <c r="J212" s="438" t="s">
        <v>257</v>
      </c>
      <c r="K212" s="543">
        <f t="shared" si="318"/>
        <v>10.722015616534076</v>
      </c>
      <c r="L212" s="543">
        <f t="shared" si="318"/>
        <v>11.036702009124363</v>
      </c>
      <c r="M212" s="543">
        <f t="shared" si="318"/>
        <v>10.840102835715722</v>
      </c>
      <c r="N212" s="543">
        <f t="shared" si="318"/>
        <v>10.602243295465078</v>
      </c>
      <c r="O212" s="543">
        <f t="shared" si="318"/>
        <v>10.648239832876019</v>
      </c>
      <c r="P212" s="550">
        <f t="shared" si="257"/>
        <v>0.13236646547076669</v>
      </c>
      <c r="Q212" s="550">
        <f t="shared" si="258"/>
        <v>0.19654972791478525</v>
      </c>
      <c r="R212" s="550">
        <f t="shared" si="259"/>
        <v>0.15854476435752465</v>
      </c>
      <c r="S212" s="550">
        <f t="shared" si="260"/>
        <v>0.12386193407173406</v>
      </c>
      <c r="T212" s="550">
        <f t="shared" si="261"/>
        <v>0.19273692487734287</v>
      </c>
      <c r="U212" s="551">
        <f t="shared" si="275"/>
        <v>0.66424708003449084</v>
      </c>
      <c r="V212" s="551">
        <f t="shared" si="262"/>
        <v>0.67104305605833858</v>
      </c>
      <c r="W212" s="551">
        <f t="shared" si="263"/>
        <v>0.51261258706890855</v>
      </c>
      <c r="X212" s="551">
        <f t="shared" si="264"/>
        <v>0.47891827383163887</v>
      </c>
      <c r="Y212" s="551">
        <f t="shared" si="265"/>
        <v>0.52261912622427642</v>
      </c>
      <c r="Z212" s="551">
        <f t="shared" si="266"/>
        <v>1.112342243474171</v>
      </c>
      <c r="AA212" s="551">
        <f t="shared" si="267"/>
        <v>1.2893305915589672</v>
      </c>
      <c r="AB212" s="551">
        <f t="shared" si="268"/>
        <v>1.4091978791573336</v>
      </c>
      <c r="AC212" s="551">
        <f t="shared" si="269"/>
        <v>1.4505240877720358</v>
      </c>
      <c r="AD212" s="551">
        <f t="shared" si="270"/>
        <v>1.1923715197534941</v>
      </c>
      <c r="AE212" s="51"/>
      <c r="AF212" s="61">
        <f t="shared" si="271"/>
        <v>-6.3930743444893245E-3</v>
      </c>
      <c r="AG212" s="51"/>
      <c r="AH212" s="51"/>
      <c r="AI212" s="61">
        <f t="shared" si="276"/>
        <v>-2.2991885196963269E-2</v>
      </c>
      <c r="AJ212" s="51"/>
      <c r="AK212" s="536">
        <f t="shared" si="277"/>
        <v>0.1918630028397027</v>
      </c>
      <c r="AL212" s="552">
        <f t="shared" si="278"/>
        <v>-1.0006539155367866E-2</v>
      </c>
      <c r="AM212" s="443">
        <f t="shared" ref="AM212:AV212" si="327">AM27</f>
        <v>13686.53728</v>
      </c>
      <c r="AN212" s="443">
        <f t="shared" si="327"/>
        <v>15847.23697</v>
      </c>
      <c r="AO212" s="443">
        <f t="shared" si="327"/>
        <v>17648.149455999999</v>
      </c>
      <c r="AP212" s="443">
        <f t="shared" si="327"/>
        <v>14450.293127999999</v>
      </c>
      <c r="AQ212" s="443">
        <f t="shared" si="327"/>
        <v>16862.937538999999</v>
      </c>
      <c r="AR212" s="443">
        <f t="shared" si="327"/>
        <v>2732.5463099999997</v>
      </c>
      <c r="AS212" s="443">
        <f t="shared" si="327"/>
        <v>2575.4344500000002</v>
      </c>
      <c r="AT212" s="443">
        <f t="shared" si="327"/>
        <v>3093.8760719999996</v>
      </c>
      <c r="AU212" s="443">
        <f t="shared" si="327"/>
        <v>663.61510799999996</v>
      </c>
      <c r="AV212" s="443">
        <f t="shared" si="327"/>
        <v>1255.7291639999999</v>
      </c>
      <c r="AW212" s="553">
        <f t="shared" ref="AW212:BB212" si="328">AW27</f>
        <v>6.4645864289252106</v>
      </c>
      <c r="AX212" s="553">
        <f t="shared" si="328"/>
        <v>7.5078804987061876</v>
      </c>
      <c r="AY212" s="553">
        <f t="shared" si="328"/>
        <v>2.6148443117084232</v>
      </c>
      <c r="AZ212" s="538">
        <f t="shared" si="328"/>
        <v>3.6082987642260198</v>
      </c>
      <c r="BA212" s="538">
        <f t="shared" si="328"/>
        <v>3.7753258875036741</v>
      </c>
      <c r="BB212" s="538">
        <f t="shared" si="328"/>
        <v>1.563823053091397</v>
      </c>
    </row>
    <row r="213" spans="1:54" ht="15" customHeight="1">
      <c r="A213" s="449">
        <v>2005</v>
      </c>
      <c r="B213" s="449"/>
      <c r="C213" s="450"/>
      <c r="D213" s="452"/>
      <c r="E213" s="647"/>
      <c r="F213" s="452"/>
      <c r="G213" s="452"/>
      <c r="H213" s="647"/>
      <c r="I213" s="452"/>
      <c r="J213" s="438" t="s">
        <v>258</v>
      </c>
      <c r="K213" s="543">
        <f t="shared" si="318"/>
        <v>9.1176931653094169</v>
      </c>
      <c r="L213" s="543">
        <f t="shared" si="318"/>
        <v>9.1123649133096123</v>
      </c>
      <c r="M213" s="543">
        <f t="shared" si="318"/>
        <v>9.0061285305843963</v>
      </c>
      <c r="N213" s="543">
        <f t="shared" si="318"/>
        <v>9.0491331561586819</v>
      </c>
      <c r="O213" s="543">
        <f t="shared" si="318"/>
        <v>9.0012878213055814</v>
      </c>
      <c r="P213" s="550">
        <f t="shared" si="257"/>
        <v>-2.2682445759368837E-3</v>
      </c>
      <c r="Q213" s="550">
        <f t="shared" si="258"/>
        <v>7.294241983882839E-2</v>
      </c>
      <c r="R213" s="550">
        <f t="shared" si="259"/>
        <v>8.9533948607973049E-2</v>
      </c>
      <c r="S213" s="550">
        <f t="shared" si="260"/>
        <v>4.5142314297197561E-2</v>
      </c>
      <c r="T213" s="550">
        <f t="shared" si="261"/>
        <v>0.21038166260512672</v>
      </c>
      <c r="U213" s="551">
        <f t="shared" si="275"/>
        <v>0.58984947382443054</v>
      </c>
      <c r="V213" s="551">
        <f t="shared" si="262"/>
        <v>0.63611702287101712</v>
      </c>
      <c r="W213" s="551">
        <f t="shared" si="263"/>
        <v>0.57422445417957757</v>
      </c>
      <c r="X213" s="551">
        <f t="shared" si="264"/>
        <v>0.48108798901329464</v>
      </c>
      <c r="Y213" s="551">
        <f t="shared" si="265"/>
        <v>0.41335124924538952</v>
      </c>
      <c r="Z213" s="551">
        <f t="shared" si="266"/>
        <v>0.96481379284096747</v>
      </c>
      <c r="AA213" s="551">
        <f t="shared" si="267"/>
        <v>0.79414585893708223</v>
      </c>
      <c r="AB213" s="551">
        <f t="shared" si="268"/>
        <v>0.93004950671368025</v>
      </c>
      <c r="AC213" s="551">
        <f t="shared" si="269"/>
        <v>1.0440803402826788</v>
      </c>
      <c r="AD213" s="551">
        <f t="shared" si="270"/>
        <v>1.0628225351015559</v>
      </c>
      <c r="AE213" s="51"/>
      <c r="AF213" s="61">
        <f t="shared" si="271"/>
        <v>-0.14032736725188766</v>
      </c>
      <c r="AG213" s="51"/>
      <c r="AH213" s="51"/>
      <c r="AI213" s="61">
        <f t="shared" si="276"/>
        <v>-0.18557034009832238</v>
      </c>
      <c r="AJ213" s="51"/>
      <c r="AK213" s="536">
        <f t="shared" si="277"/>
        <v>4.8407092788148535E-3</v>
      </c>
      <c r="AL213" s="552">
        <f t="shared" si="278"/>
        <v>0.16087320493418805</v>
      </c>
      <c r="AM213" s="443">
        <f t="shared" ref="AM213:AV213" si="329">AM28</f>
        <v>3874.9276580000001</v>
      </c>
      <c r="AN213" s="443">
        <f t="shared" si="329"/>
        <v>4154.4282479999993</v>
      </c>
      <c r="AO213" s="443">
        <f t="shared" si="329"/>
        <v>3732.386172</v>
      </c>
      <c r="AP213" s="443">
        <f t="shared" si="329"/>
        <v>4230.0782449999997</v>
      </c>
      <c r="AQ213" s="443">
        <f t="shared" si="329"/>
        <v>4478.4427499999993</v>
      </c>
      <c r="AR213" s="443">
        <f t="shared" si="329"/>
        <v>1510.2024000000001</v>
      </c>
      <c r="AS213" s="443">
        <f t="shared" si="329"/>
        <v>1296.8578479999999</v>
      </c>
      <c r="AT213" s="443">
        <f t="shared" si="329"/>
        <v>887.00565599999993</v>
      </c>
      <c r="AU213" s="443">
        <f t="shared" si="329"/>
        <v>1306.1075999999998</v>
      </c>
      <c r="AV213" s="443">
        <f t="shared" si="329"/>
        <v>1782.3087179999998</v>
      </c>
      <c r="AW213" s="553">
        <f t="shared" ref="AW213:BB213" si="330">AW28</f>
        <v>0.95771123529902413</v>
      </c>
      <c r="AX213" s="553">
        <f t="shared" si="330"/>
        <v>0.29416666666666669</v>
      </c>
      <c r="AY213" s="553">
        <f t="shared" si="330"/>
        <v>0.82294966561070049</v>
      </c>
      <c r="AZ213" s="538">
        <f t="shared" si="330"/>
        <v>0.61946950751605789</v>
      </c>
      <c r="BA213" s="538">
        <f t="shared" si="330"/>
        <v>0.18865225297397653</v>
      </c>
      <c r="BB213" s="538">
        <f t="shared" si="330"/>
        <v>0.55582882728954364</v>
      </c>
    </row>
    <row r="214" spans="1:54" ht="15" customHeight="1">
      <c r="A214" s="680">
        <v>2013</v>
      </c>
      <c r="B214" s="680"/>
      <c r="C214" s="735"/>
      <c r="D214" s="705">
        <v>0.1</v>
      </c>
      <c r="E214" s="705"/>
      <c r="F214" s="705"/>
      <c r="G214" s="705"/>
      <c r="H214" s="705"/>
      <c r="I214" s="705"/>
      <c r="J214" s="708" t="s">
        <v>259</v>
      </c>
      <c r="K214" s="748">
        <f t="shared" si="318"/>
        <v>8.2545288819397449</v>
      </c>
      <c r="L214" s="748">
        <f t="shared" si="318"/>
        <v>8.3923100092695471</v>
      </c>
      <c r="M214" s="748">
        <f t="shared" si="318"/>
        <v>8.4071550862073003</v>
      </c>
      <c r="N214" s="748">
        <f t="shared" si="318"/>
        <v>7.5485698345472692</v>
      </c>
      <c r="O214" s="748">
        <f t="shared" si="318"/>
        <v>6.7740699874141974</v>
      </c>
      <c r="P214" s="747">
        <f t="shared" si="257"/>
        <v>-11.498829648894668</v>
      </c>
      <c r="Q214" s="747">
        <f t="shared" si="258"/>
        <v>-7.2032630863358262</v>
      </c>
      <c r="R214" s="747">
        <f t="shared" si="259"/>
        <v>-5.7593212770707751</v>
      </c>
      <c r="S214" s="747">
        <f t="shared" si="260"/>
        <v>-7.2154246100520298</v>
      </c>
      <c r="T214" s="747">
        <f t="shared" si="261"/>
        <v>-9.5885491483685534</v>
      </c>
      <c r="U214" s="747">
        <f t="shared" si="275"/>
        <v>0.19819655443947221</v>
      </c>
      <c r="V214" s="747">
        <f t="shared" si="262"/>
        <v>0.17340264967298341</v>
      </c>
      <c r="W214" s="747">
        <f t="shared" si="263"/>
        <v>0.11563847146788768</v>
      </c>
      <c r="X214" s="747">
        <f t="shared" si="264"/>
        <v>0.12160379577270373</v>
      </c>
      <c r="Y214" s="747">
        <f t="shared" si="265"/>
        <v>0.24589179860433769</v>
      </c>
      <c r="Z214" s="747">
        <f t="shared" si="266"/>
        <v>3.6923579234447924E-2</v>
      </c>
      <c r="AA214" s="747">
        <f t="shared" si="267"/>
        <v>0.14801274526245178</v>
      </c>
      <c r="AB214" s="747">
        <f t="shared" si="268"/>
        <v>0.10908692369517037</v>
      </c>
      <c r="AC214" s="747">
        <f t="shared" si="269"/>
        <v>3.9334785380003283E-2</v>
      </c>
      <c r="AD214" s="747">
        <f t="shared" si="270"/>
        <v>0.12188289437482813</v>
      </c>
      <c r="AE214" s="751"/>
      <c r="AF214" s="766">
        <f t="shared" si="271"/>
        <v>0.540413482370662</v>
      </c>
      <c r="AG214" s="751"/>
      <c r="AH214" s="751"/>
      <c r="AI214" s="766">
        <f t="shared" si="276"/>
        <v>0.83933291324764581</v>
      </c>
      <c r="AJ214" s="751"/>
      <c r="AK214" s="751">
        <f t="shared" si="277"/>
        <v>1.6330850987931023</v>
      </c>
      <c r="AL214" s="747">
        <f t="shared" si="278"/>
        <v>-0.13025332713644999</v>
      </c>
      <c r="AM214" s="756">
        <f t="shared" ref="AM214:AV214" si="331">AM29</f>
        <v>83495</v>
      </c>
      <c r="AN214" s="756">
        <f t="shared" si="331"/>
        <v>24645</v>
      </c>
      <c r="AO214" s="756">
        <f t="shared" si="331"/>
        <v>36311</v>
      </c>
      <c r="AP214" s="756">
        <f t="shared" si="331"/>
        <v>42385.361437886997</v>
      </c>
      <c r="AQ214" s="756">
        <f t="shared" si="331"/>
        <v>5412.9263833165196</v>
      </c>
      <c r="AR214" s="756">
        <f t="shared" si="331"/>
        <v>12850</v>
      </c>
      <c r="AS214" s="756">
        <f t="shared" si="331"/>
        <v>0</v>
      </c>
      <c r="AT214" s="756">
        <f t="shared" si="331"/>
        <v>0</v>
      </c>
      <c r="AU214" s="756">
        <f t="shared" si="331"/>
        <v>0</v>
      </c>
      <c r="AV214" s="756">
        <f t="shared" si="331"/>
        <v>0</v>
      </c>
      <c r="AW214" s="743" t="e">
        <f t="shared" ref="AW214:BB214" si="332">AW29</f>
        <v>#DIV/0!</v>
      </c>
      <c r="AX214" s="743" t="e">
        <f t="shared" si="332"/>
        <v>#DIV/0!</v>
      </c>
      <c r="AY214" s="743" t="e">
        <f t="shared" si="332"/>
        <v>#DIV/0!</v>
      </c>
      <c r="AZ214" s="766" t="e">
        <f t="shared" si="332"/>
        <v>#DIV/0!</v>
      </c>
      <c r="BA214" s="766" t="e">
        <f t="shared" si="332"/>
        <v>#DIV/0!</v>
      </c>
      <c r="BB214" s="766" t="e">
        <f t="shared" si="332"/>
        <v>#DIV/0!</v>
      </c>
    </row>
    <row r="215" spans="1:54" ht="15" customHeight="1">
      <c r="A215" s="680">
        <v>2010</v>
      </c>
      <c r="B215" s="680"/>
      <c r="C215" s="735"/>
      <c r="D215" s="705">
        <v>0.21</v>
      </c>
      <c r="E215" s="705"/>
      <c r="F215" s="705"/>
      <c r="G215" s="705"/>
      <c r="H215" s="705"/>
      <c r="I215" s="705"/>
      <c r="J215" s="708" t="s">
        <v>260</v>
      </c>
      <c r="K215" s="748">
        <f t="shared" si="318"/>
        <v>4.1267663818563527</v>
      </c>
      <c r="L215" s="748">
        <f t="shared" si="318"/>
        <v>3.8227935484987974</v>
      </c>
      <c r="M215" s="748">
        <f t="shared" si="318"/>
        <v>4.214907197875311</v>
      </c>
      <c r="N215" s="748">
        <f t="shared" si="318"/>
        <v>-1.7978117473700186</v>
      </c>
      <c r="O215" s="748">
        <f t="shared" si="318"/>
        <v>-1.8340199979426568</v>
      </c>
      <c r="P215" s="747">
        <f t="shared" si="257"/>
        <v>19.55769230769231</v>
      </c>
      <c r="Q215" s="747">
        <f t="shared" si="258"/>
        <v>-246.15037593984962</v>
      </c>
      <c r="R215" s="747">
        <f t="shared" si="259"/>
        <v>-55.646437994722959</v>
      </c>
      <c r="S215" s="747">
        <f t="shared" si="260"/>
        <v>4047</v>
      </c>
      <c r="T215" s="747">
        <f t="shared" si="261"/>
        <v>-72484</v>
      </c>
      <c r="U215" s="747">
        <f t="shared" si="275"/>
        <v>1.0076767335920365E-2</v>
      </c>
      <c r="V215" s="747">
        <f t="shared" si="262"/>
        <v>6.1208660993213411E-3</v>
      </c>
      <c r="W215" s="747">
        <f t="shared" si="263"/>
        <v>4.8626686416894816E-3</v>
      </c>
      <c r="X215" s="747">
        <f t="shared" si="264"/>
        <v>9.2721690694176385E-3</v>
      </c>
      <c r="Y215" s="747">
        <f t="shared" si="265"/>
        <v>1.0385561595393882E-2</v>
      </c>
      <c r="Z215" s="747">
        <f t="shared" si="266"/>
        <v>7.6767335920364433E-4</v>
      </c>
      <c r="AA215" s="747">
        <f t="shared" si="267"/>
        <v>5.7309059571259292E-4</v>
      </c>
      <c r="AB215" s="747">
        <f t="shared" si="268"/>
        <v>7.2159413281139924E-4</v>
      </c>
      <c r="AC215" s="747">
        <f t="shared" si="269"/>
        <v>1.7170683461884517E-6</v>
      </c>
      <c r="AD215" s="747">
        <f t="shared" si="270"/>
        <v>1.7300619016148395E-6</v>
      </c>
      <c r="AE215" s="751"/>
      <c r="AF215" s="766">
        <f t="shared" si="271"/>
        <v>8.5247663707804622E-2</v>
      </c>
      <c r="AG215" s="751"/>
      <c r="AH215" s="751"/>
      <c r="AI215" s="766">
        <f t="shared" si="276"/>
        <v>8.6367489270865933E-2</v>
      </c>
      <c r="AJ215" s="751"/>
      <c r="AK215" s="751">
        <f t="shared" si="277"/>
        <v>6.048927195817968</v>
      </c>
      <c r="AL215" s="747">
        <f t="shared" si="278"/>
        <v>-5.5228929537043999E-3</v>
      </c>
      <c r="AM215" s="756">
        <f t="shared" ref="AM215:AV215" si="333">AM30</f>
        <v>79920.264993999997</v>
      </c>
      <c r="AN215" s="756">
        <f t="shared" si="333"/>
        <v>79310.088516000003</v>
      </c>
      <c r="AO215" s="756">
        <f t="shared" si="333"/>
        <v>93347.128511999996</v>
      </c>
      <c r="AP215" s="756">
        <f t="shared" si="333"/>
        <v>95584.409068000008</v>
      </c>
      <c r="AQ215" s="756">
        <f t="shared" si="333"/>
        <v>91390.197469999999</v>
      </c>
      <c r="AR215" s="756">
        <f t="shared" si="333"/>
        <v>462.785706</v>
      </c>
      <c r="AS215" s="756">
        <f t="shared" si="333"/>
        <v>0</v>
      </c>
      <c r="AT215" s="756">
        <f t="shared" si="333"/>
        <v>0</v>
      </c>
      <c r="AU215" s="756">
        <f t="shared" si="333"/>
        <v>0</v>
      </c>
      <c r="AV215" s="756">
        <f t="shared" si="333"/>
        <v>0</v>
      </c>
      <c r="AW215" s="743" t="e">
        <f t="shared" ref="AW215:BB215" si="334">AW30</f>
        <v>#DIV/0!</v>
      </c>
      <c r="AX215" s="743" t="e">
        <f t="shared" si="334"/>
        <v>#DIV/0!</v>
      </c>
      <c r="AY215" s="743" t="e">
        <f t="shared" si="334"/>
        <v>#DIV/0!</v>
      </c>
      <c r="AZ215" s="766" t="e">
        <f t="shared" si="334"/>
        <v>#DIV/0!</v>
      </c>
      <c r="BA215" s="766" t="e">
        <f t="shared" si="334"/>
        <v>#DIV/0!</v>
      </c>
      <c r="BB215" s="766" t="e">
        <f t="shared" si="334"/>
        <v>#DIV/0!</v>
      </c>
    </row>
    <row r="216" spans="1:54" ht="15" customHeight="1">
      <c r="A216" s="449">
        <v>2010</v>
      </c>
      <c r="B216" s="449"/>
      <c r="C216" s="450"/>
      <c r="D216" s="452"/>
      <c r="E216" s="647"/>
      <c r="F216" s="452"/>
      <c r="G216" s="452"/>
      <c r="H216" s="647"/>
      <c r="I216" s="452"/>
      <c r="J216" s="438" t="s">
        <v>309</v>
      </c>
      <c r="K216" s="543">
        <f t="shared" si="318"/>
        <v>11.074969959169394</v>
      </c>
      <c r="L216" s="543">
        <f t="shared" si="318"/>
        <v>11.193168590023484</v>
      </c>
      <c r="M216" s="543">
        <f t="shared" si="318"/>
        <v>11.362179948009736</v>
      </c>
      <c r="N216" s="543">
        <f t="shared" si="318"/>
        <v>11.48137929496605</v>
      </c>
      <c r="O216" s="543">
        <f t="shared" si="318"/>
        <v>11.551911534346811</v>
      </c>
      <c r="P216" s="550">
        <f t="shared" si="257"/>
        <v>-3.611371281577732E-2</v>
      </c>
      <c r="Q216" s="550">
        <f t="shared" si="258"/>
        <v>8.8297602901041258E-2</v>
      </c>
      <c r="R216" s="550">
        <f t="shared" si="259"/>
        <v>6.9248355901829636E-2</v>
      </c>
      <c r="S216" s="550">
        <f t="shared" si="260"/>
        <v>5.3963347392788817E-2</v>
      </c>
      <c r="T216" s="550">
        <f t="shared" si="261"/>
        <v>5.6842296126358563E-2</v>
      </c>
      <c r="U216" s="551">
        <f t="shared" si="275"/>
        <v>0.56807067177270376</v>
      </c>
      <c r="V216" s="551">
        <f t="shared" si="262"/>
        <v>0.4936612402175321</v>
      </c>
      <c r="W216" s="551">
        <f t="shared" si="263"/>
        <v>0.35831920605280798</v>
      </c>
      <c r="X216" s="551">
        <f t="shared" si="264"/>
        <v>0.42909988635918334</v>
      </c>
      <c r="Y216" s="551">
        <f t="shared" si="265"/>
        <v>0.65627484760137822</v>
      </c>
      <c r="Z216" s="551">
        <f t="shared" si="266"/>
        <v>0.88182672666105189</v>
      </c>
      <c r="AA216" s="551">
        <f t="shared" si="267"/>
        <v>1.0731033887154582</v>
      </c>
      <c r="AB216" s="551">
        <f t="shared" si="268"/>
        <v>1.7259928820010682</v>
      </c>
      <c r="AC216" s="551">
        <f t="shared" si="269"/>
        <v>2.2920059563462516</v>
      </c>
      <c r="AD216" s="551">
        <f t="shared" si="270"/>
        <v>1.9600480688143025</v>
      </c>
      <c r="AE216" s="51"/>
      <c r="AF216" s="61">
        <f t="shared" si="271"/>
        <v>8.1085366273948162E-3</v>
      </c>
      <c r="AG216" s="51"/>
      <c r="AH216" s="51"/>
      <c r="AI216" s="61">
        <f t="shared" si="276"/>
        <v>-0.13787264134018784</v>
      </c>
      <c r="AJ216" s="51"/>
      <c r="AK216" s="536">
        <f t="shared" si="277"/>
        <v>-0.18973158633707526</v>
      </c>
      <c r="AL216" s="552">
        <f t="shared" si="278"/>
        <v>-0.29795564154857024</v>
      </c>
      <c r="AM216" s="443">
        <f t="shared" ref="AM216:AV216" si="335">AM31</f>
        <v>31610.238817000001</v>
      </c>
      <c r="AN216" s="443">
        <f t="shared" si="335"/>
        <v>34271.330159999998</v>
      </c>
      <c r="AO216" s="443">
        <f t="shared" si="335"/>
        <v>31975.292052000001</v>
      </c>
      <c r="AP216" s="443">
        <f t="shared" si="335"/>
        <v>24134.985429</v>
      </c>
      <c r="AQ216" s="443">
        <f t="shared" si="335"/>
        <v>18233.751250000001</v>
      </c>
      <c r="AR216" s="443">
        <f t="shared" si="335"/>
        <v>20991.537361999999</v>
      </c>
      <c r="AS216" s="443">
        <f t="shared" si="335"/>
        <v>10631.436312</v>
      </c>
      <c r="AT216" s="443">
        <f t="shared" si="335"/>
        <v>331.29558000000003</v>
      </c>
      <c r="AU216" s="443">
        <f t="shared" si="335"/>
        <v>421.93856700000003</v>
      </c>
      <c r="AV216" s="443">
        <f t="shared" si="335"/>
        <v>686.69146000000001</v>
      </c>
      <c r="AW216" s="553">
        <f t="shared" ref="AW216:BB216" si="336">AW31</f>
        <v>8.6067938576081904</v>
      </c>
      <c r="AX216" s="553">
        <f t="shared" si="336"/>
        <v>12.392226148409893</v>
      </c>
      <c r="AY216" s="553">
        <f t="shared" si="336"/>
        <v>17.977358490566036</v>
      </c>
      <c r="AZ216" s="538">
        <f t="shared" si="336"/>
        <v>5.7598359599877336</v>
      </c>
      <c r="BA216" s="538">
        <f t="shared" si="336"/>
        <v>5.4411658236504428</v>
      </c>
      <c r="BB216" s="538">
        <f t="shared" si="336"/>
        <v>6.5611314749700345</v>
      </c>
    </row>
    <row r="217" spans="1:54" ht="15" customHeight="1">
      <c r="A217" s="449">
        <v>2016</v>
      </c>
      <c r="B217" s="449"/>
      <c r="C217" s="450"/>
      <c r="D217" s="454">
        <v>0.2</v>
      </c>
      <c r="E217" s="648"/>
      <c r="F217" s="454"/>
      <c r="G217" s="454"/>
      <c r="H217" s="648"/>
      <c r="I217" s="454"/>
      <c r="J217" s="438" t="s">
        <v>310</v>
      </c>
      <c r="K217" s="543">
        <f t="shared" si="318"/>
        <v>9.0186886212975761</v>
      </c>
      <c r="L217" s="543">
        <f t="shared" si="318"/>
        <v>8.4545545718421593</v>
      </c>
      <c r="M217" s="543">
        <f t="shared" si="318"/>
        <v>8.4401917886495887</v>
      </c>
      <c r="N217" s="543">
        <f t="shared" si="318"/>
        <v>8.3164909724127796</v>
      </c>
      <c r="O217" s="543">
        <f t="shared" si="318"/>
        <v>8.5964254232968269</v>
      </c>
      <c r="P217" s="550">
        <f t="shared" si="257"/>
        <v>2.2539560121744642</v>
      </c>
      <c r="Q217" s="550">
        <f t="shared" si="258"/>
        <v>3.2247964606403308</v>
      </c>
      <c r="R217" s="550">
        <f t="shared" si="259"/>
        <v>3.2427887758571092</v>
      </c>
      <c r="S217" s="550">
        <f t="shared" si="260"/>
        <v>1.4435842961497045</v>
      </c>
      <c r="T217" s="550">
        <f t="shared" si="261"/>
        <v>-3.7527543150936468E-2</v>
      </c>
      <c r="U217" s="551">
        <f t="shared" si="275"/>
        <v>0.46564206902355315</v>
      </c>
      <c r="V217" s="551">
        <f t="shared" si="262"/>
        <v>0.37324192468352413</v>
      </c>
      <c r="W217" s="551">
        <f t="shared" si="263"/>
        <v>0.38145706570403221</v>
      </c>
      <c r="X217" s="551">
        <f t="shared" si="264"/>
        <v>0.38409890698920968</v>
      </c>
      <c r="Y217" s="551">
        <f t="shared" si="265"/>
        <v>0.84497325735529905</v>
      </c>
      <c r="Z217" s="551">
        <f t="shared" si="266"/>
        <v>2.3592150267678354E-2</v>
      </c>
      <c r="AA217" s="551">
        <f t="shared" si="267"/>
        <v>2.4360830330665478E-2</v>
      </c>
      <c r="AB217" s="551">
        <f t="shared" si="268"/>
        <v>2.6960580400894007E-2</v>
      </c>
      <c r="AC217" s="551">
        <f t="shared" si="269"/>
        <v>2.6692923784443046E-2</v>
      </c>
      <c r="AD217" s="551">
        <f t="shared" si="270"/>
        <v>7.4711352634223377E-2</v>
      </c>
      <c r="AE217" s="51"/>
      <c r="AF217" s="61">
        <f t="shared" si="271"/>
        <v>9.0231201024457905E-2</v>
      </c>
      <c r="AG217" s="51"/>
      <c r="AH217" s="51"/>
      <c r="AI217" s="61">
        <f t="shared" si="276"/>
        <v>0.15943006238073837</v>
      </c>
      <c r="AJ217" s="51"/>
      <c r="AK217" s="536">
        <f t="shared" si="277"/>
        <v>-0.15623363464723675</v>
      </c>
      <c r="AL217" s="552">
        <f t="shared" si="278"/>
        <v>-0.46351619165126684</v>
      </c>
      <c r="AM217" s="443">
        <f t="shared" ref="AM217:AV217" si="337">AM32</f>
        <v>186995.620826</v>
      </c>
      <c r="AN217" s="443">
        <f t="shared" si="337"/>
        <v>120829.607556</v>
      </c>
      <c r="AO217" s="443">
        <f t="shared" si="337"/>
        <v>106210.838602</v>
      </c>
      <c r="AP217" s="443">
        <f t="shared" si="337"/>
        <v>94388.909043000007</v>
      </c>
      <c r="AQ217" s="443">
        <f t="shared" si="337"/>
        <v>11230.403078000001</v>
      </c>
      <c r="AR217" s="443">
        <f t="shared" si="337"/>
        <v>208129.56679899999</v>
      </c>
      <c r="AS217" s="443">
        <f t="shared" si="337"/>
        <v>78412.991664000001</v>
      </c>
      <c r="AT217" s="443">
        <f t="shared" si="337"/>
        <v>71647.827327999999</v>
      </c>
      <c r="AU217" s="443">
        <f t="shared" si="337"/>
        <v>87736.822668000008</v>
      </c>
      <c r="AV217" s="443">
        <f t="shared" si="337"/>
        <v>50610.541982000002</v>
      </c>
      <c r="AW217" s="553">
        <f t="shared" ref="AW217:BB217" si="338">AW32</f>
        <v>-4.013185831367649E-3</v>
      </c>
      <c r="AX217" s="553">
        <f t="shared" si="338"/>
        <v>6.7307953256368083E-2</v>
      </c>
      <c r="AY217" s="553">
        <f t="shared" si="338"/>
        <v>0.2095291040337407</v>
      </c>
      <c r="AZ217" s="538">
        <f t="shared" si="338"/>
        <v>-6.1947788370897965E-3</v>
      </c>
      <c r="BA217" s="538">
        <f t="shared" si="338"/>
        <v>6.4386396870994705E-2</v>
      </c>
      <c r="BB217" s="538">
        <f t="shared" si="338"/>
        <v>0.16735394271257431</v>
      </c>
    </row>
    <row r="218" spans="1:54" ht="15" customHeight="1">
      <c r="A218" s="449">
        <v>2008</v>
      </c>
      <c r="B218" s="449"/>
      <c r="C218" s="450"/>
      <c r="D218" s="452"/>
      <c r="E218" s="647"/>
      <c r="F218" s="452"/>
      <c r="G218" s="452"/>
      <c r="H218" s="647"/>
      <c r="I218" s="452"/>
      <c r="J218" s="438" t="s">
        <v>311</v>
      </c>
      <c r="K218" s="543">
        <f t="shared" ref="K218:O227" si="339">LN(K33)</f>
        <v>12.587163072462419</v>
      </c>
      <c r="L218" s="543">
        <f t="shared" si="339"/>
        <v>12.679691696791746</v>
      </c>
      <c r="M218" s="543">
        <f t="shared" si="339"/>
        <v>12.391983673167102</v>
      </c>
      <c r="N218" s="543">
        <f t="shared" si="339"/>
        <v>12.75834169234283</v>
      </c>
      <c r="O218" s="543">
        <f t="shared" si="339"/>
        <v>12.220800691951617</v>
      </c>
      <c r="P218" s="550">
        <f t="shared" si="257"/>
        <v>0.32633530976258451</v>
      </c>
      <c r="Q218" s="550">
        <f t="shared" si="258"/>
        <v>0.35313403333862908</v>
      </c>
      <c r="R218" s="550">
        <f t="shared" si="259"/>
        <v>0.31734171950587742</v>
      </c>
      <c r="S218" s="550">
        <f t="shared" si="260"/>
        <v>0.32937078171434131</v>
      </c>
      <c r="T218" s="550">
        <f t="shared" si="261"/>
        <v>0.29542045934510064</v>
      </c>
      <c r="U218" s="551">
        <f t="shared" si="275"/>
        <v>0.49784489087703493</v>
      </c>
      <c r="V218" s="551">
        <f t="shared" si="262"/>
        <v>0.59005557848127999</v>
      </c>
      <c r="W218" s="551">
        <f t="shared" si="263"/>
        <v>0.53695582457180535</v>
      </c>
      <c r="X218" s="551">
        <f t="shared" si="264"/>
        <v>0.56613250317365427</v>
      </c>
      <c r="Y218" s="551">
        <f t="shared" si="265"/>
        <v>0.63177327034397446</v>
      </c>
      <c r="Z218" s="551">
        <f t="shared" si="266"/>
        <v>0.29001095776219638</v>
      </c>
      <c r="AA218" s="551">
        <f t="shared" si="267"/>
        <v>0.30604821306168506</v>
      </c>
      <c r="AB218" s="551">
        <f t="shared" si="268"/>
        <v>0.26874388220171036</v>
      </c>
      <c r="AC218" s="551">
        <f t="shared" si="269"/>
        <v>0.34068132068443396</v>
      </c>
      <c r="AD218" s="551">
        <f t="shared" si="270"/>
        <v>0.21590862344321038</v>
      </c>
      <c r="AE218" s="51"/>
      <c r="AF218" s="61">
        <f t="shared" si="271"/>
        <v>2.1499820970414169E-2</v>
      </c>
      <c r="AG218" s="51"/>
      <c r="AH218" s="51"/>
      <c r="AI218" s="61">
        <f t="shared" si="276"/>
        <v>1.0961392137622428E-2</v>
      </c>
      <c r="AJ218" s="51"/>
      <c r="AK218" s="536">
        <f t="shared" si="277"/>
        <v>0.17118298121548664</v>
      </c>
      <c r="AL218" s="552">
        <f t="shared" si="278"/>
        <v>-9.4817445772169107E-2</v>
      </c>
      <c r="AM218" s="443">
        <f t="shared" ref="AM218:AV218" si="340">AM33</f>
        <v>506942.60284800001</v>
      </c>
      <c r="AN218" s="443">
        <f t="shared" si="340"/>
        <v>430184.84025800001</v>
      </c>
      <c r="AO218" s="443">
        <f t="shared" si="340"/>
        <v>415005.61063000001</v>
      </c>
      <c r="AP218" s="443">
        <f t="shared" si="340"/>
        <v>442472.583102</v>
      </c>
      <c r="AQ218" s="443">
        <f t="shared" si="340"/>
        <v>346155.64042399998</v>
      </c>
      <c r="AR218" s="443">
        <f t="shared" si="340"/>
        <v>402308.74292400002</v>
      </c>
      <c r="AS218" s="443">
        <f t="shared" si="340"/>
        <v>405075.93381000002</v>
      </c>
      <c r="AT218" s="443">
        <f t="shared" si="340"/>
        <v>391702.67681999999</v>
      </c>
      <c r="AU218" s="443">
        <f t="shared" si="340"/>
        <v>411854.308158</v>
      </c>
      <c r="AV218" s="443">
        <f t="shared" si="340"/>
        <v>394433.69343999994</v>
      </c>
      <c r="AW218" s="553">
        <f t="shared" ref="AW218:BB218" si="341">AW33</f>
        <v>0.15201724855972792</v>
      </c>
      <c r="AX218" s="553">
        <f t="shared" si="341"/>
        <v>0.27785540703412731</v>
      </c>
      <c r="AY218" s="553">
        <f t="shared" si="341"/>
        <v>0.19513751057444204</v>
      </c>
      <c r="AZ218" s="538">
        <f t="shared" si="341"/>
        <v>0.15982428807698831</v>
      </c>
      <c r="BA218" s="538">
        <f t="shared" si="341"/>
        <v>0.26951340250144995</v>
      </c>
      <c r="BB218" s="538">
        <f t="shared" si="341"/>
        <v>0.19006386857996463</v>
      </c>
    </row>
    <row r="219" spans="1:54" ht="15" customHeight="1">
      <c r="A219" s="449">
        <v>2008</v>
      </c>
      <c r="B219" s="449"/>
      <c r="C219" s="450"/>
      <c r="D219" s="452"/>
      <c r="E219" s="647"/>
      <c r="F219" s="452"/>
      <c r="G219" s="452"/>
      <c r="H219" s="647"/>
      <c r="I219" s="452"/>
      <c r="J219" s="438" t="s">
        <v>313</v>
      </c>
      <c r="K219" s="543">
        <f t="shared" si="339"/>
        <v>11.588700469709837</v>
      </c>
      <c r="L219" s="543">
        <f t="shared" si="339"/>
        <v>11.690582668897068</v>
      </c>
      <c r="M219" s="543">
        <f t="shared" si="339"/>
        <v>11.717525014187153</v>
      </c>
      <c r="N219" s="543">
        <f t="shared" si="339"/>
        <v>11.706776197994026</v>
      </c>
      <c r="O219" s="543">
        <f t="shared" si="339"/>
        <v>11.637583868800165</v>
      </c>
      <c r="P219" s="550">
        <f t="shared" si="257"/>
        <v>0.14238410596026491</v>
      </c>
      <c r="Q219" s="550">
        <f t="shared" si="258"/>
        <v>-0.78502080443828015</v>
      </c>
      <c r="R219" s="550">
        <f t="shared" si="259"/>
        <v>-0.44401041666666669</v>
      </c>
      <c r="S219" s="550">
        <f t="shared" si="260"/>
        <v>-1.6014514218009479</v>
      </c>
      <c r="T219" s="550">
        <f t="shared" si="261"/>
        <v>-6.1646525679758311</v>
      </c>
      <c r="U219" s="551">
        <f t="shared" si="275"/>
        <v>0.14731839782756281</v>
      </c>
      <c r="V219" s="551">
        <f t="shared" si="262"/>
        <v>0.10162856248042594</v>
      </c>
      <c r="W219" s="551">
        <f t="shared" si="263"/>
        <v>0.31541218637992829</v>
      </c>
      <c r="X219" s="551">
        <f t="shared" si="264"/>
        <v>0.41521332653408127</v>
      </c>
      <c r="Y219" s="551">
        <f t="shared" si="265"/>
        <v>0.48158529430936708</v>
      </c>
      <c r="Z219" s="551">
        <f t="shared" si="266"/>
        <v>0.20502376103190767</v>
      </c>
      <c r="AA219" s="551">
        <f t="shared" si="267"/>
        <v>0.11290322580645162</v>
      </c>
      <c r="AB219" s="551">
        <f t="shared" si="268"/>
        <v>8.3414793092212447E-2</v>
      </c>
      <c r="AC219" s="551">
        <f t="shared" si="269"/>
        <v>5.738568757436683E-2</v>
      </c>
      <c r="AD219" s="551">
        <f t="shared" si="270"/>
        <v>4.3152336875040741E-2</v>
      </c>
      <c r="AE219" s="51"/>
      <c r="AF219" s="61">
        <f t="shared" si="271"/>
        <v>0.22898212729384099</v>
      </c>
      <c r="AG219" s="51"/>
      <c r="AH219" s="51"/>
      <c r="AI219" s="61">
        <f t="shared" si="276"/>
        <v>0.45897396065772605</v>
      </c>
      <c r="AJ219" s="51"/>
      <c r="AK219" s="536">
        <f t="shared" si="277"/>
        <v>7.9941145386986934E-2</v>
      </c>
      <c r="AL219" s="552">
        <f t="shared" si="278"/>
        <v>-0.16617310792943879</v>
      </c>
      <c r="AM219" s="443">
        <f t="shared" ref="AM219:AV219" si="342">AM34</f>
        <v>448633.152</v>
      </c>
      <c r="AN219" s="443">
        <f t="shared" si="342"/>
        <v>950397.15700000001</v>
      </c>
      <c r="AO219" s="443">
        <f t="shared" si="342"/>
        <v>1007030.3099999999</v>
      </c>
      <c r="AP219" s="443">
        <f t="shared" si="342"/>
        <v>1237035.5516000001</v>
      </c>
      <c r="AQ219" s="443">
        <f t="shared" si="342"/>
        <v>1361024.848</v>
      </c>
      <c r="AR219" s="443">
        <f t="shared" si="342"/>
        <v>16966.62</v>
      </c>
      <c r="AS219" s="443">
        <f t="shared" si="342"/>
        <v>97408.668000000005</v>
      </c>
      <c r="AT219" s="443">
        <f t="shared" si="342"/>
        <v>447675.54</v>
      </c>
      <c r="AU219" s="443">
        <f t="shared" si="342"/>
        <v>735666.3334</v>
      </c>
      <c r="AV219" s="443">
        <f t="shared" si="342"/>
        <v>1003229.656</v>
      </c>
      <c r="AW219" s="553">
        <f t="shared" ref="AW219:BB219" si="343">AW34</f>
        <v>-0.69606003752345214</v>
      </c>
      <c r="AX219" s="553">
        <f t="shared" si="343"/>
        <v>-0.26425376964246439</v>
      </c>
      <c r="AY219" s="553">
        <f t="shared" si="343"/>
        <v>-0.12169878658101356</v>
      </c>
      <c r="AZ219" s="538">
        <f t="shared" si="343"/>
        <v>-0.60119225376243413</v>
      </c>
      <c r="BA219" s="538">
        <f t="shared" si="343"/>
        <v>-0.20162207769941315</v>
      </c>
      <c r="BB219" s="538">
        <f t="shared" si="343"/>
        <v>-7.5422317392338817E-2</v>
      </c>
    </row>
    <row r="220" spans="1:54" ht="15" customHeight="1">
      <c r="A220" s="680">
        <v>2008</v>
      </c>
      <c r="B220" s="680"/>
      <c r="C220" s="735"/>
      <c r="D220" s="721"/>
      <c r="E220" s="721"/>
      <c r="F220" s="721"/>
      <c r="G220" s="721"/>
      <c r="H220" s="721"/>
      <c r="I220" s="721"/>
      <c r="J220" s="708" t="s">
        <v>314</v>
      </c>
      <c r="K220" s="748">
        <f t="shared" si="339"/>
        <v>10.193579186212212</v>
      </c>
      <c r="L220" s="748">
        <f t="shared" si="339"/>
        <v>10.02031640376998</v>
      </c>
      <c r="M220" s="748">
        <f t="shared" si="339"/>
        <v>9.835644223464902</v>
      </c>
      <c r="N220" s="748">
        <f t="shared" si="339"/>
        <v>9.9072705723847161</v>
      </c>
      <c r="O220" s="748">
        <f t="shared" si="339"/>
        <v>8.3148150645445646</v>
      </c>
      <c r="P220" s="747">
        <f t="shared" si="257"/>
        <v>0.22751598484696639</v>
      </c>
      <c r="Q220" s="747">
        <f t="shared" si="258"/>
        <v>0.15334217702115116</v>
      </c>
      <c r="R220" s="747">
        <f t="shared" si="259"/>
        <v>0.11112346006206772</v>
      </c>
      <c r="S220" s="747">
        <f t="shared" si="260"/>
        <v>0.19221779429543723</v>
      </c>
      <c r="T220" s="747">
        <f t="shared" si="261"/>
        <v>-1.1941174005949639E-2</v>
      </c>
      <c r="U220" s="747">
        <f t="shared" si="275"/>
        <v>0.21849280934073759</v>
      </c>
      <c r="V220" s="747">
        <f t="shared" si="262"/>
        <v>0.18776082149190987</v>
      </c>
      <c r="W220" s="747">
        <f t="shared" si="263"/>
        <v>0.1279419077872388</v>
      </c>
      <c r="X220" s="747">
        <f t="shared" si="264"/>
        <v>0.15018377547917655</v>
      </c>
      <c r="Y220" s="747">
        <f t="shared" si="265"/>
        <v>0.12676812891674127</v>
      </c>
      <c r="Z220" s="747">
        <f t="shared" si="266"/>
        <v>0.53279581375480567</v>
      </c>
      <c r="AA220" s="747">
        <f t="shared" si="267"/>
        <v>0.59418036914588479</v>
      </c>
      <c r="AB220" s="747">
        <f t="shared" si="268"/>
        <v>0.59355241391209035</v>
      </c>
      <c r="AC220" s="747">
        <f t="shared" si="269"/>
        <v>0.59568327669812271</v>
      </c>
      <c r="AD220" s="747">
        <f t="shared" si="270"/>
        <v>0.15827447859677043</v>
      </c>
      <c r="AE220" s="751"/>
      <c r="AF220" s="766">
        <f t="shared" si="271"/>
        <v>6.7847581051729056E-2</v>
      </c>
      <c r="AG220" s="751"/>
      <c r="AH220" s="751"/>
      <c r="AI220" s="766">
        <f t="shared" si="276"/>
        <v>7.7799202815695037E-2</v>
      </c>
      <c r="AJ220" s="751"/>
      <c r="AK220" s="751">
        <f t="shared" si="277"/>
        <v>1.5208291589203375</v>
      </c>
      <c r="AL220" s="747">
        <f t="shared" si="278"/>
        <v>1.1737788704975216E-3</v>
      </c>
      <c r="AM220" s="756">
        <f t="shared" ref="AM220:AV220" si="344">AM35</f>
        <v>39208.965840000004</v>
      </c>
      <c r="AN220" s="756">
        <f t="shared" si="344"/>
        <v>30727.796246000002</v>
      </c>
      <c r="AO220" s="756">
        <f t="shared" si="344"/>
        <v>27456.794040000001</v>
      </c>
      <c r="AP220" s="756">
        <f t="shared" si="344"/>
        <v>28640.628944</v>
      </c>
      <c r="AQ220" s="756">
        <f t="shared" si="344"/>
        <v>22531.857047999998</v>
      </c>
      <c r="AR220" s="756">
        <f t="shared" si="344"/>
        <v>0</v>
      </c>
      <c r="AS220" s="756">
        <f t="shared" si="344"/>
        <v>0</v>
      </c>
      <c r="AT220" s="756">
        <f t="shared" si="344"/>
        <v>0</v>
      </c>
      <c r="AU220" s="756">
        <f t="shared" si="344"/>
        <v>0</v>
      </c>
      <c r="AV220" s="756">
        <f t="shared" si="344"/>
        <v>13.175623999999999</v>
      </c>
      <c r="AW220" s="743">
        <f t="shared" ref="AW220:BB220" si="345">AW35</f>
        <v>-3.7012987012987013</v>
      </c>
      <c r="AX220" s="743" t="e">
        <f t="shared" si="345"/>
        <v>#DIV/0!</v>
      </c>
      <c r="AY220" s="743" t="e">
        <f t="shared" si="345"/>
        <v>#DIV/0!</v>
      </c>
      <c r="AZ220" s="766">
        <f t="shared" si="345"/>
        <v>-0.47109669401522586</v>
      </c>
      <c r="BA220" s="766" t="e">
        <f t="shared" si="345"/>
        <v>#DIV/0!</v>
      </c>
      <c r="BB220" s="766" t="e">
        <f t="shared" si="345"/>
        <v>#DIV/0!</v>
      </c>
    </row>
    <row r="221" spans="1:54" ht="15" customHeight="1">
      <c r="A221" s="680">
        <v>2008</v>
      </c>
      <c r="B221" s="680"/>
      <c r="C221" s="735"/>
      <c r="D221" s="721"/>
      <c r="E221" s="721"/>
      <c r="F221" s="721"/>
      <c r="G221" s="721"/>
      <c r="H221" s="721"/>
      <c r="I221" s="721"/>
      <c r="J221" s="770" t="s">
        <v>315</v>
      </c>
      <c r="K221" s="748">
        <f t="shared" si="339"/>
        <v>7.3708404130376524</v>
      </c>
      <c r="L221" s="748">
        <f t="shared" si="339"/>
        <v>7.9036820125746345</v>
      </c>
      <c r="M221" s="748">
        <f t="shared" si="339"/>
        <v>7.5482548379409939</v>
      </c>
      <c r="N221" s="748">
        <f t="shared" si="339"/>
        <v>7.7007158989805173</v>
      </c>
      <c r="O221" s="748">
        <f t="shared" si="339"/>
        <v>7.4741709035377708</v>
      </c>
      <c r="P221" s="747">
        <f t="shared" si="257"/>
        <v>4.3622569405417551</v>
      </c>
      <c r="Q221" s="747">
        <f t="shared" si="258"/>
        <v>2.0610084444988375</v>
      </c>
      <c r="R221" s="747">
        <f t="shared" si="259"/>
        <v>2.8636746379252274</v>
      </c>
      <c r="S221" s="747">
        <f t="shared" si="260"/>
        <v>-1.2530100878620241</v>
      </c>
      <c r="T221" s="747">
        <f t="shared" si="261"/>
        <v>1.6214431387782848</v>
      </c>
      <c r="U221" s="747">
        <f t="shared" si="275"/>
        <v>0.6584325465494566</v>
      </c>
      <c r="V221" s="747">
        <f t="shared" si="262"/>
        <v>0.78404871767357021</v>
      </c>
      <c r="W221" s="747">
        <f t="shared" si="263"/>
        <v>0.8574143502374042</v>
      </c>
      <c r="X221" s="747">
        <f t="shared" si="264"/>
        <v>0.70232111090871741</v>
      </c>
      <c r="Y221" s="747">
        <f t="shared" si="265"/>
        <v>0.52152500840820648</v>
      </c>
      <c r="Z221" s="747">
        <f t="shared" si="266"/>
        <v>3.8489824877137119E-2</v>
      </c>
      <c r="AA221" s="747">
        <f t="shared" si="267"/>
        <v>4.3840540830561221E-2</v>
      </c>
      <c r="AB221" s="747">
        <f t="shared" si="268"/>
        <v>3.6169493486993783E-2</v>
      </c>
      <c r="AC221" s="747">
        <f t="shared" si="269"/>
        <v>4.7639163950500538E-2</v>
      </c>
      <c r="AD221" s="747">
        <f t="shared" si="270"/>
        <v>8.2456477522061533E-2</v>
      </c>
      <c r="AE221" s="751"/>
      <c r="AF221" s="766">
        <f t="shared" si="271"/>
        <v>-3.0120828560666779E-2</v>
      </c>
      <c r="AG221" s="751"/>
      <c r="AH221" s="751"/>
      <c r="AI221" s="766">
        <f t="shared" si="276"/>
        <v>0.44699787641077704</v>
      </c>
      <c r="AJ221" s="751"/>
      <c r="AK221" s="751">
        <f t="shared" si="277"/>
        <v>7.4083934403222598E-2</v>
      </c>
      <c r="AL221" s="747">
        <f t="shared" si="278"/>
        <v>0.33588934182919772</v>
      </c>
      <c r="AM221" s="756">
        <f t="shared" ref="AM221:AV221" si="346">AM36</f>
        <v>14100.868584</v>
      </c>
      <c r="AN221" s="756">
        <f t="shared" si="346"/>
        <v>13335.379178000001</v>
      </c>
      <c r="AO221" s="756">
        <f t="shared" si="346"/>
        <v>7479.9520899999998</v>
      </c>
      <c r="AP221" s="756">
        <f t="shared" si="346"/>
        <v>13809.003087999999</v>
      </c>
      <c r="AQ221" s="756">
        <f t="shared" si="346"/>
        <v>10224.113111999999</v>
      </c>
      <c r="AR221" s="756">
        <f t="shared" si="346"/>
        <v>0</v>
      </c>
      <c r="AS221" s="756">
        <f t="shared" si="346"/>
        <v>0</v>
      </c>
      <c r="AT221" s="756">
        <f t="shared" si="346"/>
        <v>0</v>
      </c>
      <c r="AU221" s="756">
        <f t="shared" si="346"/>
        <v>0</v>
      </c>
      <c r="AV221" s="756">
        <f t="shared" si="346"/>
        <v>0</v>
      </c>
      <c r="AW221" s="743" t="e">
        <f t="shared" ref="AW221:BB221" si="347">AW36</f>
        <v>#DIV/0!</v>
      </c>
      <c r="AX221" s="743" t="e">
        <f t="shared" si="347"/>
        <v>#DIV/0!</v>
      </c>
      <c r="AY221" s="743" t="e">
        <f t="shared" si="347"/>
        <v>#DIV/0!</v>
      </c>
      <c r="AZ221" s="766" t="e">
        <f t="shared" si="347"/>
        <v>#DIV/0!</v>
      </c>
      <c r="BA221" s="766" t="e">
        <f t="shared" si="347"/>
        <v>#DIV/0!</v>
      </c>
      <c r="BB221" s="766" t="e">
        <f t="shared" si="347"/>
        <v>#DIV/0!</v>
      </c>
    </row>
    <row r="222" spans="1:54" ht="15" customHeight="1">
      <c r="A222" s="449">
        <v>2006</v>
      </c>
      <c r="B222" s="449"/>
      <c r="C222" s="450"/>
      <c r="D222" s="452"/>
      <c r="E222" s="647"/>
      <c r="F222" s="452"/>
      <c r="G222" s="452"/>
      <c r="H222" s="647"/>
      <c r="I222" s="452"/>
      <c r="J222" s="437" t="s">
        <v>316</v>
      </c>
      <c r="K222" s="543">
        <f t="shared" si="339"/>
        <v>11.893854260535866</v>
      </c>
      <c r="L222" s="543">
        <f t="shared" si="339"/>
        <v>11.851558486613129</v>
      </c>
      <c r="M222" s="543">
        <f t="shared" si="339"/>
        <v>11.791517865679912</v>
      </c>
      <c r="N222" s="543">
        <f t="shared" si="339"/>
        <v>11.64111831813724</v>
      </c>
      <c r="O222" s="543">
        <f t="shared" si="339"/>
        <v>11.420164367375508</v>
      </c>
      <c r="P222" s="550">
        <f t="shared" si="257"/>
        <v>1.1222647457575315E-2</v>
      </c>
      <c r="Q222" s="550">
        <f t="shared" si="258"/>
        <v>4.463164477157517E-3</v>
      </c>
      <c r="R222" s="550">
        <f t="shared" si="259"/>
        <v>2.4986855158087771E-2</v>
      </c>
      <c r="S222" s="550">
        <f t="shared" si="260"/>
        <v>9.1953265329663986E-3</v>
      </c>
      <c r="T222" s="550">
        <f t="shared" si="261"/>
        <v>2.6197714609371536E-2</v>
      </c>
      <c r="U222" s="551">
        <f t="shared" si="275"/>
        <v>0.29455691274514573</v>
      </c>
      <c r="V222" s="551">
        <f t="shared" si="262"/>
        <v>0.24979880640500304</v>
      </c>
      <c r="W222" s="551">
        <f t="shared" si="263"/>
        <v>0.30039584798349867</v>
      </c>
      <c r="X222" s="551">
        <f t="shared" si="264"/>
        <v>0.63418841726601904</v>
      </c>
      <c r="Y222" s="551">
        <f t="shared" si="265"/>
        <v>0.69598513677313123</v>
      </c>
      <c r="Z222" s="551">
        <f t="shared" si="266"/>
        <v>1.1145238211105162</v>
      </c>
      <c r="AA222" s="551">
        <f t="shared" si="267"/>
        <v>1.0278826004091046</v>
      </c>
      <c r="AB222" s="551">
        <f t="shared" si="268"/>
        <v>0.95429395574857023</v>
      </c>
      <c r="AC222" s="551">
        <f t="shared" si="269"/>
        <v>0.84994362468748463</v>
      </c>
      <c r="AD222" s="551">
        <f t="shared" si="270"/>
        <v>0.9909234912353958</v>
      </c>
      <c r="AE222" s="51"/>
      <c r="AF222" s="61">
        <f t="shared" si="271"/>
        <v>-2.1151259725788289E-3</v>
      </c>
      <c r="AG222" s="51"/>
      <c r="AH222" s="51"/>
      <c r="AI222" s="61">
        <f t="shared" si="276"/>
        <v>-5.1306933021091176E-2</v>
      </c>
      <c r="AJ222" s="51"/>
      <c r="AK222" s="536">
        <f t="shared" si="277"/>
        <v>0.37135349830440423</v>
      </c>
      <c r="AL222" s="552">
        <f t="shared" si="278"/>
        <v>-0.39558928878963256</v>
      </c>
      <c r="AM222" s="443">
        <f t="shared" ref="AM222:AV222" si="348">AM37</f>
        <v>92641.835649999994</v>
      </c>
      <c r="AN222" s="443">
        <f t="shared" si="348"/>
        <v>102399.81309</v>
      </c>
      <c r="AO222" s="443">
        <f t="shared" si="348"/>
        <v>96863.423183999999</v>
      </c>
      <c r="AP222" s="443">
        <f t="shared" si="348"/>
        <v>48926.120495999996</v>
      </c>
      <c r="AQ222" s="443">
        <f t="shared" si="348"/>
        <v>27962.053336999998</v>
      </c>
      <c r="AR222" s="443">
        <f t="shared" si="348"/>
        <v>199.87226999999999</v>
      </c>
      <c r="AS222" s="443">
        <f t="shared" si="348"/>
        <v>2654.3605040000002</v>
      </c>
      <c r="AT222" s="443">
        <f t="shared" si="348"/>
        <v>3762.2395439999996</v>
      </c>
      <c r="AU222" s="443">
        <f t="shared" si="348"/>
        <v>5539.8045959999999</v>
      </c>
      <c r="AV222" s="443">
        <f t="shared" si="348"/>
        <v>22871.654455</v>
      </c>
      <c r="AW222" s="553">
        <f t="shared" ref="AW222:BB222" si="349">AW37</f>
        <v>0.104395118800775</v>
      </c>
      <c r="AX222" s="553">
        <f t="shared" si="349"/>
        <v>0.18868881562262238</v>
      </c>
      <c r="AY222" s="553">
        <f t="shared" si="349"/>
        <v>0.87751853367899213</v>
      </c>
      <c r="AZ222" s="538">
        <f t="shared" si="349"/>
        <v>9.8617381860111653E-2</v>
      </c>
      <c r="BA222" s="538">
        <f t="shared" si="349"/>
        <v>0.12747977049912504</v>
      </c>
      <c r="BB222" s="538">
        <f t="shared" si="349"/>
        <v>0.28744843939195747</v>
      </c>
    </row>
    <row r="223" spans="1:54" ht="15" customHeight="1">
      <c r="A223" s="449">
        <v>2005</v>
      </c>
      <c r="B223" s="449"/>
      <c r="C223" s="450"/>
      <c r="D223" s="452"/>
      <c r="E223" s="647"/>
      <c r="F223" s="452"/>
      <c r="G223" s="452"/>
      <c r="H223" s="647"/>
      <c r="I223" s="452"/>
      <c r="J223" s="437" t="s">
        <v>305</v>
      </c>
      <c r="K223" s="543">
        <f t="shared" si="339"/>
        <v>10.133331102806116</v>
      </c>
      <c r="L223" s="543">
        <f t="shared" si="339"/>
        <v>9.9431950752553249</v>
      </c>
      <c r="M223" s="543">
        <f t="shared" si="339"/>
        <v>9.6749815275763602</v>
      </c>
      <c r="N223" s="543">
        <f t="shared" si="339"/>
        <v>9.5276547903243305</v>
      </c>
      <c r="O223" s="543">
        <f t="shared" si="339"/>
        <v>9.3448571235750588</v>
      </c>
      <c r="P223" s="550">
        <f t="shared" si="257"/>
        <v>0.19492960161155518</v>
      </c>
      <c r="Q223" s="550">
        <f t="shared" si="258"/>
        <v>0.18325563038062112</v>
      </c>
      <c r="R223" s="550">
        <f t="shared" si="259"/>
        <v>0.15750649860218746</v>
      </c>
      <c r="S223" s="550">
        <f t="shared" si="260"/>
        <v>0.16808558813540134</v>
      </c>
      <c r="T223" s="550">
        <f t="shared" si="261"/>
        <v>6.0869113213431754E-2</v>
      </c>
      <c r="U223" s="551">
        <f t="shared" si="275"/>
        <v>0.85162121748711284</v>
      </c>
      <c r="V223" s="551">
        <f t="shared" si="262"/>
        <v>0.8618290660518545</v>
      </c>
      <c r="W223" s="551">
        <f t="shared" si="263"/>
        <v>0.84405148909395966</v>
      </c>
      <c r="X223" s="551">
        <f t="shared" si="264"/>
        <v>0.8174378931655828</v>
      </c>
      <c r="Y223" s="551">
        <f t="shared" si="265"/>
        <v>0.67274167987321709</v>
      </c>
      <c r="Z223" s="551">
        <f t="shared" si="266"/>
        <v>1.377139652933538</v>
      </c>
      <c r="AA223" s="551">
        <f t="shared" si="267"/>
        <v>1.2297961412449945</v>
      </c>
      <c r="AB223" s="551">
        <f t="shared" si="268"/>
        <v>1.3363176384228186</v>
      </c>
      <c r="AC223" s="551">
        <f t="shared" si="269"/>
        <v>1.1772310480861499</v>
      </c>
      <c r="AD223" s="551">
        <f t="shared" si="270"/>
        <v>1.3858233683907217</v>
      </c>
      <c r="AE223" s="51"/>
      <c r="AF223" s="61">
        <f t="shared" si="271"/>
        <v>0.12612487274392795</v>
      </c>
      <c r="AG223" s="51"/>
      <c r="AH223" s="51"/>
      <c r="AI223" s="61">
        <f t="shared" si="276"/>
        <v>1.0917953570201064</v>
      </c>
      <c r="AJ223" s="51"/>
      <c r="AK223" s="536">
        <f t="shared" si="277"/>
        <v>0.33012440400130078</v>
      </c>
      <c r="AL223" s="552">
        <f t="shared" si="278"/>
        <v>0.17130980922074257</v>
      </c>
      <c r="AM223" s="443">
        <f t="shared" ref="AM223:AV223" si="350">AM38</f>
        <v>2711.7122380000001</v>
      </c>
      <c r="AN223" s="443">
        <f t="shared" si="350"/>
        <v>2338.2454799999996</v>
      </c>
      <c r="AO223" s="443">
        <f t="shared" si="350"/>
        <v>1857.3729839999999</v>
      </c>
      <c r="AP223" s="443">
        <f t="shared" si="350"/>
        <v>2129.8883219999998</v>
      </c>
      <c r="AQ223" s="443">
        <f t="shared" si="350"/>
        <v>2701.4858639999998</v>
      </c>
      <c r="AR223" s="443">
        <f t="shared" si="350"/>
        <v>4841.9965519999996</v>
      </c>
      <c r="AS223" s="443">
        <f t="shared" si="350"/>
        <v>4246.9998399999995</v>
      </c>
      <c r="AT223" s="443">
        <f t="shared" si="350"/>
        <v>3368.4984239999999</v>
      </c>
      <c r="AU223" s="443">
        <f t="shared" si="350"/>
        <v>2613.3036229999998</v>
      </c>
      <c r="AV223" s="443">
        <f t="shared" si="350"/>
        <v>2826.956592</v>
      </c>
      <c r="AW223" s="553">
        <f t="shared" ref="AW223:BB223" si="351">AW38</f>
        <v>0.24631888935633151</v>
      </c>
      <c r="AX223" s="553">
        <f t="shared" si="351"/>
        <v>0.88338192419825068</v>
      </c>
      <c r="AY223" s="553">
        <f t="shared" si="351"/>
        <v>0.74413754750208538</v>
      </c>
      <c r="AZ223" s="538">
        <f t="shared" si="351"/>
        <v>0.25006282291447773</v>
      </c>
      <c r="BA223" s="538">
        <f t="shared" si="351"/>
        <v>0.91998543206599204</v>
      </c>
      <c r="BB223" s="538">
        <f t="shared" si="351"/>
        <v>0.83855812530255713</v>
      </c>
    </row>
    <row r="224" spans="1:54" ht="15" customHeight="1">
      <c r="A224" s="449">
        <v>2005</v>
      </c>
      <c r="B224" s="449"/>
      <c r="C224" s="450"/>
      <c r="D224" s="451">
        <v>0.17899999999999999</v>
      </c>
      <c r="E224" s="646"/>
      <c r="F224" s="451"/>
      <c r="G224" s="451"/>
      <c r="H224" s="646"/>
      <c r="I224" s="451"/>
      <c r="J224" s="437" t="s">
        <v>326</v>
      </c>
      <c r="K224" s="543">
        <f t="shared" si="339"/>
        <v>10.567919262748541</v>
      </c>
      <c r="L224" s="543">
        <f t="shared" si="339"/>
        <v>10.747787795495315</v>
      </c>
      <c r="M224" s="543">
        <f t="shared" si="339"/>
        <v>10.19346532785322</v>
      </c>
      <c r="N224" s="543">
        <f t="shared" si="339"/>
        <v>10.029729701697129</v>
      </c>
      <c r="O224" s="543">
        <f t="shared" si="339"/>
        <v>10.084773798819414</v>
      </c>
      <c r="P224" s="550">
        <f t="shared" si="257"/>
        <v>2.6022332159633E-2</v>
      </c>
      <c r="Q224" s="550">
        <f t="shared" si="258"/>
        <v>0.25316732284246485</v>
      </c>
      <c r="R224" s="550">
        <f t="shared" si="259"/>
        <v>0.11457891308115728</v>
      </c>
      <c r="S224" s="550">
        <f t="shared" si="260"/>
        <v>0.58779838431444054</v>
      </c>
      <c r="T224" s="550">
        <f t="shared" si="261"/>
        <v>0.36815137076168747</v>
      </c>
      <c r="U224" s="551">
        <f t="shared" si="275"/>
        <v>0.92606917606139127</v>
      </c>
      <c r="V224" s="551">
        <f t="shared" si="262"/>
        <v>0.94300868553583561</v>
      </c>
      <c r="W224" s="551">
        <f t="shared" si="263"/>
        <v>0.9341476363396658</v>
      </c>
      <c r="X224" s="551">
        <f t="shared" si="264"/>
        <v>0.91166118919973127</v>
      </c>
      <c r="Y224" s="551">
        <f t="shared" si="265"/>
        <v>0.93260833304548263</v>
      </c>
      <c r="Z224" s="551">
        <f t="shared" si="266"/>
        <v>2.5827488921881653E-2</v>
      </c>
      <c r="AA224" s="551">
        <f t="shared" si="267"/>
        <v>1.8419635102265512E-2</v>
      </c>
      <c r="AB224" s="551">
        <f t="shared" si="268"/>
        <v>1.4359597827930295E-2</v>
      </c>
      <c r="AC224" s="551">
        <f t="shared" si="269"/>
        <v>1.8139108098428822E-2</v>
      </c>
      <c r="AD224" s="551">
        <f t="shared" si="270"/>
        <v>1.9463476848193603E-2</v>
      </c>
      <c r="AE224" s="51"/>
      <c r="AF224" s="61">
        <f t="shared" si="271"/>
        <v>-5.5201985700440419E-3</v>
      </c>
      <c r="AG224" s="51"/>
      <c r="AH224" s="51"/>
      <c r="AI224" s="61">
        <f t="shared" si="276"/>
        <v>-8.1341257330579841E-2</v>
      </c>
      <c r="AJ224" s="51"/>
      <c r="AK224" s="536">
        <f t="shared" si="277"/>
        <v>0.10869152903380605</v>
      </c>
      <c r="AL224" s="552">
        <f t="shared" si="278"/>
        <v>1.5393032941831697E-3</v>
      </c>
      <c r="AM224" s="443">
        <f t="shared" ref="AM224:AV224" si="352">AM39</f>
        <v>111258.147830769</v>
      </c>
      <c r="AN224" s="443">
        <f t="shared" si="352"/>
        <v>143957.11722326299</v>
      </c>
      <c r="AO224" s="443">
        <f t="shared" si="352"/>
        <v>122572.845569193</v>
      </c>
      <c r="AP224" s="443">
        <f t="shared" si="352"/>
        <v>110507.38537617</v>
      </c>
      <c r="AQ224" s="443">
        <f t="shared" si="352"/>
        <v>83013.4100517482</v>
      </c>
      <c r="AR224" s="443">
        <f t="shared" si="352"/>
        <v>29653.715611338601</v>
      </c>
      <c r="AS224" s="443">
        <f t="shared" si="352"/>
        <v>37723.475248575203</v>
      </c>
      <c r="AT224" s="443">
        <f t="shared" si="352"/>
        <v>30617.093180984299</v>
      </c>
      <c r="AU224" s="443">
        <f t="shared" si="352"/>
        <v>2845.19940534234</v>
      </c>
      <c r="AV224" s="443">
        <f t="shared" si="352"/>
        <v>42798.0129644275</v>
      </c>
      <c r="AW224" s="553">
        <f t="shared" ref="AW224:BB224" si="353">AW39</f>
        <v>0.20623597678916822</v>
      </c>
      <c r="AX224" s="553">
        <f t="shared" si="353"/>
        <v>4.6878309625168679</v>
      </c>
      <c r="AY224" s="553">
        <f t="shared" si="353"/>
        <v>0.10002452220825085</v>
      </c>
      <c r="AZ224" s="538">
        <f t="shared" si="353"/>
        <v>0.19950286939422202</v>
      </c>
      <c r="BA224" s="538">
        <f t="shared" si="353"/>
        <v>4.2843761943815295</v>
      </c>
      <c r="BB224" s="538">
        <f t="shared" si="353"/>
        <v>9.5082986268528263E-2</v>
      </c>
    </row>
    <row r="225" spans="1:54" ht="15" customHeight="1">
      <c r="A225" s="449">
        <v>2007</v>
      </c>
      <c r="B225" s="449"/>
      <c r="C225" s="449"/>
      <c r="D225" s="452"/>
      <c r="E225" s="647"/>
      <c r="F225" s="452"/>
      <c r="G225" s="452"/>
      <c r="H225" s="647"/>
      <c r="I225" s="452"/>
      <c r="J225" s="437" t="s">
        <v>327</v>
      </c>
      <c r="K225" s="543">
        <f t="shared" si="339"/>
        <v>6.8853212433727657</v>
      </c>
      <c r="L225" s="543">
        <f t="shared" si="339"/>
        <v>7.2272779483488812</v>
      </c>
      <c r="M225" s="543">
        <f t="shared" si="339"/>
        <v>7.4543065488224141</v>
      </c>
      <c r="N225" s="543">
        <f t="shared" si="339"/>
        <v>6.7442572957550713</v>
      </c>
      <c r="O225" s="543">
        <f t="shared" si="339"/>
        <v>0</v>
      </c>
      <c r="P225" s="550">
        <f t="shared" si="257"/>
        <v>-0.1</v>
      </c>
      <c r="Q225" s="550">
        <f t="shared" si="258"/>
        <v>3.8771995977878304</v>
      </c>
      <c r="R225" s="550">
        <f t="shared" si="259"/>
        <v>-2.3304110495409858</v>
      </c>
      <c r="S225" s="550">
        <f t="shared" si="260"/>
        <v>2.0430996952546838</v>
      </c>
      <c r="T225" s="550">
        <f t="shared" si="261"/>
        <v>504.63259658217402</v>
      </c>
      <c r="U225" s="551">
        <f t="shared" si="275"/>
        <v>0.15918261368804398</v>
      </c>
      <c r="V225" s="551">
        <f t="shared" si="262"/>
        <v>0.20355522923680405</v>
      </c>
      <c r="W225" s="551">
        <f t="shared" si="263"/>
        <v>0.27670562866384396</v>
      </c>
      <c r="X225" s="551">
        <f t="shared" si="264"/>
        <v>4.5757604375037675E-2</v>
      </c>
      <c r="Y225" s="551">
        <f t="shared" si="265"/>
        <v>4.7901054268746746E-2</v>
      </c>
      <c r="Z225" s="551">
        <f t="shared" si="266"/>
        <v>4.6204162728964559E-3</v>
      </c>
      <c r="AA225" s="551">
        <f t="shared" si="267"/>
        <v>6.072174618523816E-3</v>
      </c>
      <c r="AB225" s="551">
        <f t="shared" si="268"/>
        <v>8.6332835895494998E-3</v>
      </c>
      <c r="AC225" s="551">
        <f t="shared" si="269"/>
        <v>7.8881171713356211E-3</v>
      </c>
      <c r="AD225" s="551">
        <f t="shared" si="270"/>
        <v>1.2912780748392049E-5</v>
      </c>
      <c r="AE225" s="51"/>
      <c r="AF225" s="61">
        <f t="shared" si="271"/>
        <v>-2.6635309549064408E-2</v>
      </c>
      <c r="AG225" s="51"/>
      <c r="AH225" s="51"/>
      <c r="AI225" s="61">
        <f t="shared" si="276"/>
        <v>-3.4659996134424255E-2</v>
      </c>
      <c r="AJ225" s="51"/>
      <c r="AK225" s="536">
        <f t="shared" si="277"/>
        <v>7.4543065488224141</v>
      </c>
      <c r="AL225" s="552">
        <f t="shared" si="278"/>
        <v>0.22880457439509722</v>
      </c>
      <c r="AM225" s="443">
        <f t="shared" ref="AM225:AV225" si="354">AM40</f>
        <v>177941.64485409899</v>
      </c>
      <c r="AN225" s="443">
        <f t="shared" si="354"/>
        <v>180542.03990832</v>
      </c>
      <c r="AO225" s="443">
        <f t="shared" si="354"/>
        <v>144711.43504053398</v>
      </c>
      <c r="AP225" s="443">
        <f t="shared" si="354"/>
        <v>102725.878554761</v>
      </c>
      <c r="AQ225" s="443">
        <f t="shared" si="354"/>
        <v>73733.068367153406</v>
      </c>
      <c r="AR225" s="443">
        <f t="shared" si="354"/>
        <v>32346.246938779997</v>
      </c>
      <c r="AS225" s="443">
        <f t="shared" si="354"/>
        <v>41187.888905107997</v>
      </c>
      <c r="AT225" s="443">
        <f t="shared" si="354"/>
        <v>40318.430373802803</v>
      </c>
      <c r="AU225" s="443">
        <f t="shared" si="354"/>
        <v>2977.4491841793101</v>
      </c>
      <c r="AV225" s="443">
        <f t="shared" si="354"/>
        <v>3264.377053231</v>
      </c>
      <c r="AW225" s="553">
        <f t="shared" ref="AW225:BB225" si="355">AW40</f>
        <v>0.15458771715194514</v>
      </c>
      <c r="AX225" s="553">
        <f t="shared" si="355"/>
        <v>0.5826918301465116</v>
      </c>
      <c r="AY225" s="553">
        <f t="shared" si="355"/>
        <v>-9.9837366110498912E-2</v>
      </c>
      <c r="AZ225" s="538">
        <f t="shared" si="355"/>
        <v>1.3921124706734385E-2</v>
      </c>
      <c r="BA225" s="538">
        <f t="shared" si="355"/>
        <v>4.2778718572199184E-2</v>
      </c>
      <c r="BB225" s="538">
        <f t="shared" si="355"/>
        <v>-4.7744694715589411E-2</v>
      </c>
    </row>
    <row r="226" spans="1:54" ht="15" customHeight="1">
      <c r="A226" s="449">
        <v>2007</v>
      </c>
      <c r="B226" s="449"/>
      <c r="C226" s="449"/>
      <c r="D226" s="451">
        <v>0.17899999999999999</v>
      </c>
      <c r="E226" s="646"/>
      <c r="F226" s="451"/>
      <c r="G226" s="451"/>
      <c r="H226" s="646"/>
      <c r="I226" s="451"/>
      <c r="J226" s="437" t="s">
        <v>328</v>
      </c>
      <c r="K226" s="543">
        <f t="shared" si="339"/>
        <v>5.8292467538767774</v>
      </c>
      <c r="L226" s="543">
        <f t="shared" si="339"/>
        <v>6.0680410378643357</v>
      </c>
      <c r="M226" s="543">
        <f t="shared" si="339"/>
        <v>5.7647432191493708</v>
      </c>
      <c r="N226" s="543">
        <f t="shared" si="339"/>
        <v>6.579969792573535</v>
      </c>
      <c r="O226" s="543">
        <f t="shared" si="339"/>
        <v>6.4319842687858317</v>
      </c>
      <c r="P226" s="550">
        <f t="shared" si="257"/>
        <v>-65.321123933768121</v>
      </c>
      <c r="Q226" s="550">
        <f t="shared" si="258"/>
        <v>-6.4919871794871824</v>
      </c>
      <c r="R226" s="550">
        <f t="shared" si="259"/>
        <v>2.8405017921146931</v>
      </c>
      <c r="S226" s="550">
        <f t="shared" si="260"/>
        <v>-8.9851205746536653</v>
      </c>
      <c r="T226" s="550">
        <f t="shared" si="261"/>
        <v>-0.38431876606683807</v>
      </c>
      <c r="U226" s="551">
        <f t="shared" si="275"/>
        <v>0.45728911406106781</v>
      </c>
      <c r="V226" s="551">
        <f t="shared" si="262"/>
        <v>0.31398964787128941</v>
      </c>
      <c r="W226" s="551">
        <f t="shared" si="263"/>
        <v>0.21066272823364215</v>
      </c>
      <c r="X226" s="551">
        <f t="shared" si="264"/>
        <v>0.18928181661529042</v>
      </c>
      <c r="Y226" s="551">
        <f t="shared" si="265"/>
        <v>5.3743100074566764E-2</v>
      </c>
      <c r="Z226" s="551">
        <f t="shared" si="266"/>
        <v>1.4981132642783097E-2</v>
      </c>
      <c r="AA226" s="551">
        <f t="shared" si="267"/>
        <v>8.4828999554783773E-3</v>
      </c>
      <c r="AB226" s="551">
        <f t="shared" si="268"/>
        <v>8.0795795143564705E-3</v>
      </c>
      <c r="AC226" s="551">
        <f t="shared" si="269"/>
        <v>1.4926573359627798E-2</v>
      </c>
      <c r="AD226" s="551">
        <f t="shared" si="270"/>
        <v>1.9467423343892808E-2</v>
      </c>
      <c r="AE226" s="51"/>
      <c r="AF226" s="61">
        <f t="shared" si="271"/>
        <v>3.043175620808836E-2</v>
      </c>
      <c r="AG226" s="51"/>
      <c r="AH226" s="51"/>
      <c r="AI226" s="61">
        <f t="shared" si="276"/>
        <v>3.698185583625755E-2</v>
      </c>
      <c r="AJ226" s="51"/>
      <c r="AK226" s="536">
        <f t="shared" si="277"/>
        <v>-0.66724104963646025</v>
      </c>
      <c r="AL226" s="552">
        <f t="shared" si="278"/>
        <v>0.1569196281590754</v>
      </c>
      <c r="AM226" s="443">
        <f t="shared" ref="AM226:AV226" si="356">AM41</f>
        <v>12320.4782746732</v>
      </c>
      <c r="AN226" s="443">
        <f t="shared" si="356"/>
        <v>34922.318026870496</v>
      </c>
      <c r="AO226" s="443">
        <f t="shared" si="356"/>
        <v>31150.715678259701</v>
      </c>
      <c r="AP226" s="443">
        <f t="shared" si="356"/>
        <v>39134.0113005042</v>
      </c>
      <c r="AQ226" s="443">
        <f t="shared" si="356"/>
        <v>30204.792854368701</v>
      </c>
      <c r="AR226" s="443">
        <f t="shared" si="356"/>
        <v>77.645054087042794</v>
      </c>
      <c r="AS226" s="443">
        <f t="shared" si="356"/>
        <v>180.96885651350001</v>
      </c>
      <c r="AT226" s="443">
        <f t="shared" si="356"/>
        <v>240.000010728836</v>
      </c>
      <c r="AU226" s="443">
        <f t="shared" si="356"/>
        <v>177.26432627439499</v>
      </c>
      <c r="AV226" s="443">
        <f t="shared" si="356"/>
        <v>327.316299587488</v>
      </c>
      <c r="AW226" s="553">
        <f t="shared" ref="AW226:BB226" si="357">AW41</f>
        <v>-0.72962420693021013</v>
      </c>
      <c r="AX226" s="553">
        <f t="shared" si="357"/>
        <v>-36.5213764337852</v>
      </c>
      <c r="AY226" s="553">
        <f t="shared" si="357"/>
        <v>3.7738095238095228</v>
      </c>
      <c r="AZ226" s="538">
        <f t="shared" si="357"/>
        <v>-4.6693962887902243E-2</v>
      </c>
      <c r="BA226" s="538">
        <f t="shared" si="357"/>
        <v>-7.0469495380803906</v>
      </c>
      <c r="BB226" s="538">
        <f t="shared" si="357"/>
        <v>0.81795403110801146</v>
      </c>
    </row>
    <row r="227" spans="1:54" ht="15" customHeight="1">
      <c r="A227" s="449">
        <v>2005</v>
      </c>
      <c r="B227" s="449"/>
      <c r="C227" s="450"/>
      <c r="D227" s="454">
        <v>0.49</v>
      </c>
      <c r="E227" s="648"/>
      <c r="F227" s="454"/>
      <c r="G227" s="454"/>
      <c r="H227" s="648"/>
      <c r="I227" s="454"/>
      <c r="J227" s="437" t="s">
        <v>343</v>
      </c>
      <c r="K227" s="543">
        <f t="shared" si="339"/>
        <v>14.701248792229137</v>
      </c>
      <c r="L227" s="543">
        <f t="shared" si="339"/>
        <v>14.691200207581929</v>
      </c>
      <c r="M227" s="543">
        <f t="shared" si="339"/>
        <v>13.690914195319959</v>
      </c>
      <c r="N227" s="543">
        <f t="shared" si="339"/>
        <v>12.574075765936394</v>
      </c>
      <c r="O227" s="543">
        <f t="shared" si="339"/>
        <v>12.758023002321853</v>
      </c>
      <c r="P227" s="550">
        <f t="shared" si="257"/>
        <v>-0.21138874471713501</v>
      </c>
      <c r="Q227" s="550">
        <f t="shared" si="258"/>
        <v>3.5640459049112556E-4</v>
      </c>
      <c r="R227" s="550">
        <f t="shared" si="259"/>
        <v>0.32720939279272909</v>
      </c>
      <c r="S227" s="550">
        <f t="shared" si="260"/>
        <v>0.20175737373248209</v>
      </c>
      <c r="T227" s="550">
        <f t="shared" si="261"/>
        <v>-9.3835870903235641E-2</v>
      </c>
      <c r="U227" s="551">
        <f t="shared" si="275"/>
        <v>0.57670654468684035</v>
      </c>
      <c r="V227" s="551">
        <f t="shared" si="262"/>
        <v>0.46150196264504162</v>
      </c>
      <c r="W227" s="551">
        <f t="shared" si="263"/>
        <v>0.50320979169256186</v>
      </c>
      <c r="X227" s="551">
        <f t="shared" si="264"/>
        <v>0.57285525398980175</v>
      </c>
      <c r="Y227" s="551">
        <f t="shared" si="265"/>
        <v>0.88716815115481551</v>
      </c>
      <c r="Z227" s="551">
        <f t="shared" si="266"/>
        <v>0.5932002111189304</v>
      </c>
      <c r="AA227" s="551">
        <f t="shared" si="267"/>
        <v>0.60514169865849976</v>
      </c>
      <c r="AB227" s="551">
        <f t="shared" si="268"/>
        <v>0.20675006763228509</v>
      </c>
      <c r="AC227" s="551">
        <f t="shared" si="269"/>
        <v>0.46197827941053282</v>
      </c>
      <c r="AD227" s="551">
        <f t="shared" si="270"/>
        <v>0.77674430820613705</v>
      </c>
      <c r="AE227" s="51"/>
      <c r="AF227" s="61">
        <f t="shared" si="271"/>
        <v>0.14053704271946982</v>
      </c>
      <c r="AG227" s="51"/>
      <c r="AH227" s="51"/>
      <c r="AI227" s="61">
        <f t="shared" si="276"/>
        <v>0.78215916989023737</v>
      </c>
      <c r="AJ227" s="51"/>
      <c r="AK227" s="536">
        <f t="shared" si="277"/>
        <v>0.93289119299810519</v>
      </c>
      <c r="AL227" s="552">
        <f t="shared" si="278"/>
        <v>-0.38395835946225365</v>
      </c>
      <c r="AM227" s="443">
        <f t="shared" ref="AM227:AV227" si="358">AM42</f>
        <v>1730440.25</v>
      </c>
      <c r="AN227" s="443">
        <f t="shared" si="358"/>
        <v>2136162.2079999996</v>
      </c>
      <c r="AO227" s="443">
        <f t="shared" si="358"/>
        <v>2121367.2228000001</v>
      </c>
      <c r="AP227" s="443">
        <f t="shared" si="358"/>
        <v>267180.79141399998</v>
      </c>
      <c r="AQ227" s="443">
        <f t="shared" si="358"/>
        <v>50452.909559999993</v>
      </c>
      <c r="AR227" s="443">
        <f t="shared" si="358"/>
        <v>1366014.0279999999</v>
      </c>
      <c r="AS227" s="443">
        <f t="shared" si="358"/>
        <v>1230808.6159999999</v>
      </c>
      <c r="AT227" s="443">
        <f t="shared" si="358"/>
        <v>1480746.8232</v>
      </c>
      <c r="AU227" s="443">
        <f t="shared" si="358"/>
        <v>253583.74483099999</v>
      </c>
      <c r="AV227" s="443">
        <f t="shared" si="358"/>
        <v>328572.15775199997</v>
      </c>
      <c r="AW227" s="553">
        <f t="shared" ref="AW227:BB227" si="359">AW42</f>
        <v>-9.9192107849258623E-2</v>
      </c>
      <c r="AX227" s="553">
        <f t="shared" si="359"/>
        <v>0.22991098665198337</v>
      </c>
      <c r="AY227" s="553">
        <f t="shared" si="359"/>
        <v>0.19508929512724818</v>
      </c>
      <c r="AZ227" s="538">
        <f t="shared" si="359"/>
        <v>-0.16088682500138998</v>
      </c>
      <c r="BA227" s="538">
        <f t="shared" si="359"/>
        <v>0.22491324102888777</v>
      </c>
      <c r="BB227" s="538">
        <f t="shared" si="359"/>
        <v>0.16582140765224695</v>
      </c>
    </row>
    <row r="228" spans="1:54" ht="15" customHeight="1">
      <c r="A228" s="449">
        <v>2007</v>
      </c>
      <c r="B228" s="449"/>
      <c r="C228" s="450"/>
      <c r="D228" s="452"/>
      <c r="E228" s="647"/>
      <c r="F228" s="452"/>
      <c r="G228" s="452"/>
      <c r="H228" s="647"/>
      <c r="I228" s="452"/>
      <c r="J228" s="437" t="s">
        <v>335</v>
      </c>
      <c r="K228" s="543">
        <f t="shared" ref="K228:O231" si="360">LN(K43)</f>
        <v>11.696942430413046</v>
      </c>
      <c r="L228" s="543">
        <f t="shared" si="360"/>
        <v>11.658250392169123</v>
      </c>
      <c r="M228" s="543">
        <f t="shared" si="360"/>
        <v>11.890898068479409</v>
      </c>
      <c r="N228" s="543">
        <f t="shared" si="360"/>
        <v>11.594051760119978</v>
      </c>
      <c r="O228" s="543">
        <f t="shared" si="360"/>
        <v>11.512172489555381</v>
      </c>
      <c r="P228" s="550">
        <f t="shared" si="257"/>
        <v>0.12582690187431092</v>
      </c>
      <c r="Q228" s="550">
        <f t="shared" si="258"/>
        <v>-0.78985907709311953</v>
      </c>
      <c r="R228" s="550">
        <f t="shared" si="259"/>
        <v>-1.2568966366884315</v>
      </c>
      <c r="S228" s="550">
        <f t="shared" si="260"/>
        <v>1.7444114862732722</v>
      </c>
      <c r="T228" s="550">
        <f t="shared" si="261"/>
        <v>1.1090454616466177</v>
      </c>
      <c r="U228" s="551">
        <f t="shared" si="275"/>
        <v>0.77556728046158019</v>
      </c>
      <c r="V228" s="551">
        <f t="shared" si="262"/>
        <v>0.76664611912697322</v>
      </c>
      <c r="W228" s="551">
        <f t="shared" si="263"/>
        <v>0.72386596403998671</v>
      </c>
      <c r="X228" s="551">
        <f t="shared" si="264"/>
        <v>0.65004866939705042</v>
      </c>
      <c r="Y228" s="551">
        <f t="shared" si="265"/>
        <v>0.71257325265615323</v>
      </c>
      <c r="Z228" s="551">
        <f t="shared" si="266"/>
        <v>8.5265396773170077E-2</v>
      </c>
      <c r="AA228" s="551">
        <f t="shared" si="267"/>
        <v>7.5621911339107534E-2</v>
      </c>
      <c r="AB228" s="551">
        <f t="shared" si="268"/>
        <v>7.1053414800679296E-2</v>
      </c>
      <c r="AC228" s="551">
        <f t="shared" si="269"/>
        <v>5.8201252548256165E-2</v>
      </c>
      <c r="AD228" s="551">
        <f t="shared" si="270"/>
        <v>6.0993853923483735E-2</v>
      </c>
      <c r="AE228" s="51"/>
      <c r="AF228" s="61">
        <f t="shared" si="271"/>
        <v>-0.15695175497037822</v>
      </c>
      <c r="AG228" s="51"/>
      <c r="AH228" s="51"/>
      <c r="AI228" s="61">
        <f t="shared" si="276"/>
        <v>-0.55874700805789212</v>
      </c>
      <c r="AJ228" s="51"/>
      <c r="AK228" s="536">
        <f t="shared" si="277"/>
        <v>0.37872557892402881</v>
      </c>
      <c r="AL228" s="552">
        <f t="shared" si="278"/>
        <v>1.1292711383833476E-2</v>
      </c>
      <c r="AM228" s="443">
        <f t="shared" ref="AM228:AV228" si="361">AM43</f>
        <v>316395.94390000001</v>
      </c>
      <c r="AN228" s="443">
        <f t="shared" si="361"/>
        <v>356846.29499999998</v>
      </c>
      <c r="AO228" s="443">
        <f t="shared" si="361"/>
        <v>567152.91559999995</v>
      </c>
      <c r="AP228" s="443">
        <f t="shared" si="361"/>
        <v>652090.72079999989</v>
      </c>
      <c r="AQ228" s="443">
        <f t="shared" si="361"/>
        <v>470899.78200000001</v>
      </c>
      <c r="AR228" s="443">
        <f t="shared" si="361"/>
        <v>1057115.9732000001</v>
      </c>
      <c r="AS228" s="443">
        <f t="shared" si="361"/>
        <v>1140406.3059999999</v>
      </c>
      <c r="AT228" s="443">
        <f t="shared" si="361"/>
        <v>1398393.4865999999</v>
      </c>
      <c r="AU228" s="443">
        <f t="shared" si="361"/>
        <v>1188886.176</v>
      </c>
      <c r="AV228" s="443">
        <f t="shared" si="361"/>
        <v>1128848.1695999999</v>
      </c>
      <c r="AW228" s="553">
        <f t="shared" ref="AW228:BB228" si="362">AW43</f>
        <v>9.8171811041044374E-2</v>
      </c>
      <c r="AX228" s="553">
        <f t="shared" si="362"/>
        <v>0.15912607944732296</v>
      </c>
      <c r="AY228" s="553">
        <f t="shared" si="362"/>
        <v>-0.1311660945475116</v>
      </c>
      <c r="AZ228" s="538">
        <f t="shared" si="362"/>
        <v>0.13759825244850055</v>
      </c>
      <c r="BA228" s="538">
        <f t="shared" si="362"/>
        <v>0.20496662967177126</v>
      </c>
      <c r="BB228" s="538">
        <f t="shared" si="362"/>
        <v>-0.1842518566900741</v>
      </c>
    </row>
    <row r="229" spans="1:54" ht="15" customHeight="1">
      <c r="A229" s="449">
        <v>2003</v>
      </c>
      <c r="B229" s="449"/>
      <c r="C229" s="450"/>
      <c r="D229" s="454">
        <v>0.32</v>
      </c>
      <c r="E229" s="648"/>
      <c r="F229" s="454"/>
      <c r="G229" s="454"/>
      <c r="H229" s="648"/>
      <c r="I229" s="454"/>
      <c r="J229" s="437" t="s">
        <v>344</v>
      </c>
      <c r="K229" s="543">
        <f t="shared" si="360"/>
        <v>10.450943576489607</v>
      </c>
      <c r="L229" s="543">
        <f t="shared" si="360"/>
        <v>10.334937975253958</v>
      </c>
      <c r="M229" s="543">
        <f t="shared" si="360"/>
        <v>10.347148134765753</v>
      </c>
      <c r="N229" s="543">
        <f t="shared" si="360"/>
        <v>10.257251886195386</v>
      </c>
      <c r="O229" s="543">
        <f t="shared" si="360"/>
        <v>10.574633203510292</v>
      </c>
      <c r="P229" s="550">
        <f t="shared" si="257"/>
        <v>-6.0904584322825899E-3</v>
      </c>
      <c r="Q229" s="550">
        <f t="shared" si="258"/>
        <v>-9.6581641155646686E-2</v>
      </c>
      <c r="R229" s="550">
        <f t="shared" si="259"/>
        <v>2.2932694830127304E-2</v>
      </c>
      <c r="S229" s="550">
        <f t="shared" si="260"/>
        <v>-0.17746986996511258</v>
      </c>
      <c r="T229" s="550">
        <f t="shared" si="261"/>
        <v>-0.17453437073875031</v>
      </c>
      <c r="U229" s="551">
        <f t="shared" si="275"/>
        <v>0.70832084961528896</v>
      </c>
      <c r="V229" s="551">
        <f t="shared" si="262"/>
        <v>0.67886530818158886</v>
      </c>
      <c r="W229" s="551">
        <f t="shared" si="263"/>
        <v>0.53425784628800077</v>
      </c>
      <c r="X229" s="551">
        <f t="shared" si="264"/>
        <v>0.60814561044230508</v>
      </c>
      <c r="Y229" s="551">
        <f t="shared" si="265"/>
        <v>0.48019309725429815</v>
      </c>
      <c r="Z229" s="551">
        <f t="shared" si="266"/>
        <v>1.4119499461340845</v>
      </c>
      <c r="AA229" s="551">
        <f t="shared" si="267"/>
        <v>1.3499792068610541</v>
      </c>
      <c r="AB229" s="551">
        <f t="shared" si="268"/>
        <v>1.4743707850155767</v>
      </c>
      <c r="AC229" s="551">
        <f t="shared" si="269"/>
        <v>1.2873739210319814</v>
      </c>
      <c r="AD229" s="551">
        <f t="shared" si="270"/>
        <v>1.6662122572919338</v>
      </c>
      <c r="AE229" s="51"/>
      <c r="AF229" s="61">
        <f t="shared" si="271"/>
        <v>0.32462260312285784</v>
      </c>
      <c r="AG229" s="51"/>
      <c r="AH229" s="51"/>
      <c r="AI229" s="61">
        <f t="shared" si="276"/>
        <v>0.63205576607616643</v>
      </c>
      <c r="AJ229" s="51"/>
      <c r="AK229" s="536">
        <f t="shared" si="277"/>
        <v>-0.22748506874453905</v>
      </c>
      <c r="AL229" s="552">
        <f t="shared" si="278"/>
        <v>5.4064749033702619E-2</v>
      </c>
      <c r="AM229" s="443">
        <f t="shared" ref="AM229:AV229" si="363">AM44</f>
        <v>7142.8776479999997</v>
      </c>
      <c r="AN229" s="443">
        <f t="shared" si="363"/>
        <v>7324.3093449999997</v>
      </c>
      <c r="AO229" s="443">
        <f t="shared" si="363"/>
        <v>9845.8842599999989</v>
      </c>
      <c r="AP229" s="443">
        <f t="shared" si="363"/>
        <v>8671.3736939999999</v>
      </c>
      <c r="AQ229" s="443">
        <f t="shared" si="363"/>
        <v>12207.214217999999</v>
      </c>
      <c r="AR229" s="443">
        <f t="shared" si="363"/>
        <v>1742.3213880000001</v>
      </c>
      <c r="AS229" s="443">
        <f t="shared" si="363"/>
        <v>6342.0853319999997</v>
      </c>
      <c r="AT229" s="443">
        <f t="shared" si="363"/>
        <v>4285.033488</v>
      </c>
      <c r="AU229" s="443">
        <f t="shared" si="363"/>
        <v>4860.5829329999997</v>
      </c>
      <c r="AV229" s="443">
        <f t="shared" si="363"/>
        <v>642.54442799999993</v>
      </c>
      <c r="AW229" s="553">
        <f t="shared" ref="AW229:BB229" si="364">AW44</f>
        <v>-10.628761234857366</v>
      </c>
      <c r="AX229" s="553">
        <f t="shared" si="364"/>
        <v>-1.0401696244445089</v>
      </c>
      <c r="AY229" s="553">
        <f t="shared" si="364"/>
        <v>0.16680543991118513</v>
      </c>
      <c r="AZ229" s="538">
        <f t="shared" si="364"/>
        <v>-5.3946690851862185</v>
      </c>
      <c r="BA229" s="538">
        <f t="shared" si="364"/>
        <v>-0.86104467358337211</v>
      </c>
      <c r="BB229" s="538">
        <f t="shared" si="364"/>
        <v>0.12292754589198857</v>
      </c>
    </row>
    <row r="230" spans="1:54" ht="15" customHeight="1">
      <c r="A230" s="449">
        <v>2018</v>
      </c>
      <c r="B230" s="449"/>
      <c r="C230" s="450"/>
      <c r="D230" s="454">
        <v>0.31</v>
      </c>
      <c r="E230" s="648"/>
      <c r="F230" s="454"/>
      <c r="G230" s="454"/>
      <c r="H230" s="648"/>
      <c r="I230" s="454"/>
      <c r="J230" s="436" t="s">
        <v>341</v>
      </c>
      <c r="K230" s="543">
        <f t="shared" si="360"/>
        <v>14.913303545440741</v>
      </c>
      <c r="L230" s="543">
        <f t="shared" si="360"/>
        <v>14.648299917376944</v>
      </c>
      <c r="M230" s="543">
        <f t="shared" si="360"/>
        <v>14.254428054547491</v>
      </c>
      <c r="N230" s="543">
        <f t="shared" si="360"/>
        <v>13.855828967519521</v>
      </c>
      <c r="O230" s="543">
        <f t="shared" si="360"/>
        <v>13.698266480102426</v>
      </c>
      <c r="P230" s="550">
        <f t="shared" si="257"/>
        <v>8.5832195685877251E-3</v>
      </c>
      <c r="Q230" s="550">
        <f t="shared" si="258"/>
        <v>6.1424857892410072E-3</v>
      </c>
      <c r="R230" s="550">
        <f t="shared" si="259"/>
        <v>-8.9844191740062534E-4</v>
      </c>
      <c r="S230" s="550">
        <f t="shared" si="260"/>
        <v>1.69814377985761E-3</v>
      </c>
      <c r="T230" s="550">
        <f t="shared" si="261"/>
        <v>-6.1121282241753732E-3</v>
      </c>
      <c r="U230" s="551">
        <f t="shared" si="275"/>
        <v>0.80888944505374516</v>
      </c>
      <c r="V230" s="551">
        <f t="shared" si="262"/>
        <v>0.82529860042384073</v>
      </c>
      <c r="W230" s="551">
        <f t="shared" si="263"/>
        <v>0.85990332730584729</v>
      </c>
      <c r="X230" s="551">
        <f t="shared" si="264"/>
        <v>0.82932502182527756</v>
      </c>
      <c r="Y230" s="551">
        <f t="shared" si="265"/>
        <v>0.81664440583668696</v>
      </c>
      <c r="Z230" s="551">
        <f t="shared" si="266"/>
        <v>2.3414125134967394</v>
      </c>
      <c r="AA230" s="551">
        <f t="shared" si="267"/>
        <v>3.1065420184821648</v>
      </c>
      <c r="AB230" s="551">
        <f t="shared" si="268"/>
        <v>3.2589629726063651</v>
      </c>
      <c r="AC230" s="551">
        <f t="shared" si="269"/>
        <v>2.6337414274473545</v>
      </c>
      <c r="AD230" s="551">
        <f t="shared" si="270"/>
        <v>2.3653965953402207</v>
      </c>
      <c r="AE230" s="51"/>
      <c r="AF230" s="61">
        <f t="shared" si="271"/>
        <v>1.1529618349901195E-2</v>
      </c>
      <c r="AG230" s="51"/>
      <c r="AH230" s="51"/>
      <c r="AI230" s="61">
        <f t="shared" si="276"/>
        <v>5.795032691320362E-2</v>
      </c>
      <c r="AJ230" s="51"/>
      <c r="AK230" s="536">
        <f t="shared" si="277"/>
        <v>0.55616157444506553</v>
      </c>
      <c r="AL230" s="552">
        <f t="shared" si="278"/>
        <v>4.3258921469160327E-2</v>
      </c>
      <c r="AM230" s="443">
        <f t="shared" ref="AM230:AV230" si="365">AM45</f>
        <v>244665.18505113601</v>
      </c>
      <c r="AN230" s="443">
        <f t="shared" si="365"/>
        <v>129328.718861669</v>
      </c>
      <c r="AO230" s="443">
        <f t="shared" si="365"/>
        <v>66675.739553876207</v>
      </c>
      <c r="AP230" s="443">
        <f t="shared" si="365"/>
        <v>67469.390013083801</v>
      </c>
      <c r="AQ230" s="443">
        <f t="shared" si="365"/>
        <v>68940.073384657502</v>
      </c>
      <c r="AR230" s="443">
        <f t="shared" si="365"/>
        <v>232588.881575957</v>
      </c>
      <c r="AS230" s="443">
        <f t="shared" si="365"/>
        <v>53876.083035156102</v>
      </c>
      <c r="AT230" s="443">
        <f t="shared" si="365"/>
        <v>52446.582541741402</v>
      </c>
      <c r="AU230" s="443">
        <f t="shared" si="365"/>
        <v>58128.308322504199</v>
      </c>
      <c r="AV230" s="443">
        <f t="shared" si="365"/>
        <v>59933.008789643602</v>
      </c>
      <c r="AW230" s="553">
        <f t="shared" ref="AW230:BB230" si="366">AW45</f>
        <v>-9.0700132100396347E-2</v>
      </c>
      <c r="AX230" s="553">
        <f t="shared" si="366"/>
        <v>3.0415631464855836E-2</v>
      </c>
      <c r="AY230" s="553">
        <f t="shared" si="366"/>
        <v>-2.6570043063666143E-2</v>
      </c>
      <c r="AZ230" s="538">
        <f t="shared" si="366"/>
        <v>-8.8527362780184707E-2</v>
      </c>
      <c r="BA230" s="538">
        <f t="shared" si="366"/>
        <v>2.9696915851194189E-2</v>
      </c>
      <c r="BB230" s="538">
        <f t="shared" si="366"/>
        <v>-2.5775657378952294E-2</v>
      </c>
    </row>
    <row r="231" spans="1:54" ht="15" customHeight="1">
      <c r="A231" s="449">
        <v>2006</v>
      </c>
      <c r="B231" s="449"/>
      <c r="C231" s="449"/>
      <c r="D231" s="455"/>
      <c r="E231" s="455"/>
      <c r="F231" s="455"/>
      <c r="G231" s="455"/>
      <c r="H231" s="455"/>
      <c r="I231" s="455"/>
      <c r="J231" s="437" t="s">
        <v>349</v>
      </c>
      <c r="K231" s="543">
        <f t="shared" si="360"/>
        <v>13.199767668235239</v>
      </c>
      <c r="L231" s="543">
        <f t="shared" si="360"/>
        <v>13.213224728224306</v>
      </c>
      <c r="M231" s="543">
        <f t="shared" si="360"/>
        <v>13.051886025026352</v>
      </c>
      <c r="N231" s="543">
        <f t="shared" si="360"/>
        <v>12.793651240253862</v>
      </c>
      <c r="O231" s="543">
        <f t="shared" si="360"/>
        <v>12.599659162513897</v>
      </c>
      <c r="P231" s="550">
        <f t="shared" si="257"/>
        <v>8.1438014382982926E-2</v>
      </c>
      <c r="Q231" s="550">
        <f t="shared" si="258"/>
        <v>9.752585111765677E-2</v>
      </c>
      <c r="R231" s="550">
        <f t="shared" si="259"/>
        <v>5.6917692446385941E-2</v>
      </c>
      <c r="S231" s="550">
        <f t="shared" si="260"/>
        <v>5.3416961020395413E-2</v>
      </c>
      <c r="T231" s="550">
        <f t="shared" si="261"/>
        <v>6.5378204502851658E-2</v>
      </c>
      <c r="U231" s="551">
        <f t="shared" si="275"/>
        <v>0.76170049196715628</v>
      </c>
      <c r="V231" s="551">
        <f t="shared" si="262"/>
        <v>0.86217341025421612</v>
      </c>
      <c r="W231" s="551">
        <f t="shared" si="263"/>
        <v>0.78192298702418617</v>
      </c>
      <c r="X231" s="551">
        <f t="shared" si="264"/>
        <v>0.80178514517123056</v>
      </c>
      <c r="Y231" s="551">
        <f t="shared" si="265"/>
        <v>0.38999120420108957</v>
      </c>
      <c r="Z231" s="551">
        <f t="shared" si="266"/>
        <v>0.83051252514485152</v>
      </c>
      <c r="AA231" s="551">
        <f t="shared" si="267"/>
        <v>0.76200637804822513</v>
      </c>
      <c r="AB231" s="551">
        <f t="shared" si="268"/>
        <v>0.77247081689987429</v>
      </c>
      <c r="AC231" s="551">
        <f t="shared" si="269"/>
        <v>0.77267013387248296</v>
      </c>
      <c r="AD231" s="551">
        <f t="shared" si="270"/>
        <v>0.84399563884192919</v>
      </c>
      <c r="AE231" s="51"/>
      <c r="AF231" s="61">
        <f t="shared" si="271"/>
        <v>-1.1211663095607019E-2</v>
      </c>
      <c r="AG231" s="51"/>
      <c r="AH231" s="51"/>
      <c r="AI231" s="61">
        <f t="shared" si="276"/>
        <v>0.11115743183916779</v>
      </c>
      <c r="AJ231" s="51"/>
      <c r="AK231" s="536">
        <f t="shared" si="277"/>
        <v>0.45222686251245625</v>
      </c>
      <c r="AL231" s="552">
        <f t="shared" si="278"/>
        <v>0.3919317828230966</v>
      </c>
      <c r="AM231" s="443">
        <f t="shared" ref="AM231:AV231" si="367">AM46</f>
        <v>155011.09078</v>
      </c>
      <c r="AN231" s="443">
        <f t="shared" si="367"/>
        <v>99038.534033999997</v>
      </c>
      <c r="AO231" s="443">
        <f t="shared" si="367"/>
        <v>131549.70781599998</v>
      </c>
      <c r="AP231" s="443">
        <f t="shared" si="367"/>
        <v>92332.418219999992</v>
      </c>
      <c r="AQ231" s="443">
        <f t="shared" si="367"/>
        <v>214268.35118099998</v>
      </c>
      <c r="AR231" s="443">
        <f t="shared" si="367"/>
        <v>2029640</v>
      </c>
      <c r="AS231" s="443">
        <f t="shared" si="367"/>
        <v>2061191</v>
      </c>
      <c r="AT231" s="443">
        <f t="shared" si="367"/>
        <v>1741283</v>
      </c>
      <c r="AU231" s="443">
        <f t="shared" si="367"/>
        <v>1600934</v>
      </c>
      <c r="AV231" s="443">
        <f t="shared" si="367"/>
        <v>308857</v>
      </c>
      <c r="AW231" s="553">
        <f t="shared" ref="AW231:BB231" si="368">AW46</f>
        <v>6.2753505146394606E-2</v>
      </c>
      <c r="AX231" s="553">
        <f t="shared" si="368"/>
        <v>1.2009305300530815E-2</v>
      </c>
      <c r="AY231" s="553">
        <f t="shared" si="368"/>
        <v>1.5231406318214786E-2</v>
      </c>
      <c r="AZ231" s="538">
        <f t="shared" si="368"/>
        <v>7.9652269775058127E-2</v>
      </c>
      <c r="BA231" s="538">
        <f t="shared" si="368"/>
        <v>5.0902573016481857E-2</v>
      </c>
      <c r="BB231" s="538">
        <f t="shared" si="368"/>
        <v>5.5877043105033122E-2</v>
      </c>
    </row>
    <row r="232" spans="1:54" ht="15" customHeight="1">
      <c r="A232" s="464"/>
      <c r="B232" s="464"/>
      <c r="C232" s="464"/>
      <c r="D232" s="464"/>
      <c r="E232" s="464"/>
      <c r="F232" s="464"/>
      <c r="G232" s="464"/>
      <c r="H232" s="464"/>
      <c r="I232" s="464"/>
      <c r="J232" s="464" t="s">
        <v>491</v>
      </c>
      <c r="K232" s="937" t="s">
        <v>108</v>
      </c>
      <c r="L232" s="938"/>
      <c r="M232" s="938"/>
      <c r="N232" s="938"/>
      <c r="O232" s="939"/>
      <c r="P232" s="930" t="s">
        <v>110</v>
      </c>
      <c r="Q232" s="930"/>
      <c r="R232" s="930"/>
      <c r="S232" s="930"/>
      <c r="T232" s="930"/>
      <c r="U232" s="933" t="s">
        <v>109</v>
      </c>
      <c r="V232" s="933"/>
      <c r="W232" s="933"/>
      <c r="X232" s="933"/>
      <c r="Y232" s="933"/>
      <c r="Z232" s="931" t="s">
        <v>111</v>
      </c>
      <c r="AA232" s="931"/>
      <c r="AB232" s="931"/>
      <c r="AC232" s="931"/>
      <c r="AD232" s="931"/>
      <c r="AE232" s="940" t="s">
        <v>113</v>
      </c>
      <c r="AF232" s="940"/>
      <c r="AG232" s="940"/>
      <c r="AH232" s="949" t="s">
        <v>114</v>
      </c>
      <c r="AI232" s="949"/>
      <c r="AJ232" s="949"/>
      <c r="AK232" s="544" t="s">
        <v>115</v>
      </c>
      <c r="AL232" s="544" t="s">
        <v>112</v>
      </c>
      <c r="AM232" s="943" t="s">
        <v>105</v>
      </c>
      <c r="AN232" s="944"/>
      <c r="AO232" s="944"/>
      <c r="AP232" s="944"/>
      <c r="AQ232" s="945"/>
      <c r="AR232" s="926" t="s">
        <v>563</v>
      </c>
      <c r="AS232" s="927"/>
      <c r="AT232" s="927"/>
      <c r="AU232" s="927"/>
      <c r="AV232" s="928"/>
      <c r="AW232" s="917" t="s">
        <v>565</v>
      </c>
      <c r="AX232" s="918"/>
      <c r="AY232" s="918"/>
      <c r="AZ232" s="919" t="s">
        <v>564</v>
      </c>
      <c r="BA232" s="919"/>
      <c r="BB232" s="919"/>
    </row>
    <row r="233" spans="1:54" ht="1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 t="s">
        <v>117</v>
      </c>
      <c r="L233" s="52" t="s">
        <v>118</v>
      </c>
      <c r="M233" s="52" t="s">
        <v>119</v>
      </c>
      <c r="N233" s="52" t="s">
        <v>120</v>
      </c>
      <c r="O233" s="52" t="s">
        <v>121</v>
      </c>
      <c r="P233" s="69" t="s">
        <v>122</v>
      </c>
      <c r="Q233" s="69" t="s">
        <v>123</v>
      </c>
      <c r="R233" s="69" t="s">
        <v>124</v>
      </c>
      <c r="S233" s="69" t="s">
        <v>125</v>
      </c>
      <c r="T233" s="69" t="s">
        <v>126</v>
      </c>
      <c r="U233" s="70" t="s">
        <v>127</v>
      </c>
      <c r="V233" s="70" t="s">
        <v>128</v>
      </c>
      <c r="W233" s="70" t="s">
        <v>129</v>
      </c>
      <c r="X233" s="70" t="s">
        <v>130</v>
      </c>
      <c r="Y233" s="70" t="s">
        <v>131</v>
      </c>
      <c r="Z233" s="69" t="s">
        <v>132</v>
      </c>
      <c r="AA233" s="69" t="s">
        <v>133</v>
      </c>
      <c r="AB233" s="69" t="s">
        <v>134</v>
      </c>
      <c r="AC233" s="69" t="s">
        <v>135</v>
      </c>
      <c r="AD233" s="69" t="s">
        <v>136</v>
      </c>
      <c r="AE233" s="697"/>
      <c r="AF233" s="67" t="s">
        <v>113</v>
      </c>
      <c r="AG233" s="67"/>
      <c r="AH233" s="67"/>
      <c r="AI233" s="67" t="s">
        <v>114</v>
      </c>
      <c r="AJ233" s="67"/>
      <c r="AK233" s="64" t="s">
        <v>115</v>
      </c>
      <c r="AL233" s="64" t="s">
        <v>112</v>
      </c>
      <c r="AM233" s="58" t="s">
        <v>107</v>
      </c>
      <c r="AN233" s="58" t="s">
        <v>106</v>
      </c>
      <c r="AO233" s="58" t="s">
        <v>104</v>
      </c>
      <c r="AP233" s="58" t="s">
        <v>103</v>
      </c>
      <c r="AQ233" s="58" t="s">
        <v>102</v>
      </c>
      <c r="AR233" s="516" t="s">
        <v>89</v>
      </c>
      <c r="AS233" s="516" t="s">
        <v>88</v>
      </c>
      <c r="AT233" s="516" t="s">
        <v>87</v>
      </c>
      <c r="AU233" s="516" t="s">
        <v>86</v>
      </c>
      <c r="AV233" s="516" t="s">
        <v>85</v>
      </c>
      <c r="AW233" s="557" t="s">
        <v>566</v>
      </c>
      <c r="AX233" s="557" t="s">
        <v>567</v>
      </c>
      <c r="AY233" s="557" t="s">
        <v>568</v>
      </c>
      <c r="AZ233" s="519" t="s">
        <v>99</v>
      </c>
      <c r="BA233" s="519" t="s">
        <v>100</v>
      </c>
      <c r="BB233" s="519" t="s">
        <v>101</v>
      </c>
    </row>
    <row r="234" spans="1:54" s="800" customFormat="1" ht="15" customHeight="1">
      <c r="A234" s="449">
        <v>2012</v>
      </c>
      <c r="B234" s="793"/>
      <c r="C234" s="793"/>
      <c r="D234" s="793"/>
      <c r="E234" s="793"/>
      <c r="F234" s="793"/>
      <c r="G234" s="793"/>
      <c r="H234" s="793"/>
      <c r="I234" s="51" t="s">
        <v>206</v>
      </c>
      <c r="J234" s="437" t="s">
        <v>1080</v>
      </c>
      <c r="K234" s="543">
        <f>LN(K51)</f>
        <v>9.2904558897374621</v>
      </c>
      <c r="L234" s="543">
        <f t="shared" ref="L234:O234" si="369">LN(L51)</f>
        <v>9.5396750405831554</v>
      </c>
      <c r="M234" s="543">
        <f t="shared" si="369"/>
        <v>9.0629978020361115</v>
      </c>
      <c r="N234" s="543">
        <f t="shared" si="369"/>
        <v>8.3918299810900887</v>
      </c>
      <c r="O234" s="543">
        <f t="shared" si="369"/>
        <v>8.414862903975969</v>
      </c>
      <c r="P234" s="149">
        <f t="shared" ref="P234" si="370">P51/K51</f>
        <v>8.3520346737298325</v>
      </c>
      <c r="Q234" s="149">
        <f t="shared" ref="Q234" si="371">Q51/L51</f>
        <v>8.4300193547648234</v>
      </c>
      <c r="R234" s="149">
        <f t="shared" ref="R234" si="372">R51/M51</f>
        <v>17.136707112557961</v>
      </c>
      <c r="S234" s="149">
        <f t="shared" ref="S234" si="373">S51/N51</f>
        <v>18.939390396008729</v>
      </c>
      <c r="T234" s="149">
        <f t="shared" ref="T234" si="374">T51/O51</f>
        <v>22.043287302655006</v>
      </c>
      <c r="U234" s="51">
        <f>U51/Z51</f>
        <v>6.630384100084534E-2</v>
      </c>
      <c r="V234" s="51">
        <f t="shared" ref="V234" si="375">V51/AA51</f>
        <v>7.5048920356665091E-2</v>
      </c>
      <c r="W234" s="51">
        <f t="shared" ref="W234" si="376">W51/AB51</f>
        <v>8.1474551367411441E-2</v>
      </c>
      <c r="X234" s="51">
        <f t="shared" ref="X234" si="377">X51/AC51</f>
        <v>0.17698843989236943</v>
      </c>
      <c r="Y234" s="51">
        <f t="shared" ref="Y234" si="378">Y51/AD51</f>
        <v>0.18001260796956392</v>
      </c>
      <c r="Z234" s="51">
        <f t="shared" ref="Z234" si="379">K51/Z51</f>
        <v>1.4972610387657266E-2</v>
      </c>
      <c r="AA234" s="51">
        <f t="shared" ref="AA234" si="380">L51/AA51</f>
        <v>1.6380323201709072E-2</v>
      </c>
      <c r="AB234" s="51">
        <f t="shared" ref="AB234" si="381">M51/AB51</f>
        <v>1.041720831970851E-2</v>
      </c>
      <c r="AC234" s="51">
        <f t="shared" ref="AC234" si="382">N51/AC51</f>
        <v>5.5222991671565269E-3</v>
      </c>
      <c r="AD234" s="62">
        <f t="shared" ref="AD234" si="383">O51/AD51</f>
        <v>5.590196750682932E-3</v>
      </c>
      <c r="AE234" s="801"/>
      <c r="AF234" s="701">
        <f t="shared" ref="AF234:AF297" si="384">AG51-AE51</f>
        <v>5.5290334851674422E-2</v>
      </c>
      <c r="AG234" s="802"/>
      <c r="AH234" s="803"/>
      <c r="AI234" s="701">
        <f t="shared" ref="AI234:AI297" si="385">AJ51-AH51</f>
        <v>4.4072987215246856E-2</v>
      </c>
      <c r="AJ234" s="801"/>
      <c r="AK234" s="678">
        <f t="shared" ref="AK234" si="386">LN(M51/O51)</f>
        <v>0.64813489806014335</v>
      </c>
      <c r="AL234" s="51">
        <f>W234-Y234</f>
        <v>-9.853805660215248E-2</v>
      </c>
      <c r="AM234" s="827">
        <f t="shared" ref="AM234:AW234" si="387">AM51</f>
        <v>675618.87770199997</v>
      </c>
      <c r="AN234" s="827">
        <f t="shared" si="387"/>
        <v>784918.42966500006</v>
      </c>
      <c r="AO234" s="827">
        <f t="shared" si="387"/>
        <v>760939.22809800005</v>
      </c>
      <c r="AP234" s="827">
        <f t="shared" si="387"/>
        <v>657372.21680399997</v>
      </c>
      <c r="AQ234" s="827">
        <f t="shared" si="387"/>
        <v>662077.33930800005</v>
      </c>
      <c r="AR234" s="827">
        <f t="shared" si="387"/>
        <v>11423.20183</v>
      </c>
      <c r="AS234" s="827">
        <f t="shared" si="387"/>
        <v>17049.466110000001</v>
      </c>
      <c r="AT234" s="827">
        <f t="shared" si="387"/>
        <v>19360.890303</v>
      </c>
      <c r="AU234" s="827">
        <f t="shared" si="387"/>
        <v>90651.227100000004</v>
      </c>
      <c r="AV234" s="827">
        <f t="shared" si="387"/>
        <v>22033.38852</v>
      </c>
      <c r="AW234" s="829">
        <f t="shared" si="387"/>
        <v>4.5156845262219338</v>
      </c>
      <c r="AX234" s="829">
        <f t="shared" ref="AX234:BB234" si="388">AX51</f>
        <v>0.92154757953629496</v>
      </c>
      <c r="AY234" s="829">
        <f t="shared" si="388"/>
        <v>7.6385686269336643</v>
      </c>
      <c r="AZ234" s="829">
        <f t="shared" si="388"/>
        <v>0.93610625432705286</v>
      </c>
      <c r="BA234" s="829">
        <f t="shared" si="388"/>
        <v>0.26769230581820269</v>
      </c>
      <c r="BB234" s="829">
        <f t="shared" si="388"/>
        <v>0.80086527067279256</v>
      </c>
    </row>
    <row r="235" spans="1:54" s="800" customFormat="1" ht="15" customHeight="1">
      <c r="A235" s="449">
        <v>2012</v>
      </c>
      <c r="B235" s="793"/>
      <c r="C235" s="793"/>
      <c r="D235" s="793"/>
      <c r="E235" s="793"/>
      <c r="F235" s="793"/>
      <c r="G235" s="793"/>
      <c r="H235" s="793"/>
      <c r="I235" s="51" t="s">
        <v>206</v>
      </c>
      <c r="J235" s="437" t="s">
        <v>1081</v>
      </c>
      <c r="K235" s="543">
        <f t="shared" ref="K235:O235" si="389">LN(K52)</f>
        <v>12.103815007354033</v>
      </c>
      <c r="L235" s="543">
        <f t="shared" si="389"/>
        <v>12.569913910431668</v>
      </c>
      <c r="M235" s="543">
        <f t="shared" si="389"/>
        <v>12.581916982327217</v>
      </c>
      <c r="N235" s="543">
        <f t="shared" si="389"/>
        <v>12.639921448818743</v>
      </c>
      <c r="O235" s="543">
        <f t="shared" si="389"/>
        <v>12.707252804271407</v>
      </c>
      <c r="P235" s="149">
        <f t="shared" ref="P235:P298" si="390">P52/K52</f>
        <v>3.1265759644988733E-2</v>
      </c>
      <c r="Q235" s="149">
        <f t="shared" ref="Q235:Q298" si="391">Q52/L52</f>
        <v>2.5153071498275111E-2</v>
      </c>
      <c r="R235" s="149">
        <f t="shared" ref="R235:R298" si="392">R52/M52</f>
        <v>1.7228739431539294E-2</v>
      </c>
      <c r="S235" s="149">
        <f t="shared" ref="S235:S298" si="393">S52/N52</f>
        <v>1.9663044961689396E-2</v>
      </c>
      <c r="T235" s="149">
        <f t="shared" ref="T235:T298" si="394">T52/O52</f>
        <v>5.3735635603902425E-3</v>
      </c>
      <c r="U235" s="51">
        <f t="shared" ref="U235:U298" si="395">U52/Z52</f>
        <v>0.48596156258999723</v>
      </c>
      <c r="V235" s="51">
        <f t="shared" ref="V235:V298" si="396">V52/AA52</f>
        <v>0.72913044204843602</v>
      </c>
      <c r="W235" s="51">
        <f t="shared" ref="W235:W298" si="397">W52/AB52</f>
        <v>0.72573719119732305</v>
      </c>
      <c r="X235" s="51">
        <f t="shared" ref="X235:X298" si="398">X52/AC52</f>
        <v>0.74798650022816182</v>
      </c>
      <c r="Y235" s="51">
        <f t="shared" ref="Y235:Y298" si="399">Y52/AD52</f>
        <v>0.74471516205933341</v>
      </c>
      <c r="Z235" s="51">
        <f t="shared" ref="Z235:Z298" si="400">K52/Z52</f>
        <v>0.94489420058365359</v>
      </c>
      <c r="AA235" s="51">
        <f t="shared" ref="AA235:AA298" si="401">L52/AA52</f>
        <v>1.4384952734582339</v>
      </c>
      <c r="AB235" s="51">
        <f t="shared" ref="AB235:AB298" si="402">M52/AB52</f>
        <v>1.3765360664787845</v>
      </c>
      <c r="AC235" s="51">
        <f t="shared" ref="AC235:AC298" si="403">N52/AC52</f>
        <v>1.3861086081506688</v>
      </c>
      <c r="AD235" s="62">
        <f t="shared" ref="AD235:AD298" si="404">O52/AD52</f>
        <v>1.3909997471585436</v>
      </c>
      <c r="AE235" s="801"/>
      <c r="AF235" s="701">
        <f t="shared" si="384"/>
        <v>1.6241355653635839E-2</v>
      </c>
      <c r="AG235" s="802"/>
      <c r="AH235" s="803"/>
      <c r="AI235" s="701">
        <f t="shared" si="385"/>
        <v>5.7192017139560639E-2</v>
      </c>
      <c r="AJ235" s="801"/>
      <c r="AK235" s="678">
        <f t="shared" ref="AK235:AK298" si="405">LN(M52/O52)</f>
        <v>-0.12533582194418946</v>
      </c>
      <c r="AL235" s="51">
        <f t="shared" ref="AL235:AL298" si="406">W235-Y235</f>
        <v>-1.8977970862010363E-2</v>
      </c>
      <c r="AM235" s="827">
        <f t="shared" ref="AM235:AV235" si="407">AM52</f>
        <v>98227.485816</v>
      </c>
      <c r="AN235" s="827">
        <f t="shared" si="407"/>
        <v>54186.794099999999</v>
      </c>
      <c r="AO235" s="827">
        <f t="shared" si="407"/>
        <v>58028.015202000002</v>
      </c>
      <c r="AP235" s="827">
        <f t="shared" si="407"/>
        <v>56114.446283999998</v>
      </c>
      <c r="AQ235" s="827">
        <f t="shared" si="407"/>
        <v>60588.335808000003</v>
      </c>
      <c r="AR235" s="827">
        <f t="shared" si="407"/>
        <v>42186.776922000005</v>
      </c>
      <c r="AS235" s="827">
        <f t="shared" si="407"/>
        <v>77154.493530000007</v>
      </c>
      <c r="AT235" s="827">
        <f t="shared" si="407"/>
        <v>86120.197264999995</v>
      </c>
      <c r="AU235" s="827">
        <f t="shared" si="407"/>
        <v>94225.355135999998</v>
      </c>
      <c r="AV235" s="827">
        <f t="shared" si="407"/>
        <v>99872.669160000005</v>
      </c>
      <c r="AW235" s="829">
        <f t="shared" ref="AW235:BB235" si="408">AW52</f>
        <v>1.7762557894172134E-2</v>
      </c>
      <c r="AX235" s="829">
        <f t="shared" si="408"/>
        <v>6.4406711624919719E-2</v>
      </c>
      <c r="AY235" s="829">
        <f t="shared" si="408"/>
        <v>5.826471198805841E-2</v>
      </c>
      <c r="AZ235" s="829">
        <f t="shared" si="408"/>
        <v>2.0702656155751391E-2</v>
      </c>
      <c r="BA235" s="829">
        <f t="shared" si="408"/>
        <v>7.5430466703379481E-2</v>
      </c>
      <c r="BB235" s="829">
        <f t="shared" si="408"/>
        <v>6.6000796517475424E-2</v>
      </c>
    </row>
    <row r="236" spans="1:54" s="800" customFormat="1" ht="15" customHeight="1">
      <c r="A236" s="449">
        <v>2012</v>
      </c>
      <c r="B236" s="793"/>
      <c r="C236" s="793"/>
      <c r="D236" s="793"/>
      <c r="E236" s="793"/>
      <c r="F236" s="793"/>
      <c r="G236" s="793"/>
      <c r="H236" s="793"/>
      <c r="I236" s="51" t="s">
        <v>206</v>
      </c>
      <c r="J236" s="437" t="s">
        <v>657</v>
      </c>
      <c r="K236" s="543">
        <f t="shared" ref="K236:O236" si="409">LN(K53)</f>
        <v>12.845406814928216</v>
      </c>
      <c r="L236" s="543">
        <f t="shared" si="409"/>
        <v>12.875465117137466</v>
      </c>
      <c r="M236" s="543">
        <f t="shared" si="409"/>
        <v>13.035840896715969</v>
      </c>
      <c r="N236" s="543">
        <f t="shared" si="409"/>
        <v>12.91765808959458</v>
      </c>
      <c r="O236" s="543">
        <f t="shared" si="409"/>
        <v>13.358690196018586</v>
      </c>
      <c r="P236" s="149">
        <f t="shared" si="390"/>
        <v>-1.3162832327677607E-2</v>
      </c>
      <c r="Q236" s="149">
        <f t="shared" si="391"/>
        <v>-8.8924373323421603E-3</v>
      </c>
      <c r="R236" s="149">
        <f t="shared" si="392"/>
        <v>-8.4422169141386325E-2</v>
      </c>
      <c r="S236" s="149">
        <f t="shared" si="393"/>
        <v>0.19005859304124298</v>
      </c>
      <c r="T236" s="149">
        <f t="shared" si="394"/>
        <v>6.4569274489637363E-3</v>
      </c>
      <c r="U236" s="51">
        <f t="shared" si="395"/>
        <v>0.71754580973808324</v>
      </c>
      <c r="V236" s="51">
        <f t="shared" si="396"/>
        <v>0.74689246465962555</v>
      </c>
      <c r="W236" s="51">
        <f t="shared" si="397"/>
        <v>0.74527403707409701</v>
      </c>
      <c r="X236" s="51">
        <f t="shared" si="398"/>
        <v>0.63571518223920309</v>
      </c>
      <c r="Y236" s="51">
        <f t="shared" si="399"/>
        <v>0.76185243110116008</v>
      </c>
      <c r="Z236" s="51">
        <f t="shared" si="400"/>
        <v>1.0085076762442478</v>
      </c>
      <c r="AA236" s="51">
        <f t="shared" si="401"/>
        <v>1.0174917695669501</v>
      </c>
      <c r="AB236" s="51">
        <f t="shared" si="402"/>
        <v>1.2106156270761919</v>
      </c>
      <c r="AC236" s="51">
        <f t="shared" si="403"/>
        <v>1.0083226079575551</v>
      </c>
      <c r="AD236" s="62">
        <f t="shared" si="404"/>
        <v>1.0048531625044312</v>
      </c>
      <c r="AE236" s="801"/>
      <c r="AF236" s="701">
        <f t="shared" si="384"/>
        <v>-0.10869106120138461</v>
      </c>
      <c r="AG236" s="802"/>
      <c r="AH236" s="803"/>
      <c r="AI236" s="701">
        <f t="shared" si="385"/>
        <v>-0.42847118393567912</v>
      </c>
      <c r="AJ236" s="801"/>
      <c r="AK236" s="678">
        <f t="shared" si="405"/>
        <v>-0.32284929930261635</v>
      </c>
      <c r="AL236" s="51">
        <f t="shared" si="406"/>
        <v>-1.657839402706307E-2</v>
      </c>
      <c r="AM236" s="827">
        <f t="shared" ref="AM236:AV236" si="410">AM53</f>
        <v>106159.31591600001</v>
      </c>
      <c r="AN236" s="827">
        <f t="shared" si="410"/>
        <v>97166.737785000005</v>
      </c>
      <c r="AO236" s="827">
        <f t="shared" si="410"/>
        <v>96485.200890000007</v>
      </c>
      <c r="AP236" s="827">
        <f t="shared" si="410"/>
        <v>147200.46917999999</v>
      </c>
      <c r="AQ236" s="827">
        <f t="shared" si="410"/>
        <v>150089.04226799999</v>
      </c>
      <c r="AR236" s="827">
        <f t="shared" si="410"/>
        <v>6407.7013059999999</v>
      </c>
      <c r="AS236" s="827">
        <f t="shared" si="410"/>
        <v>19020.459405000001</v>
      </c>
      <c r="AT236" s="827">
        <f t="shared" si="410"/>
        <v>49342.354998000003</v>
      </c>
      <c r="AU236" s="827">
        <f t="shared" si="410"/>
        <v>19605.869112</v>
      </c>
      <c r="AV236" s="827">
        <f t="shared" si="410"/>
        <v>109737.955008</v>
      </c>
      <c r="AW236" s="829">
        <f t="shared" ref="AW236:BB236" si="411">AW53</f>
        <v>3.7262713850480432E-2</v>
      </c>
      <c r="AX236" s="829">
        <f t="shared" si="411"/>
        <v>3.9497448219014712</v>
      </c>
      <c r="AY236" s="829">
        <f t="shared" si="411"/>
        <v>-0.78456765840562603</v>
      </c>
      <c r="AZ236" s="829">
        <f t="shared" si="411"/>
        <v>3.4876953103568267E-2</v>
      </c>
      <c r="BA236" s="829">
        <f t="shared" si="411"/>
        <v>2.7025531254535324</v>
      </c>
      <c r="BB236" s="829">
        <f t="shared" si="411"/>
        <v>-0.68692070337196365</v>
      </c>
    </row>
    <row r="237" spans="1:54" ht="15" customHeight="1">
      <c r="A237" s="449">
        <v>2012</v>
      </c>
      <c r="B237" s="449"/>
      <c r="C237" s="50"/>
      <c r="D237" s="51"/>
      <c r="E237" s="51"/>
      <c r="F237" s="51"/>
      <c r="G237" s="51"/>
      <c r="H237" s="51"/>
      <c r="I237" s="51" t="s">
        <v>206</v>
      </c>
      <c r="J237" s="437" t="s">
        <v>352</v>
      </c>
      <c r="K237" s="543">
        <f t="shared" ref="K237:O237" si="412">LN(K54)</f>
        <v>14.247392935627287</v>
      </c>
      <c r="L237" s="543">
        <f t="shared" si="412"/>
        <v>14.273949020867812</v>
      </c>
      <c r="M237" s="543">
        <f t="shared" si="412"/>
        <v>14.360426937585707</v>
      </c>
      <c r="N237" s="543">
        <f t="shared" si="412"/>
        <v>14.340246731840448</v>
      </c>
      <c r="O237" s="543">
        <f t="shared" si="412"/>
        <v>14.088397857499233</v>
      </c>
      <c r="P237" s="149">
        <f t="shared" si="390"/>
        <v>6.2832714954024843E-2</v>
      </c>
      <c r="Q237" s="149">
        <f t="shared" si="391"/>
        <v>4.8616004026170105E-2</v>
      </c>
      <c r="R237" s="149">
        <f t="shared" si="392"/>
        <v>4.4826224328594004E-2</v>
      </c>
      <c r="S237" s="149">
        <f t="shared" si="393"/>
        <v>2.2787385554425228E-2</v>
      </c>
      <c r="T237" s="149">
        <f t="shared" si="394"/>
        <v>4.1462751495377925E-2</v>
      </c>
      <c r="U237" s="51">
        <f t="shared" si="395"/>
        <v>0.70847349030914619</v>
      </c>
      <c r="V237" s="51">
        <f t="shared" si="396"/>
        <v>0.72383935151068535</v>
      </c>
      <c r="W237" s="51">
        <f t="shared" si="397"/>
        <v>0.74508306282222647</v>
      </c>
      <c r="X237" s="51">
        <f t="shared" si="398"/>
        <v>0.75349119611414705</v>
      </c>
      <c r="Y237" s="51">
        <f t="shared" si="399"/>
        <v>0.70993031358885006</v>
      </c>
      <c r="Z237" s="51">
        <f t="shared" si="400"/>
        <v>1.9859042127182445</v>
      </c>
      <c r="AA237" s="51">
        <f t="shared" si="401"/>
        <v>1.8303242446573325</v>
      </c>
      <c r="AB237" s="51">
        <f t="shared" si="402"/>
        <v>1.9339316402520528</v>
      </c>
      <c r="AC237" s="51">
        <f t="shared" si="403"/>
        <v>1.9894758146124267</v>
      </c>
      <c r="AD237" s="62">
        <f t="shared" si="404"/>
        <v>1.60191637630662</v>
      </c>
      <c r="AE237" s="699"/>
      <c r="AF237" s="701">
        <f t="shared" si="384"/>
        <v>2.0270992914926567E-2</v>
      </c>
      <c r="AG237" s="698"/>
      <c r="AH237" s="700"/>
      <c r="AI237" s="701">
        <f t="shared" si="385"/>
        <v>0.1111788208074776</v>
      </c>
      <c r="AJ237" s="699"/>
      <c r="AK237" s="678">
        <f t="shared" si="405"/>
        <v>0.27202908008647286</v>
      </c>
      <c r="AL237" s="51">
        <f t="shared" si="406"/>
        <v>3.5152749233376412E-2</v>
      </c>
      <c r="AM237" s="827">
        <f t="shared" ref="AM237:AV237" si="413">AM54</f>
        <v>226091.32</v>
      </c>
      <c r="AN237" s="827">
        <f t="shared" si="413"/>
        <v>238633.30499999999</v>
      </c>
      <c r="AO237" s="827">
        <f t="shared" si="413"/>
        <v>227136.17800000001</v>
      </c>
      <c r="AP237" s="827">
        <f t="shared" si="413"/>
        <v>209403.432</v>
      </c>
      <c r="AQ237" s="827">
        <f t="shared" si="413"/>
        <v>237711.27600000001</v>
      </c>
      <c r="AR237" s="827">
        <f t="shared" si="413"/>
        <v>88697.364000000001</v>
      </c>
      <c r="AS237" s="827">
        <f t="shared" si="413"/>
        <v>64314.78</v>
      </c>
      <c r="AT237" s="827">
        <f t="shared" si="413"/>
        <v>82068.694000000003</v>
      </c>
      <c r="AU237" s="827">
        <f t="shared" si="413"/>
        <v>102122.856</v>
      </c>
      <c r="AV237" s="827">
        <f t="shared" si="413"/>
        <v>100549.54800000001</v>
      </c>
      <c r="AW237" s="829">
        <f t="shared" ref="AW237:BB237" si="414">AW54</f>
        <v>0.54174067495559497</v>
      </c>
      <c r="AX237" s="829">
        <f t="shared" si="414"/>
        <v>0.37710437710437705</v>
      </c>
      <c r="AY237" s="829">
        <f t="shared" si="414"/>
        <v>0.94190871369294615</v>
      </c>
      <c r="AZ237" s="829">
        <f t="shared" si="414"/>
        <v>0.45111622747881497</v>
      </c>
      <c r="BA237" s="829">
        <f t="shared" si="414"/>
        <v>0.32947978060303496</v>
      </c>
      <c r="BB237" s="829">
        <f t="shared" si="414"/>
        <v>0.78864167319134382</v>
      </c>
    </row>
    <row r="238" spans="1:54" ht="15" customHeight="1">
      <c r="A238" s="449">
        <v>2012</v>
      </c>
      <c r="B238" s="449"/>
      <c r="C238" s="50"/>
      <c r="D238" s="51"/>
      <c r="E238" s="51"/>
      <c r="F238" s="51"/>
      <c r="G238" s="51"/>
      <c r="H238" s="51"/>
      <c r="I238" s="51" t="s">
        <v>206</v>
      </c>
      <c r="J238" s="437" t="s">
        <v>353</v>
      </c>
      <c r="K238" s="543">
        <f t="shared" ref="K238:O238" si="415">LN(K55)</f>
        <v>14.917242924124389</v>
      </c>
      <c r="L238" s="543">
        <f t="shared" si="415"/>
        <v>15.166054308953072</v>
      </c>
      <c r="M238" s="543">
        <f t="shared" si="415"/>
        <v>15.129145488091785</v>
      </c>
      <c r="N238" s="543">
        <f t="shared" si="415"/>
        <v>15.042457495042008</v>
      </c>
      <c r="O238" s="543">
        <f t="shared" si="415"/>
        <v>14.96798737498289</v>
      </c>
      <c r="P238" s="149">
        <f t="shared" si="390"/>
        <v>3.2280701754385965E-2</v>
      </c>
      <c r="Q238" s="149">
        <f t="shared" si="391"/>
        <v>3.5431446955947861E-2</v>
      </c>
      <c r="R238" s="149">
        <f t="shared" si="392"/>
        <v>2.5437034527902004E-2</v>
      </c>
      <c r="S238" s="149">
        <f t="shared" si="393"/>
        <v>2.3070719290286808E-2</v>
      </c>
      <c r="T238" s="149">
        <f t="shared" si="394"/>
        <v>3.5972765170104865E-2</v>
      </c>
      <c r="U238" s="51">
        <f t="shared" si="395"/>
        <v>0.78239112794157428</v>
      </c>
      <c r="V238" s="51">
        <f t="shared" si="396"/>
        <v>0.77838798255532216</v>
      </c>
      <c r="W238" s="51">
        <f t="shared" si="397"/>
        <v>0.78858945347322218</v>
      </c>
      <c r="X238" s="51">
        <f t="shared" si="398"/>
        <v>0.79134889626006955</v>
      </c>
      <c r="Y238" s="51">
        <f t="shared" si="399"/>
        <v>0.76883085479385804</v>
      </c>
      <c r="Z238" s="51">
        <f t="shared" si="400"/>
        <v>1.6381525561265893</v>
      </c>
      <c r="AA238" s="51">
        <f t="shared" si="401"/>
        <v>1.9580035535454692</v>
      </c>
      <c r="AB238" s="51">
        <f t="shared" si="402"/>
        <v>1.8725656586436261</v>
      </c>
      <c r="AC238" s="51">
        <f t="shared" si="403"/>
        <v>1.7737623718114925</v>
      </c>
      <c r="AD238" s="62">
        <f t="shared" si="404"/>
        <v>1.786089952847298</v>
      </c>
      <c r="AE238" s="699"/>
      <c r="AF238" s="701">
        <f t="shared" si="384"/>
        <v>-1.6618077131778042E-2</v>
      </c>
      <c r="AG238" s="698"/>
      <c r="AH238" s="700"/>
      <c r="AI238" s="701">
        <f t="shared" si="385"/>
        <v>-5.2629445748064607E-2</v>
      </c>
      <c r="AJ238" s="699"/>
      <c r="AK238" s="678">
        <f t="shared" si="405"/>
        <v>0.16115811310889505</v>
      </c>
      <c r="AL238" s="51">
        <f t="shared" si="406"/>
        <v>1.9758598679364137E-2</v>
      </c>
      <c r="AM238" s="827">
        <f t="shared" ref="AM238:AV238" si="416">AM55</f>
        <v>399759.26799999998</v>
      </c>
      <c r="AN238" s="827">
        <f t="shared" si="416"/>
        <v>436831.08</v>
      </c>
      <c r="AO238" s="827">
        <f t="shared" si="416"/>
        <v>419946.52880000003</v>
      </c>
      <c r="AP238" s="827">
        <f t="shared" si="416"/>
        <v>401270.61599999998</v>
      </c>
      <c r="AQ238" s="827">
        <f t="shared" si="416"/>
        <v>409770.66240000003</v>
      </c>
      <c r="AR238" s="827">
        <f t="shared" si="416"/>
        <v>286837.83400000003</v>
      </c>
      <c r="AS238" s="827">
        <f t="shared" si="416"/>
        <v>266174.03999999998</v>
      </c>
      <c r="AT238" s="827">
        <f t="shared" si="416"/>
        <v>237965.15919999999</v>
      </c>
      <c r="AU238" s="827">
        <f t="shared" si="416"/>
        <v>381017.96879999997</v>
      </c>
      <c r="AV238" s="827">
        <f t="shared" si="416"/>
        <v>280377.86040000001</v>
      </c>
      <c r="AW238" s="829">
        <f t="shared" ref="AW238:BB238" si="417">AW55</f>
        <v>0.40620421682909741</v>
      </c>
      <c r="AX238" s="829">
        <f t="shared" si="417"/>
        <v>0.20652468188791626</v>
      </c>
      <c r="AY238" s="829">
        <f t="shared" si="417"/>
        <v>0.39761018889524902</v>
      </c>
      <c r="AZ238" s="829">
        <f t="shared" si="417"/>
        <v>0.37655292969204412</v>
      </c>
      <c r="BA238" s="829">
        <f t="shared" si="417"/>
        <v>0.20434957169333456</v>
      </c>
      <c r="BB238" s="829">
        <f t="shared" si="417"/>
        <v>0.36118371887097062</v>
      </c>
    </row>
    <row r="239" spans="1:54" ht="15" customHeight="1">
      <c r="A239" s="449">
        <v>2016</v>
      </c>
      <c r="B239" s="449"/>
      <c r="C239" s="50"/>
      <c r="D239" s="51"/>
      <c r="E239" s="51"/>
      <c r="F239" s="51"/>
      <c r="G239" s="51"/>
      <c r="H239" s="51"/>
      <c r="I239" s="50" t="s">
        <v>207</v>
      </c>
      <c r="J239" s="437" t="s">
        <v>526</v>
      </c>
      <c r="K239" s="543">
        <f t="shared" ref="K239:O239" si="418">LN(K56)</f>
        <v>10.163483454222181</v>
      </c>
      <c r="L239" s="543">
        <f t="shared" si="418"/>
        <v>10.112624317132726</v>
      </c>
      <c r="M239" s="543">
        <f t="shared" si="418"/>
        <v>10.021324173156811</v>
      </c>
      <c r="N239" s="543">
        <f t="shared" si="418"/>
        <v>10.757879688274317</v>
      </c>
      <c r="O239" s="543">
        <f t="shared" si="418"/>
        <v>10.250974319885531</v>
      </c>
      <c r="P239" s="149">
        <f t="shared" si="390"/>
        <v>0.28963437353427229</v>
      </c>
      <c r="Q239" s="149">
        <f t="shared" si="391"/>
        <v>-0.33760404562297702</v>
      </c>
      <c r="R239" s="149">
        <f t="shared" si="392"/>
        <v>2.9334065070833266E-2</v>
      </c>
      <c r="S239" s="149">
        <f t="shared" si="393"/>
        <v>3.2722602609600963E-2</v>
      </c>
      <c r="T239" s="149">
        <f t="shared" si="394"/>
        <v>8.3908167026486222E-2</v>
      </c>
      <c r="U239" s="51">
        <f t="shared" si="395"/>
        <v>0.18003935243036959</v>
      </c>
      <c r="V239" s="51">
        <f t="shared" si="396"/>
        <v>0.30238250456943339</v>
      </c>
      <c r="W239" s="51">
        <f t="shared" si="397"/>
        <v>0.48152095586172972</v>
      </c>
      <c r="X239" s="51">
        <f t="shared" si="398"/>
        <v>0.33238407681822568</v>
      </c>
      <c r="Y239" s="51">
        <f t="shared" si="399"/>
        <v>0.28989065974796147</v>
      </c>
      <c r="Z239" s="51">
        <f t="shared" si="400"/>
        <v>0.45249146107798682</v>
      </c>
      <c r="AA239" s="51">
        <f t="shared" si="401"/>
        <v>0.40097627894141125</v>
      </c>
      <c r="AB239" s="51">
        <f t="shared" si="402"/>
        <v>0.80198404308109206</v>
      </c>
      <c r="AC239" s="51">
        <f t="shared" si="403"/>
        <v>1.4123398576830746</v>
      </c>
      <c r="AD239" s="62">
        <f t="shared" si="404"/>
        <v>0.87986471460340987</v>
      </c>
      <c r="AE239" s="699"/>
      <c r="AF239" s="701">
        <f t="shared" si="384"/>
        <v>-5.0302383328143851E-2</v>
      </c>
      <c r="AG239" s="698"/>
      <c r="AH239" s="700"/>
      <c r="AI239" s="701">
        <f t="shared" si="385"/>
        <v>-5.8592886818102582E-2</v>
      </c>
      <c r="AJ239" s="699"/>
      <c r="AK239" s="678">
        <f t="shared" si="405"/>
        <v>-0.2296501467287192</v>
      </c>
      <c r="AL239" s="51">
        <f t="shared" si="406"/>
        <v>0.19163029611376825</v>
      </c>
      <c r="AM239" s="827">
        <f t="shared" ref="AM239:AV239" si="419">AM56</f>
        <v>47003.424894999996</v>
      </c>
      <c r="AN239" s="827">
        <f t="shared" si="419"/>
        <v>42889.957992000003</v>
      </c>
      <c r="AO239" s="827">
        <f t="shared" si="419"/>
        <v>14546.927362</v>
      </c>
      <c r="AP239" s="827">
        <f t="shared" si="419"/>
        <v>22216.599383000001</v>
      </c>
      <c r="AQ239" s="827">
        <f t="shared" si="419"/>
        <v>22848.142824000002</v>
      </c>
      <c r="AR239" s="827">
        <f t="shared" si="419"/>
        <v>1993.2922309999999</v>
      </c>
      <c r="AS239" s="827">
        <f t="shared" si="419"/>
        <v>2074.9596419999998</v>
      </c>
      <c r="AT239" s="827">
        <f t="shared" si="419"/>
        <v>1784.0285760000002</v>
      </c>
      <c r="AU239" s="827">
        <f t="shared" si="419"/>
        <v>1463.16137</v>
      </c>
      <c r="AV239" s="827">
        <f t="shared" si="419"/>
        <v>1289.9627840000001</v>
      </c>
      <c r="AW239" s="829">
        <f t="shared" ref="AW239:BB239" si="420">AW56</f>
        <v>1.8414869029275809</v>
      </c>
      <c r="AX239" s="829">
        <f t="shared" si="420"/>
        <v>1.0510984540276649</v>
      </c>
      <c r="AY239" s="829">
        <f t="shared" si="420"/>
        <v>0.36997828447339842</v>
      </c>
      <c r="AZ239" s="829">
        <f t="shared" si="420"/>
        <v>0.60765768864056124</v>
      </c>
      <c r="BA239" s="829">
        <f t="shared" si="420"/>
        <v>0.39558240996411059</v>
      </c>
      <c r="BB239" s="829">
        <f t="shared" si="420"/>
        <v>0.20167774929322446</v>
      </c>
    </row>
    <row r="240" spans="1:54" ht="15" customHeight="1">
      <c r="A240" s="449">
        <v>2016</v>
      </c>
      <c r="B240" s="449"/>
      <c r="C240" s="50"/>
      <c r="D240" s="51"/>
      <c r="E240" s="51"/>
      <c r="F240" s="51"/>
      <c r="G240" s="51"/>
      <c r="H240" s="51"/>
      <c r="I240" s="50" t="s">
        <v>207</v>
      </c>
      <c r="J240" s="437" t="s">
        <v>527</v>
      </c>
      <c r="K240" s="543">
        <f t="shared" ref="K240:O240" si="421">LN(K57)</f>
        <v>10.373903557868156</v>
      </c>
      <c r="L240" s="543">
        <f t="shared" si="421"/>
        <v>10.013055983188636</v>
      </c>
      <c r="M240" s="543">
        <f t="shared" si="421"/>
        <v>9.8130261105105472</v>
      </c>
      <c r="N240" s="543">
        <f t="shared" si="421"/>
        <v>9.7467884333356523</v>
      </c>
      <c r="O240" s="543">
        <f t="shared" si="421"/>
        <v>9.7252787692029425</v>
      </c>
      <c r="P240" s="149">
        <f t="shared" si="390"/>
        <v>0.11305743795195272</v>
      </c>
      <c r="Q240" s="149">
        <f t="shared" si="391"/>
        <v>-0.2022367913613575</v>
      </c>
      <c r="R240" s="149">
        <f t="shared" si="392"/>
        <v>-0.22991697092988581</v>
      </c>
      <c r="S240" s="149">
        <f t="shared" si="393"/>
        <v>0.24583817805844305</v>
      </c>
      <c r="T240" s="149">
        <f t="shared" si="394"/>
        <v>-0.26854814165992419</v>
      </c>
      <c r="U240" s="51">
        <f t="shared" si="395"/>
        <v>0.18947589294040845</v>
      </c>
      <c r="V240" s="51">
        <f t="shared" si="396"/>
        <v>0.23726189034412359</v>
      </c>
      <c r="W240" s="51">
        <f t="shared" si="397"/>
        <v>0.17111049452867549</v>
      </c>
      <c r="X240" s="51">
        <f t="shared" si="398"/>
        <v>0.11861774141073497</v>
      </c>
      <c r="Y240" s="51">
        <f t="shared" si="399"/>
        <v>0.15318191713228357</v>
      </c>
      <c r="Z240" s="51">
        <f t="shared" si="400"/>
        <v>1.0940501725263452</v>
      </c>
      <c r="AA240" s="51">
        <f t="shared" si="401"/>
        <v>0.78509143756812405</v>
      </c>
      <c r="AB240" s="51">
        <f t="shared" si="402"/>
        <v>0.57359016947992958</v>
      </c>
      <c r="AC240" s="51">
        <f t="shared" si="403"/>
        <v>0.50245407572476575</v>
      </c>
      <c r="AD240" s="62">
        <f t="shared" si="404"/>
        <v>0.5430866974659152</v>
      </c>
      <c r="AE240" s="699"/>
      <c r="AF240" s="701">
        <f t="shared" si="384"/>
        <v>1.396680904271172E-2</v>
      </c>
      <c r="AG240" s="698"/>
      <c r="AH240" s="700"/>
      <c r="AI240" s="701">
        <f t="shared" si="385"/>
        <v>1.3124818423468299E-2</v>
      </c>
      <c r="AJ240" s="699"/>
      <c r="AK240" s="678">
        <f t="shared" si="405"/>
        <v>8.7747341307604185E-2</v>
      </c>
      <c r="AL240" s="51">
        <f t="shared" si="406"/>
        <v>1.792857739639192E-2</v>
      </c>
      <c r="AM240" s="827">
        <f t="shared" ref="AM240:AV240" si="422">AM57</f>
        <v>23716.891589999999</v>
      </c>
      <c r="AN240" s="827">
        <f t="shared" si="422"/>
        <v>21680.543532</v>
      </c>
      <c r="AO240" s="827">
        <f t="shared" si="422"/>
        <v>26402.073280000001</v>
      </c>
      <c r="AP240" s="827">
        <f t="shared" si="422"/>
        <v>29994.569979</v>
      </c>
      <c r="AQ240" s="827">
        <f t="shared" si="422"/>
        <v>26094.913560000001</v>
      </c>
      <c r="AR240" s="827">
        <f t="shared" si="422"/>
        <v>1141.1032359999999</v>
      </c>
      <c r="AS240" s="827">
        <f t="shared" si="422"/>
        <v>295.19334600000002</v>
      </c>
      <c r="AT240" s="827">
        <f t="shared" si="422"/>
        <v>575.30563200000006</v>
      </c>
      <c r="AU240" s="827">
        <f t="shared" si="422"/>
        <v>447.40117400000003</v>
      </c>
      <c r="AV240" s="827">
        <f t="shared" si="422"/>
        <v>491.93495999999999</v>
      </c>
      <c r="AW240" s="829">
        <f t="shared" ref="AW240:BB240" si="423">AW57</f>
        <v>-9.1358585858585872</v>
      </c>
      <c r="AX240" s="829">
        <f t="shared" si="423"/>
        <v>9.3956891963810527</v>
      </c>
      <c r="AY240" s="829">
        <f t="shared" si="423"/>
        <v>-7.3015572390572387</v>
      </c>
      <c r="AZ240" s="829">
        <f t="shared" si="423"/>
        <v>-1.5452932561959485</v>
      </c>
      <c r="BA240" s="829">
        <f t="shared" si="423"/>
        <v>1.2380221570113432</v>
      </c>
      <c r="BB240" s="829">
        <f t="shared" si="423"/>
        <v>-1.3812511843265001</v>
      </c>
    </row>
    <row r="241" spans="1:54" ht="15" customHeight="1">
      <c r="A241" s="449">
        <v>2012</v>
      </c>
      <c r="B241" s="449"/>
      <c r="C241" s="50"/>
      <c r="D241" s="51"/>
      <c r="E241" s="51"/>
      <c r="F241" s="51"/>
      <c r="G241" s="51"/>
      <c r="H241" s="51"/>
      <c r="I241" s="411" t="s">
        <v>210</v>
      </c>
      <c r="J241" s="437" t="s">
        <v>359</v>
      </c>
      <c r="K241" s="543">
        <f t="shared" ref="K241:O241" si="424">LN(K58)</f>
        <v>10.33693347573556</v>
      </c>
      <c r="L241" s="543">
        <f t="shared" si="424"/>
        <v>10.477606523594902</v>
      </c>
      <c r="M241" s="543">
        <f t="shared" si="424"/>
        <v>10.176947193683917</v>
      </c>
      <c r="N241" s="543">
        <f t="shared" si="424"/>
        <v>9.632132008429199</v>
      </c>
      <c r="O241" s="543">
        <f t="shared" si="424"/>
        <v>9.4520085738514759</v>
      </c>
      <c r="P241" s="149">
        <f t="shared" si="390"/>
        <v>-4.4018876737481276E-2</v>
      </c>
      <c r="Q241" s="149">
        <f t="shared" si="391"/>
        <v>5.8547169472985819E-3</v>
      </c>
      <c r="R241" s="149">
        <f t="shared" si="392"/>
        <v>-1.082890332742666E-2</v>
      </c>
      <c r="S241" s="149">
        <f t="shared" si="393"/>
        <v>-3.670335122457264E-2</v>
      </c>
      <c r="T241" s="149">
        <f t="shared" si="394"/>
        <v>-0.10040814036662506</v>
      </c>
      <c r="U241" s="51">
        <f t="shared" si="395"/>
        <v>0.57075615491812792</v>
      </c>
      <c r="V241" s="51">
        <f t="shared" si="396"/>
        <v>0.47827881539572792</v>
      </c>
      <c r="W241" s="51">
        <f t="shared" si="397"/>
        <v>0.40238490463769011</v>
      </c>
      <c r="X241" s="51">
        <f t="shared" si="398"/>
        <v>0.27389701759239182</v>
      </c>
      <c r="Y241" s="51">
        <f t="shared" si="399"/>
        <v>0.32957748504371837</v>
      </c>
      <c r="Z241" s="51">
        <f t="shared" si="400"/>
        <v>0.90127453257461376</v>
      </c>
      <c r="AA241" s="51">
        <f t="shared" si="401"/>
        <v>1.0462753632705133</v>
      </c>
      <c r="AB241" s="51">
        <f t="shared" si="402"/>
        <v>0.86029337037162334</v>
      </c>
      <c r="AC241" s="51">
        <f t="shared" si="403"/>
        <v>0.66305298651972699</v>
      </c>
      <c r="AD241" s="62">
        <f t="shared" si="404"/>
        <v>0.51267688679245282</v>
      </c>
      <c r="AE241" s="699"/>
      <c r="AF241" s="701">
        <f t="shared" si="384"/>
        <v>4.2160899070800582E-2</v>
      </c>
      <c r="AG241" s="698"/>
      <c r="AH241" s="700"/>
      <c r="AI241" s="701">
        <f t="shared" si="385"/>
        <v>6.1194136821458106E-2</v>
      </c>
      <c r="AJ241" s="699"/>
      <c r="AK241" s="678">
        <f t="shared" si="405"/>
        <v>0.72493861983244112</v>
      </c>
      <c r="AL241" s="51">
        <f t="shared" si="406"/>
        <v>7.2807419593971745E-2</v>
      </c>
      <c r="AM241" s="827">
        <f t="shared" ref="AM241:AV241" si="425">AM58</f>
        <v>14693.451280000001</v>
      </c>
      <c r="AN241" s="827">
        <f t="shared" si="425"/>
        <v>17707.578239999999</v>
      </c>
      <c r="AO241" s="827">
        <f t="shared" si="425"/>
        <v>18262.784380130113</v>
      </c>
      <c r="AP241" s="827">
        <f t="shared" si="425"/>
        <v>16696.571184</v>
      </c>
      <c r="AQ241" s="827">
        <f t="shared" si="425"/>
        <v>16651.755251999999</v>
      </c>
      <c r="AR241" s="827">
        <f t="shared" si="425"/>
        <v>7535.4249340000006</v>
      </c>
      <c r="AS241" s="827">
        <f t="shared" si="425"/>
        <v>997.03828499999997</v>
      </c>
      <c r="AT241" s="827">
        <f t="shared" si="425"/>
        <v>1366.562942</v>
      </c>
      <c r="AU241" s="827">
        <f t="shared" si="425"/>
        <v>1464.6205559999999</v>
      </c>
      <c r="AV241" s="827">
        <f t="shared" si="425"/>
        <v>1917.4066560000001</v>
      </c>
      <c r="AW241" s="829">
        <f t="shared" ref="AW241:BB241" si="426">AW58</f>
        <v>-0.66682190760059612</v>
      </c>
      <c r="AX241" s="829">
        <f t="shared" si="426"/>
        <v>-0.38208709942481517</v>
      </c>
      <c r="AY241" s="829">
        <f t="shared" si="426"/>
        <v>-0.20832761694978341</v>
      </c>
      <c r="AZ241" s="829">
        <f t="shared" si="426"/>
        <v>-0.27124642009084016</v>
      </c>
      <c r="BA241" s="829">
        <f t="shared" si="426"/>
        <v>-0.12898974803984059</v>
      </c>
      <c r="BB241" s="829">
        <f t="shared" si="426"/>
        <v>-9.3143922020716405E-2</v>
      </c>
    </row>
    <row r="242" spans="1:54" ht="15" customHeight="1">
      <c r="A242" s="449">
        <v>2012</v>
      </c>
      <c r="B242" s="449"/>
      <c r="C242" s="50"/>
      <c r="D242" s="51"/>
      <c r="E242" s="51"/>
      <c r="F242" s="51"/>
      <c r="G242" s="51"/>
      <c r="H242" s="51"/>
      <c r="I242" s="411" t="s">
        <v>210</v>
      </c>
      <c r="J242" s="437" t="s">
        <v>527</v>
      </c>
      <c r="K242" s="543">
        <f t="shared" ref="K242:O242" si="427">LN(K59)</f>
        <v>9.7252787692029425</v>
      </c>
      <c r="L242" s="543">
        <f t="shared" si="427"/>
        <v>9.9295701079765255</v>
      </c>
      <c r="M242" s="543">
        <f t="shared" si="427"/>
        <v>9.5824513832865144</v>
      </c>
      <c r="N242" s="543">
        <f t="shared" si="427"/>
        <v>10.060185231434252</v>
      </c>
      <c r="O242" s="543">
        <f t="shared" si="427"/>
        <v>9.9570558836340251</v>
      </c>
      <c r="P242" s="149">
        <f t="shared" si="390"/>
        <v>-0.26854814165992419</v>
      </c>
      <c r="Q242" s="149">
        <f t="shared" si="391"/>
        <v>-0.19154414045536322</v>
      </c>
      <c r="R242" s="149">
        <f t="shared" si="392"/>
        <v>-0.85633809428802798</v>
      </c>
      <c r="S242" s="149">
        <f t="shared" si="393"/>
        <v>-0.43549774005071101</v>
      </c>
      <c r="T242" s="149">
        <f t="shared" si="394"/>
        <v>-0.16722388211296096</v>
      </c>
      <c r="U242" s="51">
        <f t="shared" si="395"/>
        <v>0.15318191713228357</v>
      </c>
      <c r="V242" s="51">
        <f t="shared" si="396"/>
        <v>0.11279884987378919</v>
      </c>
      <c r="W242" s="51">
        <f t="shared" si="397"/>
        <v>0.1080549902892028</v>
      </c>
      <c r="X242" s="51">
        <f t="shared" si="398"/>
        <v>0.12174059651991553</v>
      </c>
      <c r="Y242" s="51">
        <f t="shared" si="399"/>
        <v>0.13717072251037446</v>
      </c>
      <c r="Z242" s="51">
        <f t="shared" si="400"/>
        <v>0.5430866974659152</v>
      </c>
      <c r="AA242" s="51">
        <f t="shared" si="401"/>
        <v>0.47657800494495145</v>
      </c>
      <c r="AB242" s="51">
        <f t="shared" si="402"/>
        <v>0.28239860005435397</v>
      </c>
      <c r="AC242" s="51">
        <f t="shared" si="403"/>
        <v>0.31425384199659101</v>
      </c>
      <c r="AD242" s="62">
        <f t="shared" si="404"/>
        <v>0.23203249126541933</v>
      </c>
      <c r="AE242" s="699"/>
      <c r="AF242" s="701">
        <f t="shared" si="384"/>
        <v>-0.20302730503440736</v>
      </c>
      <c r="AG242" s="698"/>
      <c r="AH242" s="700"/>
      <c r="AI242" s="701">
        <f t="shared" si="385"/>
        <v>-0.22615506453972573</v>
      </c>
      <c r="AJ242" s="699"/>
      <c r="AK242" s="678">
        <f t="shared" si="405"/>
        <v>-0.37460450034751058</v>
      </c>
      <c r="AL242" s="51">
        <f t="shared" si="406"/>
        <v>-2.9115732221171656E-2</v>
      </c>
      <c r="AM242" s="827">
        <f t="shared" ref="AM242:AV242" si="428">AM59</f>
        <v>26094.913560000001</v>
      </c>
      <c r="AN242" s="827">
        <f t="shared" si="428"/>
        <v>38216.033309999999</v>
      </c>
      <c r="AO242" s="827">
        <f t="shared" si="428"/>
        <v>45822.765841</v>
      </c>
      <c r="AP242" s="827">
        <f t="shared" si="428"/>
        <v>65377.195631999995</v>
      </c>
      <c r="AQ242" s="827">
        <f t="shared" si="428"/>
        <v>78463.830851999999</v>
      </c>
      <c r="AR242" s="827">
        <f t="shared" si="428"/>
        <v>491.93495999999999</v>
      </c>
      <c r="AS242" s="827">
        <f t="shared" si="428"/>
        <v>486.34072500000002</v>
      </c>
      <c r="AT242" s="827">
        <f t="shared" si="428"/>
        <v>390.93303200000003</v>
      </c>
      <c r="AU242" s="827">
        <f t="shared" si="428"/>
        <v>278.688804</v>
      </c>
      <c r="AV242" s="827">
        <f t="shared" si="428"/>
        <v>213.60081600000001</v>
      </c>
      <c r="AW242" s="829">
        <f t="shared" ref="AW242:BB242" si="429">AW59</f>
        <v>-16.51923076923077</v>
      </c>
      <c r="AX242" s="829">
        <f t="shared" si="429"/>
        <v>-36.555212831585436</v>
      </c>
      <c r="AY242" s="829">
        <f t="shared" si="429"/>
        <v>-31.779616724738673</v>
      </c>
      <c r="AZ242" s="829">
        <f t="shared" si="429"/>
        <v>-2.304760720286505</v>
      </c>
      <c r="BA242" s="829">
        <f t="shared" si="429"/>
        <v>-4.5870996597195246</v>
      </c>
      <c r="BB242" s="829">
        <f t="shared" si="429"/>
        <v>-3.6757748555863765</v>
      </c>
    </row>
    <row r="243" spans="1:54" ht="15" customHeight="1">
      <c r="A243" s="449">
        <v>2007</v>
      </c>
      <c r="B243" s="449"/>
      <c r="C243" s="50"/>
      <c r="D243" s="51"/>
      <c r="E243" s="51"/>
      <c r="F243" s="51"/>
      <c r="G243" s="51"/>
      <c r="H243" s="51"/>
      <c r="I243" s="50" t="s">
        <v>211</v>
      </c>
      <c r="J243" s="437" t="s">
        <v>528</v>
      </c>
      <c r="K243" s="543">
        <f t="shared" ref="K243:O243" si="430">LN(K60)</f>
        <v>13.715522072352218</v>
      </c>
      <c r="L243" s="543">
        <f t="shared" si="430"/>
        <v>13.446428804762856</v>
      </c>
      <c r="M243" s="543">
        <f t="shared" si="430"/>
        <v>13.567332824455562</v>
      </c>
      <c r="N243" s="543">
        <f t="shared" si="430"/>
        <v>13.289716872376985</v>
      </c>
      <c r="O243" s="543">
        <f t="shared" si="430"/>
        <v>13.060535084967977</v>
      </c>
      <c r="P243" s="149">
        <f t="shared" si="390"/>
        <v>-2.5566980865225387E-2</v>
      </c>
      <c r="Q243" s="149">
        <f t="shared" si="391"/>
        <v>0.16675155455764781</v>
      </c>
      <c r="R243" s="149">
        <f t="shared" si="392"/>
        <v>1.5012712795888769E-2</v>
      </c>
      <c r="S243" s="149">
        <f t="shared" si="393"/>
        <v>5.0353739208269153E-2</v>
      </c>
      <c r="T243" s="149">
        <f t="shared" si="394"/>
        <v>0.14928203666837384</v>
      </c>
      <c r="U243" s="51">
        <f t="shared" si="395"/>
        <v>0.75129957475653919</v>
      </c>
      <c r="V243" s="51">
        <f t="shared" si="396"/>
        <v>0.68743752778614886</v>
      </c>
      <c r="W243" s="51">
        <f t="shared" si="397"/>
        <v>0.72271264142229086</v>
      </c>
      <c r="X243" s="51">
        <f t="shared" si="398"/>
        <v>0.72793816840086611</v>
      </c>
      <c r="Y243" s="51">
        <f t="shared" si="399"/>
        <v>0.69073073049366862</v>
      </c>
      <c r="Z243" s="51">
        <f t="shared" si="400"/>
        <v>0.20190534679914832</v>
      </c>
      <c r="AA243" s="51">
        <f t="shared" si="401"/>
        <v>0.19863844714761769</v>
      </c>
      <c r="AB243" s="51">
        <f t="shared" si="402"/>
        <v>0.21883782911674571</v>
      </c>
      <c r="AC243" s="51">
        <f t="shared" si="403"/>
        <v>0.20633356252110371</v>
      </c>
      <c r="AD243" s="62">
        <f t="shared" si="404"/>
        <v>0.28295696464623821</v>
      </c>
      <c r="AE243" s="699"/>
      <c r="AF243" s="701">
        <f t="shared" si="384"/>
        <v>-3.8955042494486003E-2</v>
      </c>
      <c r="AG243" s="698"/>
      <c r="AH243" s="700"/>
      <c r="AI243" s="701">
        <f t="shared" si="385"/>
        <v>-0.12473309717451218</v>
      </c>
      <c r="AJ243" s="699"/>
      <c r="AK243" s="678">
        <f t="shared" si="405"/>
        <v>0.506797739487585</v>
      </c>
      <c r="AL243" s="51">
        <f t="shared" si="406"/>
        <v>3.1981910928622237E-2</v>
      </c>
      <c r="AM243" s="827">
        <f t="shared" ref="AM243:AV243" si="431">AM60</f>
        <v>1114562.0725090001</v>
      </c>
      <c r="AN243" s="827">
        <f t="shared" si="431"/>
        <v>1087886.0725199999</v>
      </c>
      <c r="AO243" s="827">
        <f t="shared" si="431"/>
        <v>988610.67273400002</v>
      </c>
      <c r="AP243" s="827">
        <f t="shared" si="431"/>
        <v>779378.3709199999</v>
      </c>
      <c r="AQ243" s="827">
        <f t="shared" si="431"/>
        <v>513729.72898800002</v>
      </c>
      <c r="AR243" s="827">
        <f t="shared" si="431"/>
        <v>2804854.267029</v>
      </c>
      <c r="AS243" s="827">
        <f t="shared" si="431"/>
        <v>1912990.5973099999</v>
      </c>
      <c r="AT243" s="827">
        <f t="shared" si="431"/>
        <v>2036992.8192420001</v>
      </c>
      <c r="AU243" s="827">
        <f t="shared" si="431"/>
        <v>1807506.5340399998</v>
      </c>
      <c r="AV243" s="827">
        <f t="shared" si="431"/>
        <v>917533.04372399999</v>
      </c>
      <c r="AW243" s="829">
        <f t="shared" ref="AW243:BB243" si="432">AW60</f>
        <v>7.6472300632593193E-2</v>
      </c>
      <c r="AX243" s="829">
        <f t="shared" si="432"/>
        <v>1.6466547606594346E-2</v>
      </c>
      <c r="AY243" s="829">
        <f t="shared" si="432"/>
        <v>5.7502596844493034E-3</v>
      </c>
      <c r="AZ243" s="829">
        <f t="shared" si="432"/>
        <v>9.5062160050374017E-2</v>
      </c>
      <c r="BA243" s="829">
        <f t="shared" si="432"/>
        <v>2.2376296238288809E-2</v>
      </c>
      <c r="BB243" s="829">
        <f t="shared" si="432"/>
        <v>7.4411355932816736E-3</v>
      </c>
    </row>
    <row r="244" spans="1:54" ht="15" customHeight="1">
      <c r="A244" s="449">
        <v>2007</v>
      </c>
      <c r="B244" s="449"/>
      <c r="C244" s="50"/>
      <c r="D244" s="51"/>
      <c r="E244" s="51"/>
      <c r="F244" s="51"/>
      <c r="G244" s="51"/>
      <c r="H244" s="51"/>
      <c r="I244" s="411" t="s">
        <v>211</v>
      </c>
      <c r="J244" s="437" t="s">
        <v>356</v>
      </c>
      <c r="K244" s="543">
        <f t="shared" ref="K244:O244" si="433">LN(K61)</f>
        <v>13.942231310743431</v>
      </c>
      <c r="L244" s="543">
        <f t="shared" si="433"/>
        <v>14.115764768850845</v>
      </c>
      <c r="M244" s="543">
        <f t="shared" si="433"/>
        <v>14.466533855247777</v>
      </c>
      <c r="N244" s="543">
        <f t="shared" si="433"/>
        <v>14.234133388994112</v>
      </c>
      <c r="O244" s="543">
        <f t="shared" si="433"/>
        <v>14.084330096093971</v>
      </c>
      <c r="P244" s="149">
        <f t="shared" si="390"/>
        <v>-6.6954453352127564E-3</v>
      </c>
      <c r="Q244" s="149">
        <f t="shared" si="391"/>
        <v>0.12281495657686775</v>
      </c>
      <c r="R244" s="149">
        <f t="shared" si="392"/>
        <v>0.21767069864855421</v>
      </c>
      <c r="S244" s="149">
        <f t="shared" si="393"/>
        <v>0.3092435061752114</v>
      </c>
      <c r="T244" s="149">
        <f t="shared" si="394"/>
        <v>0.28460760658474082</v>
      </c>
      <c r="U244" s="51">
        <f t="shared" si="395"/>
        <v>0.4263521624304058</v>
      </c>
      <c r="V244" s="51">
        <f t="shared" si="396"/>
        <v>0.50534817956392553</v>
      </c>
      <c r="W244" s="51">
        <f t="shared" si="397"/>
        <v>0.62813947380012758</v>
      </c>
      <c r="X244" s="51">
        <f t="shared" si="398"/>
        <v>0.7423505235536535</v>
      </c>
      <c r="Y244" s="51">
        <f t="shared" si="399"/>
        <v>0.55077132274328577</v>
      </c>
      <c r="Z244" s="51">
        <f t="shared" si="400"/>
        <v>0.378176695906423</v>
      </c>
      <c r="AA244" s="51">
        <f t="shared" si="401"/>
        <v>0.46091292165516035</v>
      </c>
      <c r="AB244" s="51">
        <f t="shared" si="402"/>
        <v>0.62565220299497026</v>
      </c>
      <c r="AC244" s="51">
        <f t="shared" si="403"/>
        <v>0.52865527546741387</v>
      </c>
      <c r="AD244" s="62">
        <f t="shared" si="404"/>
        <v>0.95551347514415741</v>
      </c>
      <c r="AE244" s="699"/>
      <c r="AF244" s="701">
        <f t="shared" si="384"/>
        <v>-0.13576025108332462</v>
      </c>
      <c r="AG244" s="698"/>
      <c r="AH244" s="700"/>
      <c r="AI244" s="701">
        <f t="shared" si="385"/>
        <v>-0.23913384625869005</v>
      </c>
      <c r="AJ244" s="699"/>
      <c r="AK244" s="678">
        <f t="shared" si="405"/>
        <v>0.38220375915380517</v>
      </c>
      <c r="AL244" s="51">
        <f t="shared" si="406"/>
        <v>7.7368151056841805E-2</v>
      </c>
      <c r="AM244" s="827">
        <f t="shared" ref="AM244:AV244" si="434">AM61</f>
        <v>1721800</v>
      </c>
      <c r="AN244" s="827">
        <f t="shared" si="434"/>
        <v>1449037</v>
      </c>
      <c r="AO244" s="827">
        <f t="shared" si="434"/>
        <v>1139680</v>
      </c>
      <c r="AP244" s="827">
        <f t="shared" si="434"/>
        <v>740734</v>
      </c>
      <c r="AQ244" s="827">
        <f t="shared" si="434"/>
        <v>615145</v>
      </c>
      <c r="AR244" s="827">
        <f t="shared" si="434"/>
        <v>895281</v>
      </c>
      <c r="AS244" s="827">
        <f t="shared" si="434"/>
        <v>999760</v>
      </c>
      <c r="AT244" s="827">
        <f t="shared" si="434"/>
        <v>1389459</v>
      </c>
      <c r="AU244" s="827">
        <f t="shared" si="434"/>
        <v>1268593</v>
      </c>
      <c r="AV244" s="827">
        <f t="shared" si="434"/>
        <v>374187</v>
      </c>
      <c r="AW244" s="829">
        <f t="shared" ref="AW244:BB244" si="435">AW61</f>
        <v>0.99518689852934494</v>
      </c>
      <c r="AX244" s="829">
        <f t="shared" si="435"/>
        <v>0.37049628998425815</v>
      </c>
      <c r="AY244" s="829">
        <f t="shared" si="435"/>
        <v>0.30039317460968623</v>
      </c>
      <c r="AZ244" s="829">
        <f t="shared" si="435"/>
        <v>0.82006680770004237</v>
      </c>
      <c r="BA244" s="829">
        <f t="shared" si="435"/>
        <v>0.43852132578806557</v>
      </c>
      <c r="BB244" s="829">
        <f t="shared" si="435"/>
        <v>0.32487496276940042</v>
      </c>
    </row>
    <row r="245" spans="1:54" ht="15" customHeight="1">
      <c r="A245" s="449">
        <v>2007</v>
      </c>
      <c r="B245" s="449"/>
      <c r="C245" s="50"/>
      <c r="D245" s="51"/>
      <c r="E245" s="51"/>
      <c r="F245" s="51"/>
      <c r="G245" s="51"/>
      <c r="H245" s="51"/>
      <c r="I245" s="50" t="s">
        <v>211</v>
      </c>
      <c r="J245" s="437" t="s">
        <v>529</v>
      </c>
      <c r="K245" s="543">
        <f t="shared" ref="K245:O245" si="436">LN(K62)</f>
        <v>12.979676229162989</v>
      </c>
      <c r="L245" s="543">
        <f t="shared" si="436"/>
        <v>12.909465959501278</v>
      </c>
      <c r="M245" s="543">
        <f t="shared" si="436"/>
        <v>12.910310073066221</v>
      </c>
      <c r="N245" s="543">
        <f t="shared" si="436"/>
        <v>12.852222251703148</v>
      </c>
      <c r="O245" s="543">
        <f t="shared" si="436"/>
        <v>12.591189784423882</v>
      </c>
      <c r="P245" s="149">
        <f t="shared" si="390"/>
        <v>1.8502666930595605E-2</v>
      </c>
      <c r="Q245" s="149">
        <f t="shared" si="391"/>
        <v>0.40620894502730504</v>
      </c>
      <c r="R245" s="149">
        <f t="shared" si="392"/>
        <v>2.0252222650431462E-2</v>
      </c>
      <c r="S245" s="149">
        <f t="shared" si="393"/>
        <v>0.30503540286451142</v>
      </c>
      <c r="T245" s="149">
        <f t="shared" si="394"/>
        <v>0.45987282253464878</v>
      </c>
      <c r="U245" s="51">
        <f t="shared" si="395"/>
        <v>0.67947356370809853</v>
      </c>
      <c r="V245" s="51">
        <f t="shared" si="396"/>
        <v>0.62252446613741141</v>
      </c>
      <c r="W245" s="51">
        <f t="shared" si="397"/>
        <v>0.63796203344306868</v>
      </c>
      <c r="X245" s="51">
        <f t="shared" si="398"/>
        <v>0.63959480627157184</v>
      </c>
      <c r="Y245" s="51">
        <f t="shared" si="399"/>
        <v>0.6173262420240857</v>
      </c>
      <c r="Z245" s="51">
        <f t="shared" si="400"/>
        <v>0.16810986018350801</v>
      </c>
      <c r="AA245" s="51">
        <f t="shared" si="401"/>
        <v>0.20620172948440418</v>
      </c>
      <c r="AB245" s="51">
        <f t="shared" si="402"/>
        <v>0.22026832117980405</v>
      </c>
      <c r="AC245" s="51">
        <f t="shared" si="403"/>
        <v>0.21622870957299559</v>
      </c>
      <c r="AD245" s="62">
        <f t="shared" si="404"/>
        <v>0.22704383557679789</v>
      </c>
      <c r="AE245" s="699"/>
      <c r="AF245" s="701">
        <f t="shared" si="384"/>
        <v>-9.9950366422424622E-2</v>
      </c>
      <c r="AG245" s="698"/>
      <c r="AH245" s="700"/>
      <c r="AI245" s="701">
        <f t="shared" si="385"/>
        <v>-0.26052504932969239</v>
      </c>
      <c r="AJ245" s="699"/>
      <c r="AK245" s="678">
        <f t="shared" si="405"/>
        <v>0.31912028864233954</v>
      </c>
      <c r="AL245" s="51">
        <f t="shared" si="406"/>
        <v>2.0635791418982974E-2</v>
      </c>
      <c r="AM245" s="827">
        <f t="shared" ref="AM245:AV245" si="437">AM62</f>
        <v>826556.11682300002</v>
      </c>
      <c r="AN245" s="827">
        <f t="shared" si="437"/>
        <v>739786.22639999993</v>
      </c>
      <c r="AO245" s="827">
        <f t="shared" si="437"/>
        <v>664781.02846399997</v>
      </c>
      <c r="AP245" s="827">
        <f t="shared" si="437"/>
        <v>636101.67329599999</v>
      </c>
      <c r="AQ245" s="827">
        <f t="shared" si="437"/>
        <v>495453.85321199999</v>
      </c>
      <c r="AR245" s="827">
        <f t="shared" si="437"/>
        <v>1440132.4882499999</v>
      </c>
      <c r="AS245" s="827">
        <f t="shared" si="437"/>
        <v>1032088.6368</v>
      </c>
      <c r="AT245" s="827">
        <f t="shared" si="437"/>
        <v>919388.38829799998</v>
      </c>
      <c r="AU245" s="827">
        <f t="shared" si="437"/>
        <v>766511.09074399993</v>
      </c>
      <c r="AV245" s="827">
        <f t="shared" si="437"/>
        <v>658578.439488</v>
      </c>
      <c r="AW245" s="829">
        <f t="shared" ref="AW245:BB245" si="438">AW62</f>
        <v>0.20526479969355751</v>
      </c>
      <c r="AX245" s="829">
        <f t="shared" si="438"/>
        <v>0.15187315259196887</v>
      </c>
      <c r="AY245" s="829">
        <f t="shared" si="438"/>
        <v>8.9094337608112036E-3</v>
      </c>
      <c r="AZ245" s="829">
        <f t="shared" si="438"/>
        <v>0.23112663692044533</v>
      </c>
      <c r="BA245" s="829">
        <f t="shared" si="438"/>
        <v>0.16309473858114126</v>
      </c>
      <c r="BB245" s="829">
        <f t="shared" si="438"/>
        <v>1.0144802568955814E-2</v>
      </c>
    </row>
    <row r="246" spans="1:54" ht="15" customHeight="1">
      <c r="A246" s="449">
        <v>2007</v>
      </c>
      <c r="B246" s="449"/>
      <c r="C246" s="50"/>
      <c r="D246" s="51"/>
      <c r="E246" s="51"/>
      <c r="F246" s="51"/>
      <c r="G246" s="51"/>
      <c r="H246" s="51"/>
      <c r="I246" s="411" t="s">
        <v>211</v>
      </c>
      <c r="J246" s="437" t="s">
        <v>530</v>
      </c>
      <c r="K246" s="543">
        <f t="shared" ref="K246:O246" si="439">LN(K63)</f>
        <v>13.250339618707839</v>
      </c>
      <c r="L246" s="543">
        <f t="shared" si="439"/>
        <v>13.076727732503096</v>
      </c>
      <c r="M246" s="543">
        <f t="shared" si="439"/>
        <v>13.27496600247003</v>
      </c>
      <c r="N246" s="543">
        <f t="shared" si="439"/>
        <v>13.02310421060448</v>
      </c>
      <c r="O246" s="543">
        <f t="shared" si="439"/>
        <v>12.888795683005663</v>
      </c>
      <c r="P246" s="149">
        <f t="shared" si="390"/>
        <v>0.27413891103239169</v>
      </c>
      <c r="Q246" s="149">
        <f t="shared" si="391"/>
        <v>0.34011241482535925</v>
      </c>
      <c r="R246" s="149">
        <f t="shared" si="392"/>
        <v>0.19537249905997447</v>
      </c>
      <c r="S246" s="149">
        <f t="shared" si="393"/>
        <v>0.29820608984128244</v>
      </c>
      <c r="T246" s="149">
        <f t="shared" si="394"/>
        <v>0.38117781393045885</v>
      </c>
      <c r="U246" s="51">
        <f t="shared" si="395"/>
        <v>0.25321776259186124</v>
      </c>
      <c r="V246" s="51">
        <f t="shared" si="396"/>
        <v>0.26603937155131885</v>
      </c>
      <c r="W246" s="51">
        <f t="shared" si="397"/>
        <v>0.30729202141426798</v>
      </c>
      <c r="X246" s="51">
        <f t="shared" si="398"/>
        <v>0.3340307750046913</v>
      </c>
      <c r="Y246" s="51">
        <f t="shared" si="399"/>
        <v>0.29456223733204778</v>
      </c>
      <c r="Z246" s="51">
        <f t="shared" si="400"/>
        <v>0.46696939889902106</v>
      </c>
      <c r="AA246" s="51">
        <f t="shared" si="401"/>
        <v>0.4174641127418337</v>
      </c>
      <c r="AB246" s="51">
        <f t="shared" si="402"/>
        <v>0.61031187749982452</v>
      </c>
      <c r="AC246" s="51">
        <f t="shared" si="403"/>
        <v>0.53100253330831304</v>
      </c>
      <c r="AD246" s="62">
        <f t="shared" si="404"/>
        <v>0.58537725106989591</v>
      </c>
      <c r="AE246" s="699"/>
      <c r="AF246" s="701">
        <f t="shared" si="384"/>
        <v>-0.10389466417431857</v>
      </c>
      <c r="AG246" s="698"/>
      <c r="AH246" s="700"/>
      <c r="AI246" s="701">
        <f t="shared" si="385"/>
        <v>-0.14417267149619833</v>
      </c>
      <c r="AJ246" s="699"/>
      <c r="AK246" s="678">
        <f t="shared" si="405"/>
        <v>0.38617031946436853</v>
      </c>
      <c r="AL246" s="51">
        <f t="shared" si="406"/>
        <v>1.2729784082220197E-2</v>
      </c>
      <c r="AM246" s="827">
        <f t="shared" ref="AM246:AV246" si="440">AM63</f>
        <v>908771</v>
      </c>
      <c r="AN246" s="827">
        <f t="shared" si="440"/>
        <v>839856</v>
      </c>
      <c r="AO246" s="827">
        <f t="shared" si="440"/>
        <v>661063</v>
      </c>
      <c r="AP246" s="827">
        <f t="shared" si="440"/>
        <v>567834</v>
      </c>
      <c r="AQ246" s="827">
        <f t="shared" si="440"/>
        <v>477038</v>
      </c>
      <c r="AR246" s="827">
        <f t="shared" si="440"/>
        <v>100402</v>
      </c>
      <c r="AS246" s="827">
        <f t="shared" si="440"/>
        <v>72790</v>
      </c>
      <c r="AT246" s="827">
        <f t="shared" si="440"/>
        <v>55735</v>
      </c>
      <c r="AU246" s="827">
        <f t="shared" si="440"/>
        <v>93672</v>
      </c>
      <c r="AV246" s="827">
        <f t="shared" si="440"/>
        <v>85221</v>
      </c>
      <c r="AW246" s="829">
        <f t="shared" ref="AW246:BB246" si="441">AW63</f>
        <v>1.7705729808380564</v>
      </c>
      <c r="AX246" s="829">
        <f t="shared" si="441"/>
        <v>1.4413485353147151</v>
      </c>
      <c r="AY246" s="829">
        <f t="shared" si="441"/>
        <v>2.0416434915223829</v>
      </c>
      <c r="AZ246" s="829">
        <f t="shared" si="441"/>
        <v>0.74468006313238377</v>
      </c>
      <c r="BA246" s="829">
        <f t="shared" si="441"/>
        <v>0.6398014567027116</v>
      </c>
      <c r="BB246" s="829">
        <f t="shared" si="441"/>
        <v>0.74661891223032262</v>
      </c>
    </row>
    <row r="247" spans="1:54" ht="15" customHeight="1">
      <c r="A247" s="449">
        <v>2004</v>
      </c>
      <c r="B247" s="449"/>
      <c r="C247" s="50"/>
      <c r="D247" s="51"/>
      <c r="E247" s="51"/>
      <c r="F247" s="51"/>
      <c r="G247" s="51"/>
      <c r="H247" s="51"/>
      <c r="I247" s="50" t="s">
        <v>212</v>
      </c>
      <c r="J247" s="437" t="s">
        <v>531</v>
      </c>
      <c r="K247" s="543">
        <f t="shared" ref="K247:O247" si="442">LN(K64)</f>
        <v>9.8801032214621625</v>
      </c>
      <c r="L247" s="543">
        <f t="shared" si="442"/>
        <v>9.7496729775193192</v>
      </c>
      <c r="M247" s="543">
        <f t="shared" si="442"/>
        <v>9.6600505899184679</v>
      </c>
      <c r="N247" s="543">
        <f t="shared" si="442"/>
        <v>9.5186151573184219</v>
      </c>
      <c r="O247" s="543">
        <f t="shared" si="442"/>
        <v>10.208654971667928</v>
      </c>
      <c r="P247" s="149">
        <f t="shared" si="390"/>
        <v>0.30559375027368829</v>
      </c>
      <c r="Q247" s="149">
        <f t="shared" si="391"/>
        <v>0.34643289546749684</v>
      </c>
      <c r="R247" s="149">
        <f t="shared" si="392"/>
        <v>0.34221591923359185</v>
      </c>
      <c r="S247" s="149">
        <f t="shared" si="393"/>
        <v>0.34663317131778709</v>
      </c>
      <c r="T247" s="149">
        <f t="shared" si="394"/>
        <v>0.12561648111538862</v>
      </c>
      <c r="U247" s="51">
        <f t="shared" si="395"/>
        <v>0.93813327431152627</v>
      </c>
      <c r="V247" s="51">
        <f t="shared" si="396"/>
        <v>0.93529513710725143</v>
      </c>
      <c r="W247" s="51">
        <f t="shared" si="397"/>
        <v>0.92863616837775331</v>
      </c>
      <c r="X247" s="51">
        <f t="shared" si="398"/>
        <v>0.92481801159680876</v>
      </c>
      <c r="Y247" s="51">
        <f t="shared" si="399"/>
        <v>0.91621062693788524</v>
      </c>
      <c r="Z247" s="51">
        <f t="shared" si="400"/>
        <v>2.1380612197702833E-2</v>
      </c>
      <c r="AA247" s="51">
        <f t="shared" si="401"/>
        <v>2.3388307953825922E-2</v>
      </c>
      <c r="AB247" s="51">
        <f t="shared" si="402"/>
        <v>2.5736871538466842E-2</v>
      </c>
      <c r="AC247" s="51">
        <f t="shared" si="403"/>
        <v>2.6916438357372566E-2</v>
      </c>
      <c r="AD247" s="62">
        <f t="shared" si="404"/>
        <v>6.8869941076108054E-2</v>
      </c>
      <c r="AE247" s="699"/>
      <c r="AF247" s="701">
        <f t="shared" si="384"/>
        <v>1.5636749912844271E-4</v>
      </c>
      <c r="AG247" s="698"/>
      <c r="AH247" s="700"/>
      <c r="AI247" s="701">
        <f t="shared" si="385"/>
        <v>2.0168434671079746E-2</v>
      </c>
      <c r="AJ247" s="699"/>
      <c r="AK247" s="678">
        <f t="shared" si="405"/>
        <v>-0.54860438174946036</v>
      </c>
      <c r="AL247" s="51">
        <f t="shared" si="406"/>
        <v>1.2425541439868071E-2</v>
      </c>
      <c r="AM247" s="827">
        <f t="shared" ref="AM247:AV247" si="443">AM64</f>
        <v>56534.207015999993</v>
      </c>
      <c r="AN247" s="827">
        <f t="shared" si="443"/>
        <v>47442.470064000001</v>
      </c>
      <c r="AO247" s="827">
        <f t="shared" si="443"/>
        <v>43473.946954999999</v>
      </c>
      <c r="AP247" s="827">
        <f t="shared" si="443"/>
        <v>38017.035936</v>
      </c>
      <c r="AQ247" s="827">
        <f t="shared" si="443"/>
        <v>33015.794396999998</v>
      </c>
      <c r="AR247" s="827">
        <f t="shared" si="443"/>
        <v>26621.091623999997</v>
      </c>
      <c r="AS247" s="827">
        <f t="shared" si="443"/>
        <v>29038.897944</v>
      </c>
      <c r="AT247" s="827">
        <f t="shared" si="443"/>
        <v>15893.308134999999</v>
      </c>
      <c r="AU247" s="827">
        <f t="shared" si="443"/>
        <v>15168.429845999999</v>
      </c>
      <c r="AV247" s="827">
        <f t="shared" si="443"/>
        <v>355876.299237</v>
      </c>
      <c r="AW247" s="829">
        <f t="shared" ref="AW247:BB247" si="444">AW64</f>
        <v>9.578777370981454E-3</v>
      </c>
      <c r="AX247" s="829">
        <f t="shared" si="444"/>
        <v>0.31103662540550603</v>
      </c>
      <c r="AY247" s="829">
        <f t="shared" si="444"/>
        <v>0.33759232989287286</v>
      </c>
      <c r="AZ247" s="829">
        <f t="shared" si="444"/>
        <v>1.7427377272970199E-2</v>
      </c>
      <c r="BA247" s="829">
        <f t="shared" si="444"/>
        <v>0.29698240382969732</v>
      </c>
      <c r="BB247" s="829">
        <f t="shared" si="444"/>
        <v>0.32230801485716915</v>
      </c>
    </row>
    <row r="248" spans="1:54" ht="15" customHeight="1">
      <c r="A248" s="449">
        <v>2004</v>
      </c>
      <c r="B248" s="449"/>
      <c r="C248" s="50"/>
      <c r="D248" s="51"/>
      <c r="E248" s="51"/>
      <c r="F248" s="51"/>
      <c r="G248" s="51"/>
      <c r="H248" s="51"/>
      <c r="I248" s="50" t="s">
        <v>212</v>
      </c>
      <c r="J248" s="437" t="s">
        <v>532</v>
      </c>
      <c r="K248" s="543">
        <f t="shared" ref="K248:O248" si="445">LN(K65)</f>
        <v>2.7884399254815611</v>
      </c>
      <c r="L248" s="543">
        <f t="shared" si="445"/>
        <v>9.5331776765278349</v>
      </c>
      <c r="M248" s="543">
        <f t="shared" si="445"/>
        <v>9.4833856937774819</v>
      </c>
      <c r="N248" s="543">
        <f t="shared" si="445"/>
        <v>9.2628328649176375</v>
      </c>
      <c r="O248" s="543">
        <f t="shared" si="445"/>
        <v>9.1091006100053722</v>
      </c>
      <c r="P248" s="149">
        <f t="shared" si="390"/>
        <v>0.25263157894736843</v>
      </c>
      <c r="Q248" s="149">
        <f t="shared" si="391"/>
        <v>0.29999886963500516</v>
      </c>
      <c r="R248" s="149">
        <f t="shared" si="392"/>
        <v>0.27787704869534346</v>
      </c>
      <c r="S248" s="149">
        <f t="shared" si="393"/>
        <v>0.26005755233312644</v>
      </c>
      <c r="T248" s="149">
        <f t="shared" si="394"/>
        <v>0.28205208317060593</v>
      </c>
      <c r="U248" s="51">
        <f t="shared" si="395"/>
        <v>0.91827768014059763</v>
      </c>
      <c r="V248" s="51">
        <f t="shared" si="396"/>
        <v>0.91726821713565732</v>
      </c>
      <c r="W248" s="51">
        <f t="shared" si="397"/>
        <v>0.91628598432300434</v>
      </c>
      <c r="X248" s="51">
        <f t="shared" si="398"/>
        <v>0.91848222015196357</v>
      </c>
      <c r="Y248" s="51">
        <f t="shared" si="399"/>
        <v>0.91097843463223305</v>
      </c>
      <c r="Z248" s="51">
        <f t="shared" si="400"/>
        <v>2.7826596367896899E-2</v>
      </c>
      <c r="AA248" s="51">
        <f t="shared" si="401"/>
        <v>2.7645384592308152E-2</v>
      </c>
      <c r="AB248" s="51">
        <f t="shared" si="402"/>
        <v>2.9053566449482621E-2</v>
      </c>
      <c r="AC248" s="51">
        <f t="shared" si="403"/>
        <v>2.7167483635396523E-2</v>
      </c>
      <c r="AD248" s="62">
        <f t="shared" si="404"/>
        <v>2.7982565156629016E-2</v>
      </c>
      <c r="AE248" s="699"/>
      <c r="AF248" s="701">
        <f t="shared" si="384"/>
        <v>1.8077850417185307E-4</v>
      </c>
      <c r="AG248" s="698"/>
      <c r="AH248" s="700"/>
      <c r="AI248" s="701">
        <f t="shared" si="385"/>
        <v>7.7809239230908073E-3</v>
      </c>
      <c r="AJ248" s="699"/>
      <c r="AK248" s="678">
        <f t="shared" si="405"/>
        <v>0.37428508377210906</v>
      </c>
      <c r="AL248" s="51">
        <f t="shared" si="406"/>
        <v>5.307549690771296E-3</v>
      </c>
      <c r="AM248" s="827">
        <f t="shared" ref="AM248:AV248" si="446">AM65</f>
        <v>47.740247999999994</v>
      </c>
      <c r="AN248" s="827">
        <f t="shared" si="446"/>
        <v>41329.124675999999</v>
      </c>
      <c r="AO248" s="827">
        <f t="shared" si="446"/>
        <v>37859.861120999994</v>
      </c>
      <c r="AP248" s="827">
        <f t="shared" si="446"/>
        <v>31586.215139999997</v>
      </c>
      <c r="AQ248" s="827">
        <f t="shared" si="446"/>
        <v>28750.131342000001</v>
      </c>
      <c r="AR248" s="827">
        <f t="shared" si="446"/>
        <v>20.191215999999997</v>
      </c>
      <c r="AS248" s="827">
        <f t="shared" si="446"/>
        <v>15206.168064</v>
      </c>
      <c r="AT248" s="827">
        <f t="shared" si="446"/>
        <v>15125.814430999999</v>
      </c>
      <c r="AU248" s="827">
        <f t="shared" si="446"/>
        <v>6672.0992219999998</v>
      </c>
      <c r="AV248" s="827">
        <f t="shared" si="446"/>
        <v>6304.6824660000002</v>
      </c>
      <c r="AW248" s="829">
        <f t="shared" ref="AW248:BB248" si="447">AW65</f>
        <v>0.40429486318240848</v>
      </c>
      <c r="AX248" s="829">
        <f t="shared" si="447"/>
        <v>0.41077516098126154</v>
      </c>
      <c r="AY248" s="829">
        <f t="shared" si="447"/>
        <v>0.24138817216459874</v>
      </c>
      <c r="AZ248" s="829">
        <f t="shared" si="447"/>
        <v>0.37619644238664773</v>
      </c>
      <c r="BA248" s="829">
        <f t="shared" si="447"/>
        <v>0.38439102883114462</v>
      </c>
      <c r="BB248" s="829">
        <f t="shared" si="447"/>
        <v>0.22925399705437841</v>
      </c>
    </row>
    <row r="249" spans="1:54" ht="15" customHeight="1">
      <c r="A249" s="449">
        <v>2004</v>
      </c>
      <c r="B249" s="449"/>
      <c r="C249" s="50"/>
      <c r="D249" s="51"/>
      <c r="E249" s="51"/>
      <c r="F249" s="51"/>
      <c r="G249" s="51"/>
      <c r="H249" s="51"/>
      <c r="I249" s="50" t="s">
        <v>212</v>
      </c>
      <c r="J249" s="437" t="s">
        <v>533</v>
      </c>
      <c r="K249" s="543">
        <f t="shared" ref="K249:O249" si="448">LN(K66)</f>
        <v>12.090255381478126</v>
      </c>
      <c r="L249" s="543">
        <f t="shared" si="448"/>
        <v>11.892163551885014</v>
      </c>
      <c r="M249" s="543">
        <f t="shared" si="448"/>
        <v>11.872035025822596</v>
      </c>
      <c r="N249" s="543">
        <f t="shared" si="448"/>
        <v>11.755113191322524</v>
      </c>
      <c r="O249" s="543">
        <f t="shared" si="448"/>
        <v>11.638369136219552</v>
      </c>
      <c r="P249" s="149">
        <f t="shared" si="390"/>
        <v>0.33525456292026901</v>
      </c>
      <c r="Q249" s="149">
        <f t="shared" si="391"/>
        <v>0.33012820512820512</v>
      </c>
      <c r="R249" s="149">
        <f t="shared" si="392"/>
        <v>0.34853420195439744</v>
      </c>
      <c r="S249" s="149">
        <f t="shared" si="393"/>
        <v>0.31505250875145857</v>
      </c>
      <c r="T249" s="149">
        <f t="shared" si="394"/>
        <v>0.26650062266500624</v>
      </c>
      <c r="U249" s="51">
        <f t="shared" si="395"/>
        <v>0.89897129627193562</v>
      </c>
      <c r="V249" s="51">
        <f t="shared" si="396"/>
        <v>0.89683747674615244</v>
      </c>
      <c r="W249" s="51">
        <f t="shared" si="397"/>
        <v>0.89228179057176815</v>
      </c>
      <c r="X249" s="51">
        <f t="shared" si="398"/>
        <v>0.88976171772715373</v>
      </c>
      <c r="Y249" s="51">
        <f t="shared" si="399"/>
        <v>0.88561310692038575</v>
      </c>
      <c r="Z249" s="51">
        <f t="shared" si="400"/>
        <v>2.738825015127996E-2</v>
      </c>
      <c r="AA249" s="51">
        <f t="shared" si="401"/>
        <v>2.6382546930492135E-2</v>
      </c>
      <c r="AB249" s="51">
        <f t="shared" si="402"/>
        <v>3.040406708041727E-2</v>
      </c>
      <c r="AC249" s="51">
        <f t="shared" si="403"/>
        <v>3.2057756331126321E-2</v>
      </c>
      <c r="AD249" s="62">
        <f t="shared" si="404"/>
        <v>3.4260602440481271E-2</v>
      </c>
      <c r="AE249" s="699"/>
      <c r="AF249" s="701">
        <f t="shared" si="384"/>
        <v>1.4663853727747093E-3</v>
      </c>
      <c r="AG249" s="698"/>
      <c r="AH249" s="700"/>
      <c r="AI249" s="701">
        <f t="shared" si="385"/>
        <v>1.8554765530309839E-2</v>
      </c>
      <c r="AJ249" s="699"/>
      <c r="AK249" s="678">
        <f t="shared" si="405"/>
        <v>0.23366588960304499</v>
      </c>
      <c r="AL249" s="51">
        <f t="shared" si="406"/>
        <v>6.668683651382401E-3</v>
      </c>
      <c r="AM249" s="827">
        <f t="shared" ref="AM249:AV249" si="449">AM66</f>
        <v>657070.07999999996</v>
      </c>
      <c r="AN249" s="827">
        <f t="shared" si="449"/>
        <v>571355.28</v>
      </c>
      <c r="AO249" s="827">
        <f t="shared" si="449"/>
        <v>507360.60699999996</v>
      </c>
      <c r="AP249" s="827">
        <f t="shared" si="449"/>
        <v>438106.91399999999</v>
      </c>
      <c r="AQ249" s="827">
        <f t="shared" si="449"/>
        <v>378495.53700000001</v>
      </c>
      <c r="AR249" s="827">
        <f t="shared" si="449"/>
        <v>81278.2</v>
      </c>
      <c r="AS249" s="827">
        <f t="shared" si="449"/>
        <v>19201.284</v>
      </c>
      <c r="AT249" s="827">
        <f t="shared" si="449"/>
        <v>17414.768</v>
      </c>
      <c r="AU249" s="827">
        <f t="shared" si="449"/>
        <v>16650.144</v>
      </c>
      <c r="AV249" s="827">
        <f t="shared" si="449"/>
        <v>15105.939</v>
      </c>
      <c r="AW249" s="829">
        <f t="shared" ref="AW249:BB249" si="450">AW66</f>
        <v>2</v>
      </c>
      <c r="AX249" s="829">
        <f t="shared" si="450"/>
        <v>2.4107142857142856</v>
      </c>
      <c r="AY249" s="829">
        <f t="shared" si="450"/>
        <v>2.8660714285714284</v>
      </c>
      <c r="AZ249" s="829">
        <f t="shared" si="450"/>
        <v>1.780356685724038</v>
      </c>
      <c r="BA249" s="829">
        <f t="shared" si="450"/>
        <v>2.1550611603635952</v>
      </c>
      <c r="BB249" s="829">
        <f t="shared" si="450"/>
        <v>2.567940203448341</v>
      </c>
    </row>
    <row r="250" spans="1:54" ht="15" customHeight="1">
      <c r="A250" s="449">
        <v>2004</v>
      </c>
      <c r="B250" s="449"/>
      <c r="C250" s="50"/>
      <c r="D250" s="51"/>
      <c r="E250" s="51"/>
      <c r="F250" s="51"/>
      <c r="G250" s="51"/>
      <c r="H250" s="51"/>
      <c r="I250" s="50" t="s">
        <v>212</v>
      </c>
      <c r="J250" s="437" t="s">
        <v>534</v>
      </c>
      <c r="K250" s="543">
        <f t="shared" ref="K250:O250" si="451">LN(K67)</f>
        <v>12.677080969900695</v>
      </c>
      <c r="L250" s="543">
        <f t="shared" si="451"/>
        <v>12.549971365999651</v>
      </c>
      <c r="M250" s="543">
        <f t="shared" si="451"/>
        <v>12.465355872318083</v>
      </c>
      <c r="N250" s="543">
        <f t="shared" si="451"/>
        <v>12.330769008971336</v>
      </c>
      <c r="O250" s="543">
        <f t="shared" si="451"/>
        <v>12.197807004040635</v>
      </c>
      <c r="P250" s="149">
        <f t="shared" si="390"/>
        <v>0.37553418803418803</v>
      </c>
      <c r="Q250" s="149">
        <f t="shared" si="391"/>
        <v>0.42169341449916986</v>
      </c>
      <c r="R250" s="149">
        <f t="shared" si="392"/>
        <v>0.3329334133173365</v>
      </c>
      <c r="S250" s="149">
        <f t="shared" si="393"/>
        <v>0.23884514435695536</v>
      </c>
      <c r="T250" s="149">
        <f t="shared" si="394"/>
        <v>0.1494661921708185</v>
      </c>
      <c r="U250" s="51">
        <f t="shared" si="395"/>
        <v>0.93252108716026261</v>
      </c>
      <c r="V250" s="51">
        <f t="shared" si="396"/>
        <v>0.93588297369091367</v>
      </c>
      <c r="W250" s="51">
        <f t="shared" si="397"/>
        <v>0.93939954760435951</v>
      </c>
      <c r="X250" s="51">
        <f t="shared" si="398"/>
        <v>0.93864362646467037</v>
      </c>
      <c r="Y250" s="51">
        <f t="shared" si="399"/>
        <v>0.94233590922429822</v>
      </c>
      <c r="Z250" s="51">
        <f t="shared" si="400"/>
        <v>3.0779854979529429E-2</v>
      </c>
      <c r="AA250" s="51">
        <f t="shared" si="401"/>
        <v>3.2877260652814676E-2</v>
      </c>
      <c r="AB250" s="51">
        <f t="shared" si="402"/>
        <v>3.4279251490849268E-2</v>
      </c>
      <c r="AC250" s="51">
        <f t="shared" si="403"/>
        <v>3.6075275180494734E-2</v>
      </c>
      <c r="AD250" s="62">
        <f t="shared" si="404"/>
        <v>3.4358798787048811E-2</v>
      </c>
      <c r="AE250" s="699"/>
      <c r="AF250" s="701">
        <f t="shared" si="384"/>
        <v>6.2772293825483199E-3</v>
      </c>
      <c r="AG250" s="698"/>
      <c r="AH250" s="700"/>
      <c r="AI250" s="701">
        <f t="shared" si="385"/>
        <v>9.9155137795318135E-2</v>
      </c>
      <c r="AJ250" s="699"/>
      <c r="AK250" s="678">
        <f t="shared" si="405"/>
        <v>0.26754886827744773</v>
      </c>
      <c r="AL250" s="51">
        <f t="shared" si="406"/>
        <v>-2.9363616199387099E-3</v>
      </c>
      <c r="AM250" s="827">
        <f t="shared" ref="AM250:AV250" si="452">AM67</f>
        <v>702243.64799999993</v>
      </c>
      <c r="AN250" s="827">
        <f t="shared" si="452"/>
        <v>550124.59199999995</v>
      </c>
      <c r="AO250" s="827">
        <f t="shared" si="452"/>
        <v>458226.08299999998</v>
      </c>
      <c r="AP250" s="827">
        <f t="shared" si="452"/>
        <v>384588.59399999998</v>
      </c>
      <c r="AQ250" s="827">
        <f t="shared" si="452"/>
        <v>332471.83500000002</v>
      </c>
      <c r="AR250" s="827">
        <f t="shared" si="452"/>
        <v>235963.44799999997</v>
      </c>
      <c r="AS250" s="827">
        <f t="shared" si="452"/>
        <v>240406.32</v>
      </c>
      <c r="AT250" s="827">
        <f t="shared" si="452"/>
        <v>232145.07699999999</v>
      </c>
      <c r="AU250" s="827">
        <f t="shared" si="452"/>
        <v>178691.72399999999</v>
      </c>
      <c r="AV250" s="827">
        <f t="shared" si="452"/>
        <v>212894.916</v>
      </c>
      <c r="AW250" s="829">
        <f t="shared" ref="AW250:BB250" si="453">AW67</f>
        <v>0.13925729442970822</v>
      </c>
      <c r="AX250" s="829">
        <f t="shared" si="453"/>
        <v>0.30282861896838603</v>
      </c>
      <c r="AY250" s="829">
        <f t="shared" si="453"/>
        <v>0.3717347622237106</v>
      </c>
      <c r="AZ250" s="829">
        <f t="shared" si="453"/>
        <v>0.13637263282433851</v>
      </c>
      <c r="BA250" s="829">
        <f t="shared" si="453"/>
        <v>0.29289922414662434</v>
      </c>
      <c r="BB250" s="829">
        <f t="shared" si="453"/>
        <v>0.36062017566657972</v>
      </c>
    </row>
    <row r="251" spans="1:54" ht="15" customHeight="1">
      <c r="A251" s="449">
        <v>2008</v>
      </c>
      <c r="B251" s="449"/>
      <c r="C251" s="50"/>
      <c r="D251" s="51"/>
      <c r="E251" s="51"/>
      <c r="F251" s="51"/>
      <c r="G251" s="51"/>
      <c r="H251" s="51"/>
      <c r="I251" s="411" t="s">
        <v>245</v>
      </c>
      <c r="J251" s="524" t="s">
        <v>530</v>
      </c>
      <c r="K251" s="543">
        <f t="shared" ref="K251:O251" si="454">LN(K68)</f>
        <v>13.318863935371553</v>
      </c>
      <c r="L251" s="543">
        <f t="shared" si="454"/>
        <v>13.250339618707839</v>
      </c>
      <c r="M251" s="543">
        <f t="shared" si="454"/>
        <v>13.076727732503096</v>
      </c>
      <c r="N251" s="543">
        <f t="shared" si="454"/>
        <v>13.27496600247003</v>
      </c>
      <c r="O251" s="543">
        <f t="shared" si="454"/>
        <v>13.02310421060448</v>
      </c>
      <c r="P251" s="149">
        <f t="shared" si="390"/>
        <v>0.28047481957644832</v>
      </c>
      <c r="Q251" s="149">
        <f t="shared" si="391"/>
        <v>0.27413891103239169</v>
      </c>
      <c r="R251" s="149">
        <f t="shared" si="392"/>
        <v>0.34011241482535925</v>
      </c>
      <c r="S251" s="149">
        <f t="shared" si="393"/>
        <v>0.19537249905997447</v>
      </c>
      <c r="T251" s="149">
        <f t="shared" si="394"/>
        <v>0.29820608984128244</v>
      </c>
      <c r="U251" s="51">
        <f t="shared" si="395"/>
        <v>0.27015120954887661</v>
      </c>
      <c r="V251" s="51">
        <f t="shared" si="396"/>
        <v>0.25321776259186124</v>
      </c>
      <c r="W251" s="51">
        <f t="shared" si="397"/>
        <v>0.26603937155131885</v>
      </c>
      <c r="X251" s="51">
        <f t="shared" si="398"/>
        <v>0.30729202141426798</v>
      </c>
      <c r="Y251" s="51">
        <f t="shared" si="399"/>
        <v>0.3340307750046913</v>
      </c>
      <c r="Z251" s="51">
        <f t="shared" si="400"/>
        <v>0.45647746783449833</v>
      </c>
      <c r="AA251" s="51">
        <f t="shared" si="401"/>
        <v>0.46696939889902106</v>
      </c>
      <c r="AB251" s="51">
        <f t="shared" si="402"/>
        <v>0.4174641127418337</v>
      </c>
      <c r="AC251" s="51">
        <f t="shared" si="403"/>
        <v>0.61031187749982452</v>
      </c>
      <c r="AD251" s="62">
        <f t="shared" si="404"/>
        <v>0.53100253330831304</v>
      </c>
      <c r="AE251" s="699"/>
      <c r="AF251" s="701">
        <f t="shared" si="384"/>
        <v>-1.6363461666136253E-2</v>
      </c>
      <c r="AG251" s="698"/>
      <c r="AH251" s="700"/>
      <c r="AI251" s="701">
        <f t="shared" si="385"/>
        <v>-4.4320363907012689E-2</v>
      </c>
      <c r="AJ251" s="699"/>
      <c r="AK251" s="678">
        <f t="shared" si="405"/>
        <v>5.3623521898616779E-2</v>
      </c>
      <c r="AL251" s="51">
        <f t="shared" si="406"/>
        <v>-6.7991403453372457E-2</v>
      </c>
      <c r="AM251" s="827">
        <f t="shared" ref="AM251:AV251" si="455">AM68</f>
        <v>973021</v>
      </c>
      <c r="AN251" s="827">
        <f t="shared" si="455"/>
        <v>908771</v>
      </c>
      <c r="AO251" s="827">
        <f t="shared" si="455"/>
        <v>839856</v>
      </c>
      <c r="AP251" s="827">
        <f t="shared" si="455"/>
        <v>661063</v>
      </c>
      <c r="AQ251" s="827">
        <f t="shared" si="455"/>
        <v>567834</v>
      </c>
      <c r="AR251" s="827">
        <f t="shared" si="455"/>
        <v>142300</v>
      </c>
      <c r="AS251" s="827">
        <f t="shared" si="455"/>
        <v>100402</v>
      </c>
      <c r="AT251" s="827">
        <f t="shared" si="455"/>
        <v>72790</v>
      </c>
      <c r="AU251" s="827">
        <f t="shared" si="455"/>
        <v>55735</v>
      </c>
      <c r="AV251" s="827">
        <f t="shared" si="455"/>
        <v>93672</v>
      </c>
      <c r="AW251" s="829">
        <f t="shared" ref="AW251:BB251" si="456">AW68</f>
        <v>1.4413485353147151</v>
      </c>
      <c r="AX251" s="829">
        <f t="shared" si="456"/>
        <v>2.0416434915223829</v>
      </c>
      <c r="AY251" s="829">
        <f t="shared" si="456"/>
        <v>2.2320373677702983</v>
      </c>
      <c r="AZ251" s="829">
        <f t="shared" si="456"/>
        <v>0.6398014567027116</v>
      </c>
      <c r="BA251" s="829">
        <f t="shared" si="456"/>
        <v>0.74661891223032262</v>
      </c>
      <c r="BB251" s="829">
        <f t="shared" si="456"/>
        <v>0.73579390306799086</v>
      </c>
    </row>
    <row r="252" spans="1:54" ht="15" customHeight="1">
      <c r="A252" s="449">
        <v>2008</v>
      </c>
      <c r="B252" s="449"/>
      <c r="C252" s="50"/>
      <c r="D252" s="51"/>
      <c r="E252" s="51"/>
      <c r="F252" s="51"/>
      <c r="G252" s="51"/>
      <c r="H252" s="51"/>
      <c r="I252" s="411" t="s">
        <v>245</v>
      </c>
      <c r="J252" s="524" t="s">
        <v>356</v>
      </c>
      <c r="K252" s="543">
        <f t="shared" ref="K252:O252" si="457">LN(K69)</f>
        <v>14.041290630599613</v>
      </c>
      <c r="L252" s="543">
        <f t="shared" si="457"/>
        <v>13.942231310743431</v>
      </c>
      <c r="M252" s="543">
        <f t="shared" si="457"/>
        <v>14.115764768850845</v>
      </c>
      <c r="N252" s="543">
        <f t="shared" si="457"/>
        <v>14.466533855247777</v>
      </c>
      <c r="O252" s="543">
        <f t="shared" si="457"/>
        <v>14.234133388994112</v>
      </c>
      <c r="P252" s="149">
        <f t="shared" si="390"/>
        <v>2.6889013005665045E-2</v>
      </c>
      <c r="Q252" s="149">
        <f t="shared" si="391"/>
        <v>-6.6954453352127564E-3</v>
      </c>
      <c r="R252" s="149">
        <f t="shared" si="392"/>
        <v>0.12281495657686775</v>
      </c>
      <c r="S252" s="149">
        <f t="shared" si="393"/>
        <v>0.21767069864855421</v>
      </c>
      <c r="T252" s="149">
        <f t="shared" si="394"/>
        <v>0.3092435061752114</v>
      </c>
      <c r="U252" s="51">
        <f t="shared" si="395"/>
        <v>0.43526014932523771</v>
      </c>
      <c r="V252" s="51">
        <f t="shared" si="396"/>
        <v>0.4263521624304058</v>
      </c>
      <c r="W252" s="51">
        <f t="shared" si="397"/>
        <v>0.50534817956392553</v>
      </c>
      <c r="X252" s="51">
        <f t="shared" si="398"/>
        <v>0.62813947380012758</v>
      </c>
      <c r="Y252" s="51">
        <f t="shared" si="399"/>
        <v>0.7423505235536535</v>
      </c>
      <c r="Z252" s="51">
        <f t="shared" si="400"/>
        <v>0.39949904037990819</v>
      </c>
      <c r="AA252" s="51">
        <f t="shared" si="401"/>
        <v>0.378176695906423</v>
      </c>
      <c r="AB252" s="51">
        <f t="shared" si="402"/>
        <v>0.46091292165516035</v>
      </c>
      <c r="AC252" s="51">
        <f t="shared" si="403"/>
        <v>0.62565220299497026</v>
      </c>
      <c r="AD252" s="62">
        <f t="shared" si="404"/>
        <v>0.52865527546741387</v>
      </c>
      <c r="AE252" s="699"/>
      <c r="AF252" s="701">
        <f t="shared" si="384"/>
        <v>-0.1068762104847695</v>
      </c>
      <c r="AG252" s="698"/>
      <c r="AH252" s="700"/>
      <c r="AI252" s="701">
        <f t="shared" si="385"/>
        <v>-0.52007985248346855</v>
      </c>
      <c r="AJ252" s="699"/>
      <c r="AK252" s="678">
        <f t="shared" si="405"/>
        <v>-0.11836862014326544</v>
      </c>
      <c r="AL252" s="51">
        <f t="shared" si="406"/>
        <v>-0.23700234398972797</v>
      </c>
      <c r="AM252" s="827">
        <f t="shared" ref="AM252:AV252" si="458">AM69</f>
        <v>1771690</v>
      </c>
      <c r="AN252" s="827">
        <f t="shared" si="458"/>
        <v>1721800</v>
      </c>
      <c r="AO252" s="827">
        <f t="shared" si="458"/>
        <v>1449037</v>
      </c>
      <c r="AP252" s="827">
        <f t="shared" si="458"/>
        <v>1139680</v>
      </c>
      <c r="AQ252" s="827">
        <f t="shared" si="458"/>
        <v>740734</v>
      </c>
      <c r="AR252" s="827">
        <f t="shared" si="458"/>
        <v>833348</v>
      </c>
      <c r="AS252" s="827">
        <f t="shared" si="458"/>
        <v>895281</v>
      </c>
      <c r="AT252" s="827">
        <f t="shared" si="458"/>
        <v>999760</v>
      </c>
      <c r="AU252" s="827">
        <f t="shared" si="458"/>
        <v>1389459</v>
      </c>
      <c r="AV252" s="827">
        <f t="shared" si="458"/>
        <v>1268593</v>
      </c>
      <c r="AW252" s="829">
        <f t="shared" ref="AW252:BB252" si="459">AW69</f>
        <v>0.37049628998425815</v>
      </c>
      <c r="AX252" s="829">
        <f t="shared" si="459"/>
        <v>0.30039317460968623</v>
      </c>
      <c r="AY252" s="829">
        <f t="shared" si="459"/>
        <v>0.16586480755381292</v>
      </c>
      <c r="AZ252" s="829">
        <f t="shared" si="459"/>
        <v>0.43852132578806557</v>
      </c>
      <c r="BA252" s="829">
        <f t="shared" si="459"/>
        <v>0.32487496276940042</v>
      </c>
      <c r="BB252" s="829">
        <f t="shared" si="459"/>
        <v>0.14042647900983596</v>
      </c>
    </row>
    <row r="253" spans="1:54" ht="15" customHeight="1">
      <c r="A253" s="449">
        <v>2008</v>
      </c>
      <c r="B253" s="449"/>
      <c r="C253" s="50"/>
      <c r="D253" s="51"/>
      <c r="E253" s="51"/>
      <c r="F253" s="51"/>
      <c r="G253" s="51"/>
      <c r="H253" s="51"/>
      <c r="I253" s="50" t="s">
        <v>245</v>
      </c>
      <c r="J253" s="524" t="s">
        <v>535</v>
      </c>
      <c r="K253" s="543">
        <f t="shared" ref="K253:O253" si="460">LN(K70)</f>
        <v>11.821924171002639</v>
      </c>
      <c r="L253" s="543">
        <f t="shared" si="460"/>
        <v>11.156383834516287</v>
      </c>
      <c r="M253" s="543">
        <f t="shared" si="460"/>
        <v>10.97827935611676</v>
      </c>
      <c r="N253" s="543">
        <f t="shared" si="460"/>
        <v>11.648428584166203</v>
      </c>
      <c r="O253" s="543">
        <f t="shared" si="460"/>
        <v>11.77171591181383</v>
      </c>
      <c r="P253" s="149">
        <f t="shared" si="390"/>
        <v>-4.5024644364576628E-2</v>
      </c>
      <c r="Q253" s="149">
        <f t="shared" si="391"/>
        <v>-0.4825818847815696</v>
      </c>
      <c r="R253" s="149">
        <f t="shared" si="392"/>
        <v>-1.2885410417234797</v>
      </c>
      <c r="S253" s="149">
        <f t="shared" si="393"/>
        <v>-0.59152090257814427</v>
      </c>
      <c r="T253" s="149">
        <f t="shared" si="394"/>
        <v>-0.35667995551011461</v>
      </c>
      <c r="U253" s="51">
        <f t="shared" si="395"/>
        <v>0.51063243054671104</v>
      </c>
      <c r="V253" s="51">
        <f t="shared" si="396"/>
        <v>0.70695216454862375</v>
      </c>
      <c r="W253" s="51">
        <f t="shared" si="397"/>
        <v>0.68431266669939284</v>
      </c>
      <c r="X253" s="51">
        <f t="shared" si="398"/>
        <v>0.3891253929018279</v>
      </c>
      <c r="Y253" s="51">
        <f t="shared" si="399"/>
        <v>0.36419179045348066</v>
      </c>
      <c r="Z253" s="51">
        <f t="shared" si="400"/>
        <v>0.84462398041962694</v>
      </c>
      <c r="AA253" s="51">
        <f t="shared" si="401"/>
        <v>0.62557786675943128</v>
      </c>
      <c r="AB253" s="51">
        <f t="shared" si="402"/>
        <v>0.60003599888730719</v>
      </c>
      <c r="AC253" s="51">
        <f t="shared" si="403"/>
        <v>0.80987493260907151</v>
      </c>
      <c r="AD253" s="62">
        <f t="shared" si="404"/>
        <v>0.81386555660794213</v>
      </c>
      <c r="AE253" s="699"/>
      <c r="AF253" s="701">
        <f t="shared" si="384"/>
        <v>-0.48288148055570407</v>
      </c>
      <c r="AG253" s="698"/>
      <c r="AH253" s="700"/>
      <c r="AI253" s="701">
        <f t="shared" si="385"/>
        <v>-1.9925992773527788</v>
      </c>
      <c r="AJ253" s="699"/>
      <c r="AK253" s="678">
        <f t="shared" si="405"/>
        <v>-0.79343655569706983</v>
      </c>
      <c r="AL253" s="51">
        <f t="shared" si="406"/>
        <v>0.32012087624591218</v>
      </c>
      <c r="AM253" s="827">
        <f t="shared" ref="AM253:AV253" si="461">AM70</f>
        <v>78916.571712000004</v>
      </c>
      <c r="AN253" s="827">
        <f t="shared" si="461"/>
        <v>32795.411186999998</v>
      </c>
      <c r="AO253" s="827">
        <f t="shared" si="461"/>
        <v>30823.78702</v>
      </c>
      <c r="AP253" s="827">
        <f t="shared" si="461"/>
        <v>86373.868835999994</v>
      </c>
      <c r="AQ253" s="827">
        <f t="shared" si="461"/>
        <v>101196.32124799999</v>
      </c>
      <c r="AR253" s="827">
        <f t="shared" si="461"/>
        <v>51449.042699999998</v>
      </c>
      <c r="AS253" s="827">
        <f t="shared" si="461"/>
        <v>27236.821993000001</v>
      </c>
      <c r="AT253" s="827">
        <f t="shared" si="461"/>
        <v>8975.7188299999998</v>
      </c>
      <c r="AU253" s="827">
        <f t="shared" si="461"/>
        <v>9024.5380559999994</v>
      </c>
      <c r="AV253" s="827">
        <f t="shared" si="461"/>
        <v>3308.4505199999999</v>
      </c>
      <c r="AW253" s="829">
        <f t="shared" ref="AW253:BB253" si="462">AW70</f>
        <v>-13.965140936126195</v>
      </c>
      <c r="AX253" s="829">
        <f t="shared" si="462"/>
        <v>-7.5057375089648586</v>
      </c>
      <c r="AY253" s="829">
        <f t="shared" si="462"/>
        <v>-8.4107584684668648</v>
      </c>
      <c r="AZ253" s="829">
        <f t="shared" si="462"/>
        <v>-5.376279211985131</v>
      </c>
      <c r="BA253" s="829">
        <f t="shared" si="462"/>
        <v>-3.3997310083062695</v>
      </c>
      <c r="BB253" s="829">
        <f t="shared" si="462"/>
        <v>-6.5287595675989012</v>
      </c>
    </row>
    <row r="254" spans="1:54" ht="15" customHeight="1">
      <c r="A254" s="449">
        <v>2008</v>
      </c>
      <c r="B254" s="449"/>
      <c r="C254" s="50"/>
      <c r="D254" s="51"/>
      <c r="E254" s="51"/>
      <c r="F254" s="51"/>
      <c r="G254" s="51"/>
      <c r="H254" s="51"/>
      <c r="I254" s="411" t="s">
        <v>256</v>
      </c>
      <c r="J254" s="524" t="s">
        <v>356</v>
      </c>
      <c r="K254" s="543">
        <f t="shared" ref="K254:O254" si="463">LN(K71)</f>
        <v>14.041290630599613</v>
      </c>
      <c r="L254" s="543">
        <f t="shared" si="463"/>
        <v>13.942231310743431</v>
      </c>
      <c r="M254" s="543">
        <f t="shared" si="463"/>
        <v>14.115764768850845</v>
      </c>
      <c r="N254" s="543">
        <f t="shared" si="463"/>
        <v>14.466533855247777</v>
      </c>
      <c r="O254" s="543">
        <f t="shared" si="463"/>
        <v>14.234133388994112</v>
      </c>
      <c r="P254" s="149">
        <f t="shared" si="390"/>
        <v>2.6889013005665045E-2</v>
      </c>
      <c r="Q254" s="149">
        <f t="shared" si="391"/>
        <v>-6.6954453352127564E-3</v>
      </c>
      <c r="R254" s="149">
        <f t="shared" si="392"/>
        <v>0.12281495657686775</v>
      </c>
      <c r="S254" s="149">
        <f t="shared" si="393"/>
        <v>0.21767069864855421</v>
      </c>
      <c r="T254" s="149">
        <f t="shared" si="394"/>
        <v>0.3092435061752114</v>
      </c>
      <c r="U254" s="51">
        <f t="shared" si="395"/>
        <v>0.43526014932523771</v>
      </c>
      <c r="V254" s="51">
        <f t="shared" si="396"/>
        <v>0.4263521624304058</v>
      </c>
      <c r="W254" s="51">
        <f t="shared" si="397"/>
        <v>0.50534817956392553</v>
      </c>
      <c r="X254" s="51">
        <f t="shared" si="398"/>
        <v>0.62813947380012758</v>
      </c>
      <c r="Y254" s="51">
        <f t="shared" si="399"/>
        <v>0.7423505235536535</v>
      </c>
      <c r="Z254" s="51">
        <f t="shared" si="400"/>
        <v>0.39949904037990819</v>
      </c>
      <c r="AA254" s="51">
        <f t="shared" si="401"/>
        <v>0.378176695906423</v>
      </c>
      <c r="AB254" s="51">
        <f t="shared" si="402"/>
        <v>0.46091292165516035</v>
      </c>
      <c r="AC254" s="51">
        <f t="shared" si="403"/>
        <v>0.62565220299497026</v>
      </c>
      <c r="AD254" s="62">
        <f t="shared" si="404"/>
        <v>0.52865527546741387</v>
      </c>
      <c r="AE254" s="699"/>
      <c r="AF254" s="701">
        <f t="shared" si="384"/>
        <v>-0.1068762104847695</v>
      </c>
      <c r="AG254" s="698"/>
      <c r="AH254" s="700"/>
      <c r="AI254" s="701">
        <f t="shared" si="385"/>
        <v>-0.52007985248346855</v>
      </c>
      <c r="AJ254" s="699"/>
      <c r="AK254" s="678">
        <f t="shared" si="405"/>
        <v>-0.11836862014326544</v>
      </c>
      <c r="AL254" s="51">
        <f t="shared" si="406"/>
        <v>-0.23700234398972797</v>
      </c>
      <c r="AM254" s="827">
        <f t="shared" ref="AM254:AV254" si="464">AM71</f>
        <v>1771690</v>
      </c>
      <c r="AN254" s="827">
        <f t="shared" si="464"/>
        <v>1721800</v>
      </c>
      <c r="AO254" s="827">
        <f t="shared" si="464"/>
        <v>1449037</v>
      </c>
      <c r="AP254" s="827">
        <f t="shared" si="464"/>
        <v>1139680</v>
      </c>
      <c r="AQ254" s="827">
        <f t="shared" si="464"/>
        <v>740734</v>
      </c>
      <c r="AR254" s="827">
        <f t="shared" si="464"/>
        <v>833348</v>
      </c>
      <c r="AS254" s="827">
        <f t="shared" si="464"/>
        <v>895281</v>
      </c>
      <c r="AT254" s="827">
        <f t="shared" si="464"/>
        <v>999760</v>
      </c>
      <c r="AU254" s="827">
        <f t="shared" si="464"/>
        <v>1389459</v>
      </c>
      <c r="AV254" s="827">
        <f t="shared" si="464"/>
        <v>1268593</v>
      </c>
      <c r="AW254" s="829">
        <f t="shared" ref="AW254:BB254" si="465">AW71</f>
        <v>0.37049628998425815</v>
      </c>
      <c r="AX254" s="829">
        <f t="shared" si="465"/>
        <v>0.30039317460968623</v>
      </c>
      <c r="AY254" s="829">
        <f t="shared" si="465"/>
        <v>0.16586480755381292</v>
      </c>
      <c r="AZ254" s="829">
        <f t="shared" si="465"/>
        <v>0.43852132578806557</v>
      </c>
      <c r="BA254" s="829">
        <f t="shared" si="465"/>
        <v>0.32487496276940042</v>
      </c>
      <c r="BB254" s="829">
        <f t="shared" si="465"/>
        <v>0.14042647900983596</v>
      </c>
    </row>
    <row r="255" spans="1:54" ht="15" customHeight="1">
      <c r="A255" s="449">
        <v>2008</v>
      </c>
      <c r="B255" s="449"/>
      <c r="C255" s="50"/>
      <c r="D255" s="51"/>
      <c r="E255" s="51"/>
      <c r="F255" s="51"/>
      <c r="G255" s="51"/>
      <c r="H255" s="51"/>
      <c r="I255" s="411" t="s">
        <v>256</v>
      </c>
      <c r="J255" s="437" t="s">
        <v>530</v>
      </c>
      <c r="K255" s="543">
        <f t="shared" ref="K255:O255" si="466">LN(K72)</f>
        <v>13.318863935371553</v>
      </c>
      <c r="L255" s="543">
        <f t="shared" si="466"/>
        <v>13.250339618707839</v>
      </c>
      <c r="M255" s="543">
        <f t="shared" si="466"/>
        <v>13.076727732503096</v>
      </c>
      <c r="N255" s="543">
        <f t="shared" si="466"/>
        <v>13.27496600247003</v>
      </c>
      <c r="O255" s="543">
        <f t="shared" si="466"/>
        <v>13.02310421060448</v>
      </c>
      <c r="P255" s="149">
        <f t="shared" si="390"/>
        <v>0.28047481957644832</v>
      </c>
      <c r="Q255" s="149">
        <f t="shared" si="391"/>
        <v>0.27413891103239169</v>
      </c>
      <c r="R255" s="149">
        <f t="shared" si="392"/>
        <v>0.34011241482535925</v>
      </c>
      <c r="S255" s="149">
        <f t="shared" si="393"/>
        <v>0.19537249905997447</v>
      </c>
      <c r="T255" s="149">
        <f t="shared" si="394"/>
        <v>0.29820608984128244</v>
      </c>
      <c r="U255" s="51">
        <f t="shared" si="395"/>
        <v>0.27015120954887661</v>
      </c>
      <c r="V255" s="51">
        <f t="shared" si="396"/>
        <v>0.25321776259186124</v>
      </c>
      <c r="W255" s="51">
        <f t="shared" si="397"/>
        <v>0.26603937155131885</v>
      </c>
      <c r="X255" s="51">
        <f t="shared" si="398"/>
        <v>0.30729202141426798</v>
      </c>
      <c r="Y255" s="51">
        <f t="shared" si="399"/>
        <v>0.3340307750046913</v>
      </c>
      <c r="Z255" s="51">
        <f t="shared" si="400"/>
        <v>0.45647746783449833</v>
      </c>
      <c r="AA255" s="51">
        <f t="shared" si="401"/>
        <v>0.46696939889902106</v>
      </c>
      <c r="AB255" s="51">
        <f t="shared" si="402"/>
        <v>0.4174641127418337</v>
      </c>
      <c r="AC255" s="51">
        <f t="shared" si="403"/>
        <v>0.61031187749982452</v>
      </c>
      <c r="AD255" s="62">
        <f t="shared" si="404"/>
        <v>0.53100253330831304</v>
      </c>
      <c r="AE255" s="699"/>
      <c r="AF255" s="701">
        <f t="shared" si="384"/>
        <v>-1.6363461666136253E-2</v>
      </c>
      <c r="AG255" s="698"/>
      <c r="AH255" s="700"/>
      <c r="AI255" s="701">
        <f t="shared" si="385"/>
        <v>-4.4320363907012689E-2</v>
      </c>
      <c r="AJ255" s="699"/>
      <c r="AK255" s="678">
        <f t="shared" si="405"/>
        <v>5.3623521898616779E-2</v>
      </c>
      <c r="AL255" s="51">
        <f t="shared" si="406"/>
        <v>-6.7991403453372457E-2</v>
      </c>
      <c r="AM255" s="827">
        <f t="shared" ref="AM255:AV255" si="467">AM72</f>
        <v>973021</v>
      </c>
      <c r="AN255" s="827">
        <f t="shared" si="467"/>
        <v>908771</v>
      </c>
      <c r="AO255" s="827">
        <f t="shared" si="467"/>
        <v>839856</v>
      </c>
      <c r="AP255" s="827">
        <f t="shared" si="467"/>
        <v>661063</v>
      </c>
      <c r="AQ255" s="827">
        <f t="shared" si="467"/>
        <v>567834</v>
      </c>
      <c r="AR255" s="827">
        <f t="shared" si="467"/>
        <v>142300</v>
      </c>
      <c r="AS255" s="827">
        <f t="shared" si="467"/>
        <v>100402</v>
      </c>
      <c r="AT255" s="827">
        <f t="shared" si="467"/>
        <v>72790</v>
      </c>
      <c r="AU255" s="827">
        <f t="shared" si="467"/>
        <v>55735</v>
      </c>
      <c r="AV255" s="827">
        <f t="shared" si="467"/>
        <v>93672</v>
      </c>
      <c r="AW255" s="829">
        <f t="shared" ref="AW255:BB255" si="468">AW72</f>
        <v>1.4413485353147151</v>
      </c>
      <c r="AX255" s="829">
        <f t="shared" si="468"/>
        <v>2.0416434915223829</v>
      </c>
      <c r="AY255" s="829">
        <f t="shared" si="468"/>
        <v>2.2320373677702983</v>
      </c>
      <c r="AZ255" s="829">
        <f t="shared" si="468"/>
        <v>0.6398014567027116</v>
      </c>
      <c r="BA255" s="829">
        <f t="shared" si="468"/>
        <v>0.74661891223032262</v>
      </c>
      <c r="BB255" s="829">
        <f t="shared" si="468"/>
        <v>0.73579390306799086</v>
      </c>
    </row>
    <row r="256" spans="1:54" ht="15" customHeight="1">
      <c r="A256" s="449">
        <v>2008</v>
      </c>
      <c r="B256" s="449"/>
      <c r="C256" s="50"/>
      <c r="D256" s="51"/>
      <c r="E256" s="51"/>
      <c r="F256" s="51"/>
      <c r="G256" s="51"/>
      <c r="H256" s="51"/>
      <c r="I256" s="411" t="s">
        <v>256</v>
      </c>
      <c r="J256" s="524" t="s">
        <v>535</v>
      </c>
      <c r="K256" s="543">
        <f t="shared" ref="K256:O256" si="469">LN(K73)</f>
        <v>11.821924171002639</v>
      </c>
      <c r="L256" s="543">
        <f t="shared" si="469"/>
        <v>11.156383834516287</v>
      </c>
      <c r="M256" s="543">
        <f t="shared" si="469"/>
        <v>10.97827935611676</v>
      </c>
      <c r="N256" s="543">
        <f t="shared" si="469"/>
        <v>11.648428584166203</v>
      </c>
      <c r="O256" s="543">
        <f t="shared" si="469"/>
        <v>11.77171591181383</v>
      </c>
      <c r="P256" s="149">
        <f t="shared" si="390"/>
        <v>-4.5024644364576628E-2</v>
      </c>
      <c r="Q256" s="149">
        <f t="shared" si="391"/>
        <v>-0.4825818847815696</v>
      </c>
      <c r="R256" s="149">
        <f t="shared" si="392"/>
        <v>-1.2885410417234797</v>
      </c>
      <c r="S256" s="149">
        <f t="shared" si="393"/>
        <v>-0.59152090257814427</v>
      </c>
      <c r="T256" s="149">
        <f t="shared" si="394"/>
        <v>-0.35667995551011461</v>
      </c>
      <c r="U256" s="51">
        <f t="shared" si="395"/>
        <v>0.51063243054671104</v>
      </c>
      <c r="V256" s="51">
        <f t="shared" si="396"/>
        <v>0.70695216454862375</v>
      </c>
      <c r="W256" s="51">
        <f t="shared" si="397"/>
        <v>0.68431266669939284</v>
      </c>
      <c r="X256" s="51">
        <f t="shared" si="398"/>
        <v>0.3891253929018279</v>
      </c>
      <c r="Y256" s="51">
        <f t="shared" si="399"/>
        <v>0.36419179045348066</v>
      </c>
      <c r="Z256" s="51">
        <f t="shared" si="400"/>
        <v>0.84462398041962694</v>
      </c>
      <c r="AA256" s="51">
        <f t="shared" si="401"/>
        <v>0.62557786675943128</v>
      </c>
      <c r="AB256" s="51">
        <f t="shared" si="402"/>
        <v>0.60003599888730719</v>
      </c>
      <c r="AC256" s="51">
        <f t="shared" si="403"/>
        <v>0.80987493260907151</v>
      </c>
      <c r="AD256" s="62">
        <f t="shared" si="404"/>
        <v>0.81386555660794213</v>
      </c>
      <c r="AE256" s="699"/>
      <c r="AF256" s="701">
        <f t="shared" si="384"/>
        <v>-0.48288148055570407</v>
      </c>
      <c r="AG256" s="698"/>
      <c r="AH256" s="700"/>
      <c r="AI256" s="701">
        <f t="shared" si="385"/>
        <v>-1.9925992773527788</v>
      </c>
      <c r="AJ256" s="699"/>
      <c r="AK256" s="678">
        <f t="shared" si="405"/>
        <v>-0.79343655569706983</v>
      </c>
      <c r="AL256" s="51">
        <f t="shared" si="406"/>
        <v>0.32012087624591218</v>
      </c>
      <c r="AM256" s="827">
        <f t="shared" ref="AM256:AV256" si="470">AM73</f>
        <v>78916.571712000004</v>
      </c>
      <c r="AN256" s="827">
        <f t="shared" si="470"/>
        <v>32795.411186999998</v>
      </c>
      <c r="AO256" s="827">
        <f t="shared" si="470"/>
        <v>30823.78702</v>
      </c>
      <c r="AP256" s="827">
        <f t="shared" si="470"/>
        <v>86373.868835999994</v>
      </c>
      <c r="AQ256" s="827">
        <f t="shared" si="470"/>
        <v>101196.32124799999</v>
      </c>
      <c r="AR256" s="827">
        <f t="shared" si="470"/>
        <v>51449.042699999998</v>
      </c>
      <c r="AS256" s="827">
        <f t="shared" si="470"/>
        <v>27236.821993000001</v>
      </c>
      <c r="AT256" s="827">
        <f t="shared" si="470"/>
        <v>8975.7188299999998</v>
      </c>
      <c r="AU256" s="827">
        <f t="shared" si="470"/>
        <v>9024.5380559999994</v>
      </c>
      <c r="AV256" s="827">
        <f t="shared" si="470"/>
        <v>3308.4505199999999</v>
      </c>
      <c r="AW256" s="829">
        <f t="shared" ref="AW256:BB256" si="471">AW73</f>
        <v>-13.965140936126195</v>
      </c>
      <c r="AX256" s="829">
        <f t="shared" si="471"/>
        <v>-7.5057375089648586</v>
      </c>
      <c r="AY256" s="829">
        <f t="shared" si="471"/>
        <v>-8.4107584684668648</v>
      </c>
      <c r="AZ256" s="829">
        <f t="shared" si="471"/>
        <v>-5.376279211985131</v>
      </c>
      <c r="BA256" s="829">
        <f t="shared" si="471"/>
        <v>-3.3997310083062695</v>
      </c>
      <c r="BB256" s="829">
        <f t="shared" si="471"/>
        <v>-6.5287595675989012</v>
      </c>
    </row>
    <row r="257" spans="1:54" ht="15" customHeight="1">
      <c r="A257" s="449">
        <v>2008</v>
      </c>
      <c r="B257" s="449"/>
      <c r="C257" s="50"/>
      <c r="D257" s="51"/>
      <c r="E257" s="51"/>
      <c r="F257" s="51"/>
      <c r="G257" s="51"/>
      <c r="H257" s="51"/>
      <c r="I257" s="50" t="s">
        <v>256</v>
      </c>
      <c r="J257" s="524" t="s">
        <v>517</v>
      </c>
      <c r="K257" s="543">
        <f t="shared" ref="K257:O257" si="472">LN(K74)</f>
        <v>11.314440063652562</v>
      </c>
      <c r="L257" s="543">
        <f t="shared" si="472"/>
        <v>10.887475104510692</v>
      </c>
      <c r="M257" s="543">
        <f t="shared" si="472"/>
        <v>10.479659638030274</v>
      </c>
      <c r="N257" s="543">
        <f t="shared" si="472"/>
        <v>10.315945496873919</v>
      </c>
      <c r="O257" s="543">
        <f t="shared" si="472"/>
        <v>10.025105083819591</v>
      </c>
      <c r="P257" s="149">
        <f t="shared" si="390"/>
        <v>-4.0331415901254782E-2</v>
      </c>
      <c r="Q257" s="149">
        <f t="shared" si="391"/>
        <v>1.3151959524524632</v>
      </c>
      <c r="R257" s="149">
        <f t="shared" si="392"/>
        <v>0.34236851321378226</v>
      </c>
      <c r="S257" s="149">
        <f t="shared" si="393"/>
        <v>-6.2623485443595417E-2</v>
      </c>
      <c r="T257" s="149">
        <f t="shared" si="394"/>
        <v>0.96290095304474299</v>
      </c>
      <c r="U257" s="51">
        <f t="shared" si="395"/>
        <v>0.62649709506371054</v>
      </c>
      <c r="V257" s="51">
        <f t="shared" si="396"/>
        <v>0.65535857481480431</v>
      </c>
      <c r="W257" s="51">
        <f t="shared" si="397"/>
        <v>0.63327701152861637</v>
      </c>
      <c r="X257" s="51">
        <f t="shared" si="398"/>
        <v>0.68869899605690632</v>
      </c>
      <c r="Y257" s="51">
        <f t="shared" si="399"/>
        <v>0.77522535114539992</v>
      </c>
      <c r="Z257" s="51">
        <f t="shared" si="400"/>
        <v>0.16358607312330001</v>
      </c>
      <c r="AA257" s="51">
        <f t="shared" si="401"/>
        <v>0.14261080829026526</v>
      </c>
      <c r="AB257" s="51">
        <f t="shared" si="402"/>
        <v>0.22960533844112652</v>
      </c>
      <c r="AC257" s="51">
        <f t="shared" si="403"/>
        <v>0.22784789529920321</v>
      </c>
      <c r="AD257" s="62">
        <f t="shared" si="404"/>
        <v>0.12767850838289818</v>
      </c>
      <c r="AE257" s="699"/>
      <c r="AF257" s="701">
        <f t="shared" si="384"/>
        <v>-4.4332119057188091E-2</v>
      </c>
      <c r="AG257" s="698"/>
      <c r="AH257" s="700"/>
      <c r="AI257" s="701">
        <f t="shared" si="385"/>
        <v>-0.33260097716873077</v>
      </c>
      <c r="AJ257" s="699"/>
      <c r="AK257" s="678">
        <f t="shared" si="405"/>
        <v>0.45455455421068208</v>
      </c>
      <c r="AL257" s="51">
        <f t="shared" si="406"/>
        <v>-0.14194833961678355</v>
      </c>
      <c r="AM257" s="827">
        <f t="shared" ref="AM257:AV257" si="473">AM74</f>
        <v>187217.54330399999</v>
      </c>
      <c r="AN257" s="827">
        <f t="shared" si="473"/>
        <v>129296.091246</v>
      </c>
      <c r="AO257" s="827">
        <f t="shared" si="473"/>
        <v>56834.822329999995</v>
      </c>
      <c r="AP257" s="827">
        <f t="shared" si="473"/>
        <v>41275.449666</v>
      </c>
      <c r="AQ257" s="827">
        <f t="shared" si="473"/>
        <v>39762.664335999994</v>
      </c>
      <c r="AR257" s="827">
        <f t="shared" si="473"/>
        <v>984769.59279600007</v>
      </c>
      <c r="AS257" s="827">
        <f t="shared" si="473"/>
        <v>679496.19654699997</v>
      </c>
      <c r="AT257" s="827">
        <f t="shared" si="473"/>
        <v>532197.86424999998</v>
      </c>
      <c r="AU257" s="827">
        <f t="shared" si="473"/>
        <v>390226.23214400001</v>
      </c>
      <c r="AV257" s="827">
        <f t="shared" si="473"/>
        <v>387822.95243199996</v>
      </c>
      <c r="AW257" s="829">
        <f t="shared" ref="AW257:BB257" si="474">AW74</f>
        <v>5.6078440369805943E-2</v>
      </c>
      <c r="AX257" s="829">
        <f t="shared" si="474"/>
        <v>-4.8481827262239555E-3</v>
      </c>
      <c r="AY257" s="829">
        <f t="shared" si="474"/>
        <v>2.2891752538633004E-2</v>
      </c>
      <c r="AZ257" s="829">
        <f t="shared" si="474"/>
        <v>0.16641534700217805</v>
      </c>
      <c r="BA257" s="829">
        <f t="shared" si="474"/>
        <v>-1.760759180583412E-2</v>
      </c>
      <c r="BB257" s="829">
        <f t="shared" si="474"/>
        <v>9.3106458984353907E-2</v>
      </c>
    </row>
    <row r="258" spans="1:54" ht="15" customHeight="1">
      <c r="A258" s="449">
        <v>2006</v>
      </c>
      <c r="B258" s="449"/>
      <c r="C258" s="50"/>
      <c r="D258" s="51"/>
      <c r="E258" s="51"/>
      <c r="F258" s="51"/>
      <c r="G258" s="51"/>
      <c r="H258" s="51"/>
      <c r="I258" s="50" t="s">
        <v>257</v>
      </c>
      <c r="J258" s="524" t="s">
        <v>536</v>
      </c>
      <c r="K258" s="543">
        <f t="shared" ref="K258:O258" si="475">LN(K75)</f>
        <v>14.526629597849697</v>
      </c>
      <c r="L258" s="543">
        <f t="shared" si="475"/>
        <v>14.749166483908231</v>
      </c>
      <c r="M258" s="543">
        <f t="shared" si="475"/>
        <v>14.677347482920217</v>
      </c>
      <c r="N258" s="543">
        <f t="shared" si="475"/>
        <v>14.547494941608452</v>
      </c>
      <c r="O258" s="543">
        <f t="shared" si="475"/>
        <v>14.278089596774878</v>
      </c>
      <c r="P258" s="149">
        <f t="shared" si="390"/>
        <v>3.0992546096508436E-2</v>
      </c>
      <c r="Q258" s="149">
        <f t="shared" si="391"/>
        <v>-6.4032793837020291E-2</v>
      </c>
      <c r="R258" s="149">
        <f t="shared" si="392"/>
        <v>4.5894767273778551E-2</v>
      </c>
      <c r="S258" s="149">
        <f t="shared" si="393"/>
        <v>0.16089796531271117</v>
      </c>
      <c r="T258" s="149">
        <f t="shared" si="394"/>
        <v>8.5568827100058739E-2</v>
      </c>
      <c r="U258" s="51">
        <f t="shared" si="395"/>
        <v>0.65348226018396849</v>
      </c>
      <c r="V258" s="51">
        <f t="shared" si="396"/>
        <v>0.68584257355437261</v>
      </c>
      <c r="W258" s="51">
        <f t="shared" si="397"/>
        <v>0.72459700853458531</v>
      </c>
      <c r="X258" s="51">
        <f t="shared" si="398"/>
        <v>0.75374737699817251</v>
      </c>
      <c r="Y258" s="51">
        <f t="shared" si="399"/>
        <v>0.59644188811440557</v>
      </c>
      <c r="Z258" s="51">
        <f t="shared" si="400"/>
        <v>0.83738501971090673</v>
      </c>
      <c r="AA258" s="51">
        <f t="shared" si="401"/>
        <v>0.8632176194252944</v>
      </c>
      <c r="AB258" s="51">
        <f t="shared" si="402"/>
        <v>0.86523669564129824</v>
      </c>
      <c r="AC258" s="51">
        <f t="shared" si="403"/>
        <v>0.80482204362801379</v>
      </c>
      <c r="AD258" s="62">
        <f t="shared" si="404"/>
        <v>1.2872085696282294</v>
      </c>
      <c r="AE258" s="699"/>
      <c r="AF258" s="701">
        <f t="shared" si="384"/>
        <v>-7.0435090753041357E-2</v>
      </c>
      <c r="AG258" s="698"/>
      <c r="AH258" s="700"/>
      <c r="AI258" s="701">
        <f t="shared" si="385"/>
        <v>-0.14339749664437049</v>
      </c>
      <c r="AJ258" s="699"/>
      <c r="AK258" s="678">
        <f t="shared" si="405"/>
        <v>0.39925788614533775</v>
      </c>
      <c r="AL258" s="51">
        <f t="shared" si="406"/>
        <v>0.12815512042017974</v>
      </c>
      <c r="AM258" s="827">
        <f t="shared" ref="AM258:AV258" si="476">AM75</f>
        <v>842626.98</v>
      </c>
      <c r="AN258" s="827">
        <f t="shared" si="476"/>
        <v>672579.42599999998</v>
      </c>
      <c r="AO258" s="827">
        <f t="shared" si="476"/>
        <v>849228.85599999991</v>
      </c>
      <c r="AP258" s="827">
        <f t="shared" si="476"/>
        <v>806922.25199999998</v>
      </c>
      <c r="AQ258" s="827">
        <f t="shared" si="476"/>
        <v>500830.06899999996</v>
      </c>
      <c r="AR258" s="827">
        <f t="shared" si="476"/>
        <v>900303.95</v>
      </c>
      <c r="AS258" s="827">
        <f t="shared" si="476"/>
        <v>1274682.74</v>
      </c>
      <c r="AT258" s="827">
        <f t="shared" si="476"/>
        <v>610185.39199999999</v>
      </c>
      <c r="AU258" s="827">
        <f t="shared" si="476"/>
        <v>476441.61599999998</v>
      </c>
      <c r="AV258" s="827">
        <f t="shared" si="476"/>
        <v>303203.55</v>
      </c>
      <c r="AW258" s="829">
        <f t="shared" ref="AW258:BB258" si="477">AW75</f>
        <v>0.4482051282051282</v>
      </c>
      <c r="AX258" s="829">
        <f t="shared" si="477"/>
        <v>0.70216251638269989</v>
      </c>
      <c r="AY258" s="829">
        <f t="shared" si="477"/>
        <v>0.17807066741447</v>
      </c>
      <c r="AZ258" s="829">
        <f t="shared" si="477"/>
        <v>0.3765826174881336</v>
      </c>
      <c r="BA258" s="829">
        <f t="shared" si="477"/>
        <v>0.61790826154384415</v>
      </c>
      <c r="BB258" s="829">
        <f t="shared" si="477"/>
        <v>0.16303959430450327</v>
      </c>
    </row>
    <row r="259" spans="1:54" ht="15" customHeight="1">
      <c r="A259" s="535">
        <v>2006</v>
      </c>
      <c r="B259" s="535"/>
      <c r="C259" s="411"/>
      <c r="D259" s="536"/>
      <c r="E259" s="536"/>
      <c r="F259" s="536"/>
      <c r="G259" s="536"/>
      <c r="H259" s="536"/>
      <c r="I259" s="411" t="s">
        <v>257</v>
      </c>
      <c r="J259" s="524" t="s">
        <v>537</v>
      </c>
      <c r="K259" s="543">
        <f t="shared" ref="K259:O259" si="478">LN(K76)</f>
        <v>12.536004785660165</v>
      </c>
      <c r="L259" s="543">
        <f t="shared" si="478"/>
        <v>12.675074660928193</v>
      </c>
      <c r="M259" s="543">
        <f t="shared" si="478"/>
        <v>12.668406166028968</v>
      </c>
      <c r="N259" s="543">
        <f t="shared" si="478"/>
        <v>12.458906506275371</v>
      </c>
      <c r="O259" s="543">
        <f t="shared" si="478"/>
        <v>12.369566813622413</v>
      </c>
      <c r="P259" s="149">
        <f t="shared" si="390"/>
        <v>2.1664527208452154E-2</v>
      </c>
      <c r="Q259" s="149">
        <f t="shared" si="391"/>
        <v>5.2887557139257822E-3</v>
      </c>
      <c r="R259" s="149">
        <f t="shared" si="392"/>
        <v>4.8695166747403183E-3</v>
      </c>
      <c r="S259" s="149">
        <f t="shared" si="393"/>
        <v>1.2477905287940469E-2</v>
      </c>
      <c r="T259" s="149">
        <f t="shared" si="394"/>
        <v>2.9458734862803843E-2</v>
      </c>
      <c r="U259" s="51">
        <f t="shared" si="395"/>
        <v>3.8185705243506578</v>
      </c>
      <c r="V259" s="51">
        <f t="shared" si="396"/>
        <v>0.57069033030264149</v>
      </c>
      <c r="W259" s="51">
        <f t="shared" si="397"/>
        <v>0.68579234852319237</v>
      </c>
      <c r="X259" s="51">
        <f t="shared" si="398"/>
        <v>0.68093163117308464</v>
      </c>
      <c r="Y259" s="51">
        <f t="shared" si="399"/>
        <v>0.55506007149789227</v>
      </c>
      <c r="Z259" s="51">
        <f t="shared" si="400"/>
        <v>1.1001623930543796</v>
      </c>
      <c r="AA259" s="51">
        <f t="shared" si="401"/>
        <v>1.0811767910651047</v>
      </c>
      <c r="AB259" s="51">
        <f t="shared" si="402"/>
        <v>1.0936505916033461</v>
      </c>
      <c r="AC259" s="51">
        <f t="shared" si="403"/>
        <v>1.0639883083027304</v>
      </c>
      <c r="AD259" s="62">
        <f t="shared" si="404"/>
        <v>1.1589676532788968</v>
      </c>
      <c r="AE259" s="699"/>
      <c r="AF259" s="701">
        <f t="shared" si="384"/>
        <v>-2.8816171020356884E-2</v>
      </c>
      <c r="AG259" s="698"/>
      <c r="AH259" s="700"/>
      <c r="AI259" s="701">
        <f t="shared" si="385"/>
        <v>-6.1021239338015711E-2</v>
      </c>
      <c r="AJ259" s="699"/>
      <c r="AK259" s="678">
        <f t="shared" si="405"/>
        <v>0.29883935240655518</v>
      </c>
      <c r="AL259" s="51">
        <f t="shared" si="406"/>
        <v>0.1307322770253001</v>
      </c>
      <c r="AM259" s="827">
        <f t="shared" ref="AM259:AV259" si="479">AM76</f>
        <v>98587.516430000003</v>
      </c>
      <c r="AN259" s="827">
        <f t="shared" si="479"/>
        <v>105797.22913200001</v>
      </c>
      <c r="AO259" s="827">
        <f t="shared" si="479"/>
        <v>100841.26384799999</v>
      </c>
      <c r="AP259" s="827">
        <f t="shared" si="479"/>
        <v>91681.135643999994</v>
      </c>
      <c r="AQ259" s="827">
        <f t="shared" si="479"/>
        <v>90867.305132999987</v>
      </c>
      <c r="AR259" s="827">
        <f t="shared" si="479"/>
        <v>79325.804999999993</v>
      </c>
      <c r="AS259" s="827">
        <f t="shared" si="479"/>
        <v>70946.611961999995</v>
      </c>
      <c r="AT259" s="827">
        <f t="shared" si="479"/>
        <v>71334.197231999991</v>
      </c>
      <c r="AU259" s="827">
        <f t="shared" si="479"/>
        <v>42864.134639999997</v>
      </c>
      <c r="AV259" s="827">
        <f t="shared" si="479"/>
        <v>28263.857485999997</v>
      </c>
      <c r="AW259" s="829">
        <f t="shared" ref="AW259:BB259" si="480">AW76</f>
        <v>0.24548065179838702</v>
      </c>
      <c r="AX259" s="829">
        <f t="shared" si="480"/>
        <v>7.4969043630271681E-2</v>
      </c>
      <c r="AY259" s="829">
        <f t="shared" si="480"/>
        <v>2.16773890224186E-2</v>
      </c>
      <c r="AZ259" s="829">
        <f t="shared" si="480"/>
        <v>0.17002401863706068</v>
      </c>
      <c r="BA259" s="829">
        <f t="shared" si="480"/>
        <v>6.0700833400930083E-2</v>
      </c>
      <c r="BB259" s="829">
        <f t="shared" si="480"/>
        <v>1.954505198399005E-2</v>
      </c>
    </row>
    <row r="260" spans="1:54" ht="15" customHeight="1">
      <c r="A260" s="680">
        <v>2006</v>
      </c>
      <c r="B260" s="680"/>
      <c r="C260" s="53"/>
      <c r="D260" s="751"/>
      <c r="E260" s="751"/>
      <c r="F260" s="751"/>
      <c r="G260" s="751"/>
      <c r="H260" s="751"/>
      <c r="I260" s="53" t="s">
        <v>257</v>
      </c>
      <c r="J260" s="740" t="s">
        <v>538</v>
      </c>
      <c r="K260" s="748">
        <f t="shared" ref="K260:O260" si="481">LN(K77)</f>
        <v>11.491672719412607</v>
      </c>
      <c r="L260" s="748">
        <f t="shared" si="481"/>
        <v>11.400570537746098</v>
      </c>
      <c r="M260" s="748">
        <f t="shared" si="481"/>
        <v>10.896369223585648</v>
      </c>
      <c r="N260" s="748">
        <f t="shared" si="481"/>
        <v>10.415514234902389</v>
      </c>
      <c r="O260" s="748">
        <f t="shared" si="481"/>
        <v>10.083228846062099</v>
      </c>
      <c r="P260" s="751">
        <f t="shared" si="390"/>
        <v>4.6442361988321273E-2</v>
      </c>
      <c r="Q260" s="751">
        <f t="shared" si="391"/>
        <v>0.17642917204781275</v>
      </c>
      <c r="R260" s="751">
        <f t="shared" si="392"/>
        <v>3.9522484197980129E-2</v>
      </c>
      <c r="S260" s="751">
        <f t="shared" si="393"/>
        <v>-8.5090558694757318E-2</v>
      </c>
      <c r="T260" s="751">
        <f t="shared" si="394"/>
        <v>1.818075529054133E-2</v>
      </c>
      <c r="U260" s="751">
        <f t="shared" si="395"/>
        <v>1.6665046112778548</v>
      </c>
      <c r="V260" s="751">
        <f t="shared" si="396"/>
        <v>0.22687689427291685</v>
      </c>
      <c r="W260" s="751">
        <f t="shared" si="397"/>
        <v>0.13963230797555445</v>
      </c>
      <c r="X260" s="751">
        <f t="shared" si="398"/>
        <v>0.1224388327539554</v>
      </c>
      <c r="Y260" s="751">
        <f t="shared" si="399"/>
        <v>0.10966511747656819</v>
      </c>
      <c r="Z260" s="751">
        <f t="shared" si="400"/>
        <v>0.74568098953896478</v>
      </c>
      <c r="AA260" s="751">
        <f t="shared" si="401"/>
        <v>0.61883444915560171</v>
      </c>
      <c r="AB260" s="751">
        <f t="shared" si="402"/>
        <v>0.51401430596516384</v>
      </c>
      <c r="AC260" s="751">
        <f t="shared" si="403"/>
        <v>0.38021050085544872</v>
      </c>
      <c r="AD260" s="737">
        <f t="shared" si="404"/>
        <v>0.47296969324587951</v>
      </c>
      <c r="AE260" s="709"/>
      <c r="AF260" s="832">
        <f t="shared" si="384"/>
        <v>1.171617603229818E-2</v>
      </c>
      <c r="AG260" s="764"/>
      <c r="AH260" s="742"/>
      <c r="AI260" s="832">
        <f t="shared" si="385"/>
        <v>1.3775303176084341E-2</v>
      </c>
      <c r="AJ260" s="709"/>
      <c r="AK260" s="759">
        <f t="shared" si="405"/>
        <v>0.81314037752354873</v>
      </c>
      <c r="AL260" s="751">
        <f t="shared" si="406"/>
        <v>2.996719049898626E-2</v>
      </c>
      <c r="AM260" s="831">
        <f t="shared" ref="AM260:AV260" si="482">AM77</f>
        <v>96329.646789999999</v>
      </c>
      <c r="AN260" s="831">
        <f t="shared" si="482"/>
        <v>107550.322418</v>
      </c>
      <c r="AO260" s="831">
        <f t="shared" si="482"/>
        <v>91060.330815999987</v>
      </c>
      <c r="AP260" s="831">
        <f t="shared" si="482"/>
        <v>77971.262759999998</v>
      </c>
      <c r="AQ260" s="831">
        <f t="shared" si="482"/>
        <v>45084.035549999993</v>
      </c>
      <c r="AR260" s="831">
        <f t="shared" si="482"/>
        <v>0</v>
      </c>
      <c r="AS260" s="831">
        <f t="shared" si="482"/>
        <v>0</v>
      </c>
      <c r="AT260" s="831">
        <f t="shared" si="482"/>
        <v>0</v>
      </c>
      <c r="AU260" s="831">
        <f t="shared" si="482"/>
        <v>55.418340000000001</v>
      </c>
      <c r="AV260" s="831">
        <f t="shared" si="482"/>
        <v>0</v>
      </c>
      <c r="AW260" s="830" t="e">
        <f t="shared" ref="AW260:BB260" si="483">AW77</f>
        <v>#DIV/0!</v>
      </c>
      <c r="AX260" s="830">
        <f t="shared" si="483"/>
        <v>-51.242253521126763</v>
      </c>
      <c r="AY260" s="830" t="e">
        <f t="shared" si="483"/>
        <v>#DIV/0!</v>
      </c>
      <c r="AZ260" s="830" t="e">
        <f t="shared" si="483"/>
        <v>#DIV/0!</v>
      </c>
      <c r="BA260" s="830">
        <f t="shared" si="483"/>
        <v>-6.2394072527475544</v>
      </c>
      <c r="BB260" s="830" t="e">
        <f t="shared" si="483"/>
        <v>#DIV/0!</v>
      </c>
    </row>
    <row r="261" spans="1:54" ht="15" customHeight="1">
      <c r="A261" s="449">
        <v>2005</v>
      </c>
      <c r="B261" s="449"/>
      <c r="C261" s="50"/>
      <c r="D261" s="51"/>
      <c r="E261" s="51"/>
      <c r="F261" s="51"/>
      <c r="G261" s="51"/>
      <c r="H261" s="51"/>
      <c r="I261" s="411" t="s">
        <v>258</v>
      </c>
      <c r="J261" s="524" t="s">
        <v>539</v>
      </c>
      <c r="K261" s="543">
        <f t="shared" ref="K261:O261" si="484">LN(K78)</f>
        <v>11.899235764523134</v>
      </c>
      <c r="L261" s="543">
        <f t="shared" si="484"/>
        <v>11.596017324764849</v>
      </c>
      <c r="M261" s="543">
        <f t="shared" si="484"/>
        <v>11.024467096049595</v>
      </c>
      <c r="N261" s="543">
        <f t="shared" si="484"/>
        <v>10.634407747011396</v>
      </c>
      <c r="O261" s="543">
        <f t="shared" si="484"/>
        <v>10.484004433477004</v>
      </c>
      <c r="P261" s="149">
        <f t="shared" si="390"/>
        <v>4.8184719290014853E-2</v>
      </c>
      <c r="Q261" s="149">
        <f t="shared" si="391"/>
        <v>5.1868601851516503E-2</v>
      </c>
      <c r="R261" s="149">
        <f t="shared" si="392"/>
        <v>9.7228547512613131E-2</v>
      </c>
      <c r="S261" s="149">
        <f t="shared" si="393"/>
        <v>3.0922008115108774E-2</v>
      </c>
      <c r="T261" s="149">
        <f t="shared" si="394"/>
        <v>3.2594860361222271E-2</v>
      </c>
      <c r="U261" s="51">
        <f t="shared" si="395"/>
        <v>0.40909526297457338</v>
      </c>
      <c r="V261" s="51">
        <f t="shared" si="396"/>
        <v>0.46216475571546928</v>
      </c>
      <c r="W261" s="51">
        <f t="shared" si="397"/>
        <v>0.35673995562820471</v>
      </c>
      <c r="X261" s="51">
        <f t="shared" si="398"/>
        <v>0.35965377588050557</v>
      </c>
      <c r="Y261" s="51">
        <f t="shared" si="399"/>
        <v>0.38334220479058695</v>
      </c>
      <c r="Z261" s="51">
        <f t="shared" si="400"/>
        <v>1.187878787878788</v>
      </c>
      <c r="AA261" s="51">
        <f t="shared" si="401"/>
        <v>1.2616986571354207</v>
      </c>
      <c r="AB261" s="51">
        <f t="shared" si="402"/>
        <v>1.0725721723896093</v>
      </c>
      <c r="AC261" s="51">
        <f t="shared" si="403"/>
        <v>1.1247063578266689</v>
      </c>
      <c r="AD261" s="62">
        <f t="shared" si="404"/>
        <v>1.347000980529486</v>
      </c>
      <c r="AE261" s="699"/>
      <c r="AF261" s="701">
        <f t="shared" si="384"/>
        <v>6.0379325557101744E-2</v>
      </c>
      <c r="AG261" s="698"/>
      <c r="AH261" s="700"/>
      <c r="AI261" s="701">
        <f t="shared" si="385"/>
        <v>9.0920114274508787E-2</v>
      </c>
      <c r="AJ261" s="699"/>
      <c r="AK261" s="678">
        <f t="shared" si="405"/>
        <v>0.54046266257259157</v>
      </c>
      <c r="AL261" s="51">
        <f t="shared" si="406"/>
        <v>-2.6602249162382241E-2</v>
      </c>
      <c r="AM261" s="827">
        <f t="shared" ref="AM261:AV261" si="485">AM78</f>
        <v>73201.128402000002</v>
      </c>
      <c r="AN261" s="827">
        <f t="shared" si="485"/>
        <v>46320.873959999997</v>
      </c>
      <c r="AO261" s="827">
        <f t="shared" si="485"/>
        <v>36798.089975999996</v>
      </c>
      <c r="AP261" s="827">
        <f t="shared" si="485"/>
        <v>23650.498855999998</v>
      </c>
      <c r="AQ261" s="827">
        <f t="shared" si="485"/>
        <v>16361.442395999999</v>
      </c>
      <c r="AR261" s="827">
        <f t="shared" si="485"/>
        <v>7163.7529560000003</v>
      </c>
      <c r="AS261" s="827">
        <f t="shared" si="485"/>
        <v>9093.2339039999988</v>
      </c>
      <c r="AT261" s="827">
        <f t="shared" si="485"/>
        <v>6593.22138</v>
      </c>
      <c r="AU261" s="827">
        <f t="shared" si="485"/>
        <v>2516.900443</v>
      </c>
      <c r="AV261" s="827">
        <f t="shared" si="485"/>
        <v>0</v>
      </c>
      <c r="AW261" s="829" t="e">
        <f t="shared" ref="AW261:BB261" si="486">AW78</f>
        <v>#DIV/0!</v>
      </c>
      <c r="AX261" s="829">
        <f t="shared" si="486"/>
        <v>0.51034780997096429</v>
      </c>
      <c r="AY261" s="829">
        <f t="shared" si="486"/>
        <v>0.90481827867882092</v>
      </c>
      <c r="AZ261" s="829" t="e">
        <f t="shared" si="486"/>
        <v>#DIV/0!</v>
      </c>
      <c r="BA261" s="829">
        <f t="shared" si="486"/>
        <v>0.21832669599223473</v>
      </c>
      <c r="BB261" s="829">
        <f t="shared" si="486"/>
        <v>0.42706946701136106</v>
      </c>
    </row>
    <row r="262" spans="1:54" ht="15" customHeight="1">
      <c r="A262" s="449">
        <v>2005</v>
      </c>
      <c r="B262" s="449"/>
      <c r="C262" s="50"/>
      <c r="D262" s="51"/>
      <c r="E262" s="51"/>
      <c r="F262" s="51"/>
      <c r="G262" s="51"/>
      <c r="H262" s="51"/>
      <c r="I262" s="411" t="s">
        <v>258</v>
      </c>
      <c r="J262" s="524" t="s">
        <v>540</v>
      </c>
      <c r="K262" s="543">
        <f t="shared" ref="K262:O262" si="487">LN(K79)</f>
        <v>14.791971668567975</v>
      </c>
      <c r="L262" s="543">
        <f t="shared" si="487"/>
        <v>14.631070420189788</v>
      </c>
      <c r="M262" s="543">
        <f t="shared" si="487"/>
        <v>14.127014138827278</v>
      </c>
      <c r="N262" s="543">
        <f t="shared" si="487"/>
        <v>13.20208069522125</v>
      </c>
      <c r="O262" s="543">
        <f t="shared" si="487"/>
        <v>13.428681140075398</v>
      </c>
      <c r="P262" s="149">
        <f t="shared" si="390"/>
        <v>2.9191890464388741E-2</v>
      </c>
      <c r="Q262" s="149">
        <f t="shared" si="391"/>
        <v>3.203560857815492E-2</v>
      </c>
      <c r="R262" s="149">
        <f t="shared" si="392"/>
        <v>-4.961701154681605E-3</v>
      </c>
      <c r="S262" s="149">
        <f t="shared" si="393"/>
        <v>-4.3933955491744434E-2</v>
      </c>
      <c r="T262" s="149">
        <f t="shared" si="394"/>
        <v>-4.7167746454211165E-2</v>
      </c>
      <c r="U262" s="51">
        <f t="shared" si="395"/>
        <v>0.65488221586312645</v>
      </c>
      <c r="V262" s="51">
        <f t="shared" si="396"/>
        <v>0.68765428426969621</v>
      </c>
      <c r="W262" s="51">
        <f t="shared" si="397"/>
        <v>0.72786793682316064</v>
      </c>
      <c r="X262" s="51">
        <f t="shared" si="398"/>
        <v>0.949918943955535</v>
      </c>
      <c r="Y262" s="51">
        <f t="shared" si="399"/>
        <v>0.69241496862167806</v>
      </c>
      <c r="Z262" s="51">
        <f t="shared" si="400"/>
        <v>1.7830984895135291</v>
      </c>
      <c r="AA262" s="51">
        <f t="shared" si="401"/>
        <v>1.9644737233441394</v>
      </c>
      <c r="AB262" s="51">
        <f t="shared" si="402"/>
        <v>1.3570918794799391</v>
      </c>
      <c r="AC262" s="51">
        <f t="shared" si="403"/>
        <v>2.0162691060676243</v>
      </c>
      <c r="AD262" s="62">
        <f t="shared" si="404"/>
        <v>1.7698923065003487</v>
      </c>
      <c r="AE262" s="699"/>
      <c r="AF262" s="701">
        <f t="shared" si="384"/>
        <v>7.67483472188428E-2</v>
      </c>
      <c r="AG262" s="698"/>
      <c r="AH262" s="700"/>
      <c r="AI262" s="701">
        <f t="shared" si="385"/>
        <v>0.24666713578750549</v>
      </c>
      <c r="AJ262" s="699"/>
      <c r="AK262" s="678">
        <f t="shared" si="405"/>
        <v>0.69833299875187926</v>
      </c>
      <c r="AL262" s="51">
        <f t="shared" si="406"/>
        <v>3.5452968201482582E-2</v>
      </c>
      <c r="AM262" s="827">
        <f t="shared" ref="AM262:AV262" si="488">AM79</f>
        <v>513882.32380000001</v>
      </c>
      <c r="AN262" s="827">
        <f t="shared" si="488"/>
        <v>359403.64479999995</v>
      </c>
      <c r="AO262" s="827">
        <f t="shared" si="488"/>
        <v>273813.43199999997</v>
      </c>
      <c r="AP262" s="827">
        <f t="shared" si="488"/>
        <v>13449.798499999999</v>
      </c>
      <c r="AQ262" s="827">
        <f t="shared" si="488"/>
        <v>118037.628</v>
      </c>
      <c r="AR262" s="827">
        <f t="shared" si="488"/>
        <v>28136.509000000002</v>
      </c>
      <c r="AS262" s="827">
        <f t="shared" si="488"/>
        <v>19369.878399999998</v>
      </c>
      <c r="AT262" s="827">
        <f t="shared" si="488"/>
        <v>10100.187599999999</v>
      </c>
      <c r="AU262" s="827">
        <f t="shared" si="488"/>
        <v>4509.1809999999996</v>
      </c>
      <c r="AV262" s="827">
        <f t="shared" si="488"/>
        <v>19727.447399999997</v>
      </c>
      <c r="AW262" s="829">
        <f t="shared" ref="AW262:BB262" si="489">AW79</f>
        <v>-1.6239638281838735</v>
      </c>
      <c r="AX262" s="829">
        <f t="shared" si="489"/>
        <v>-5.2758620689655178</v>
      </c>
      <c r="AY262" s="829">
        <f t="shared" si="489"/>
        <v>-0.67078825347758886</v>
      </c>
      <c r="AZ262" s="829">
        <f t="shared" si="489"/>
        <v>-1.2079386946989445</v>
      </c>
      <c r="BA262" s="829">
        <f t="shared" si="489"/>
        <v>-5.1002240021721432</v>
      </c>
      <c r="BB262" s="829">
        <f t="shared" si="489"/>
        <v>-0.49497874644936862</v>
      </c>
    </row>
    <row r="263" spans="1:54" ht="15" customHeight="1">
      <c r="A263" s="449">
        <v>2013</v>
      </c>
      <c r="B263" s="449"/>
      <c r="C263" s="50"/>
      <c r="D263" s="51"/>
      <c r="E263" s="51"/>
      <c r="F263" s="51"/>
      <c r="G263" s="51"/>
      <c r="H263" s="51"/>
      <c r="I263" s="50" t="s">
        <v>259</v>
      </c>
      <c r="J263" s="524" t="s">
        <v>540</v>
      </c>
      <c r="K263" s="543">
        <f t="shared" ref="K263:O263" si="490">LN(K80)</f>
        <v>15.127357456540871</v>
      </c>
      <c r="L263" s="543">
        <f t="shared" si="490"/>
        <v>15.058627814074129</v>
      </c>
      <c r="M263" s="543">
        <f t="shared" si="490"/>
        <v>15.180143663908796</v>
      </c>
      <c r="N263" s="543">
        <f t="shared" si="490"/>
        <v>15.140510617397839</v>
      </c>
      <c r="O263" s="543">
        <f t="shared" si="490"/>
        <v>15.096005667529152</v>
      </c>
      <c r="P263" s="149">
        <f t="shared" si="390"/>
        <v>1.6416570475824035E-2</v>
      </c>
      <c r="Q263" s="149">
        <f t="shared" si="391"/>
        <v>1.4084002293577981E-2</v>
      </c>
      <c r="R263" s="149">
        <f t="shared" si="392"/>
        <v>1.7447535383113714E-2</v>
      </c>
      <c r="S263" s="149">
        <f t="shared" si="393"/>
        <v>1.5383013966455163E-2</v>
      </c>
      <c r="T263" s="149">
        <f t="shared" si="394"/>
        <v>2.4280588429215058E-2</v>
      </c>
      <c r="U263" s="51">
        <f t="shared" si="395"/>
        <v>0.76218787158145063</v>
      </c>
      <c r="V263" s="51">
        <f t="shared" si="396"/>
        <v>0.74655888136333848</v>
      </c>
      <c r="W263" s="51">
        <f t="shared" si="397"/>
        <v>0.71886882129277574</v>
      </c>
      <c r="X263" s="51">
        <f t="shared" si="398"/>
        <v>0.68422228777274241</v>
      </c>
      <c r="Y263" s="51">
        <f t="shared" si="399"/>
        <v>0.60881185795750148</v>
      </c>
      <c r="Z263" s="51">
        <f t="shared" si="400"/>
        <v>2.3177764565992867</v>
      </c>
      <c r="AA263" s="51">
        <f t="shared" si="401"/>
        <v>2.0321899351831623</v>
      </c>
      <c r="AB263" s="51">
        <f t="shared" si="402"/>
        <v>1.9477186311787074</v>
      </c>
      <c r="AC263" s="51">
        <f t="shared" si="403"/>
        <v>1.9750788840917828</v>
      </c>
      <c r="AD263" s="62">
        <f t="shared" si="404"/>
        <v>2.1351566405174087</v>
      </c>
      <c r="AE263" s="699"/>
      <c r="AF263" s="701">
        <f t="shared" si="384"/>
        <v>-1.7859969886468388E-2</v>
      </c>
      <c r="AG263" s="698"/>
      <c r="AH263" s="700"/>
      <c r="AI263" s="701">
        <f t="shared" si="385"/>
        <v>-1.1644087632405153E-2</v>
      </c>
      <c r="AJ263" s="699"/>
      <c r="AK263" s="678">
        <f t="shared" si="405"/>
        <v>8.4137996379643823E-2</v>
      </c>
      <c r="AL263" s="51">
        <f t="shared" si="406"/>
        <v>0.11005696333527426</v>
      </c>
      <c r="AM263" s="827">
        <f t="shared" ref="AM263:AV263" si="491">AM80</f>
        <v>380969.60000000003</v>
      </c>
      <c r="AN263" s="827">
        <f t="shared" si="491"/>
        <v>432306.48000000004</v>
      </c>
      <c r="AO263" s="827">
        <f t="shared" si="491"/>
        <v>564983.05500000005</v>
      </c>
      <c r="AP263" s="827">
        <f t="shared" si="491"/>
        <v>601536.28430000006</v>
      </c>
      <c r="AQ263" s="827">
        <f t="shared" si="491"/>
        <v>659294.15519999992</v>
      </c>
      <c r="AR263" s="827">
        <f t="shared" si="491"/>
        <v>160483.44400000002</v>
      </c>
      <c r="AS263" s="827">
        <f t="shared" si="491"/>
        <v>181494.18600000002</v>
      </c>
      <c r="AT263" s="827">
        <f t="shared" si="491"/>
        <v>218256.345</v>
      </c>
      <c r="AU263" s="827">
        <f t="shared" si="491"/>
        <v>212697.53640000001</v>
      </c>
      <c r="AV263" s="827">
        <f t="shared" si="491"/>
        <v>49754.8056</v>
      </c>
      <c r="AW263" s="829">
        <f t="shared" ref="AW263:BB263" si="492">AW80</f>
        <v>1.7560469937802348</v>
      </c>
      <c r="AX263" s="829">
        <f t="shared" si="492"/>
        <v>0.27209414024975986</v>
      </c>
      <c r="AY263" s="829">
        <f t="shared" si="492"/>
        <v>0.31291028446389496</v>
      </c>
      <c r="AZ263" s="829">
        <f t="shared" si="492"/>
        <v>1.1209336576162363</v>
      </c>
      <c r="BA263" s="829">
        <f t="shared" si="492"/>
        <v>0.2165516698061061</v>
      </c>
      <c r="BB263" s="829">
        <f t="shared" si="492"/>
        <v>0.25892433709678758</v>
      </c>
    </row>
    <row r="264" spans="1:54" ht="15" customHeight="1">
      <c r="A264" s="535">
        <v>2013</v>
      </c>
      <c r="B264" s="535"/>
      <c r="C264" s="411"/>
      <c r="D264" s="536"/>
      <c r="E264" s="536"/>
      <c r="F264" s="536"/>
      <c r="G264" s="536"/>
      <c r="H264" s="536"/>
      <c r="I264" s="411" t="s">
        <v>259</v>
      </c>
      <c r="J264" s="524" t="s">
        <v>541</v>
      </c>
      <c r="K264" s="543">
        <f t="shared" ref="K264:O264" si="493">LN(K81)</f>
        <v>12.194495892769652</v>
      </c>
      <c r="L264" s="543">
        <f t="shared" si="493"/>
        <v>12.170797737439035</v>
      </c>
      <c r="M264" s="543">
        <f t="shared" si="493"/>
        <v>12.025922729017619</v>
      </c>
      <c r="N264" s="543">
        <f t="shared" si="493"/>
        <v>11.73117707020401</v>
      </c>
      <c r="O264" s="543">
        <f t="shared" si="493"/>
        <v>11.789185048475675</v>
      </c>
      <c r="P264" s="149">
        <f t="shared" si="390"/>
        <v>3.2494006009165494E-2</v>
      </c>
      <c r="Q264" s="149">
        <f t="shared" si="391"/>
        <v>0.12529782252884994</v>
      </c>
      <c r="R264" s="149">
        <f t="shared" si="392"/>
        <v>0.1110525717091044</v>
      </c>
      <c r="S264" s="149">
        <f t="shared" si="393"/>
        <v>7.6991719591607041E-2</v>
      </c>
      <c r="T264" s="149">
        <f t="shared" si="394"/>
        <v>0.1331371046662469</v>
      </c>
      <c r="U264" s="51">
        <f t="shared" si="395"/>
        <v>0.33439811316434248</v>
      </c>
      <c r="V264" s="51">
        <f t="shared" si="396"/>
        <v>0.29057665970324464</v>
      </c>
      <c r="W264" s="51">
        <f t="shared" si="397"/>
        <v>0.32185264061039698</v>
      </c>
      <c r="X264" s="51">
        <f t="shared" si="398"/>
        <v>0.30422513507526655</v>
      </c>
      <c r="Y264" s="51">
        <f t="shared" si="399"/>
        <v>0.26113676234757244</v>
      </c>
      <c r="Z264" s="51">
        <f t="shared" si="400"/>
        <v>1.1317464679077649</v>
      </c>
      <c r="AA264" s="51">
        <f t="shared" si="401"/>
        <v>1.2185020858709852</v>
      </c>
      <c r="AB264" s="51">
        <f t="shared" si="402"/>
        <v>1.2795431215431521</v>
      </c>
      <c r="AC264" s="51">
        <f t="shared" si="403"/>
        <v>1.1980044495381919</v>
      </c>
      <c r="AD264" s="62">
        <f t="shared" si="404"/>
        <v>1.4187358066147902</v>
      </c>
      <c r="AE264" s="699"/>
      <c r="AF264" s="701">
        <f t="shared" si="384"/>
        <v>-4.6789823318963336E-2</v>
      </c>
      <c r="AG264" s="698"/>
      <c r="AH264" s="700"/>
      <c r="AI264" s="701">
        <f t="shared" si="385"/>
        <v>-4.6103442907432152E-2</v>
      </c>
      <c r="AJ264" s="699"/>
      <c r="AK264" s="678">
        <f t="shared" si="405"/>
        <v>0.23673768054194336</v>
      </c>
      <c r="AL264" s="51">
        <f t="shared" si="406"/>
        <v>6.0715878262824541E-2</v>
      </c>
      <c r="AM264" s="827">
        <f t="shared" ref="AM264:AV264" si="494">AM81</f>
        <v>116270</v>
      </c>
      <c r="AN264" s="827">
        <f t="shared" si="494"/>
        <v>112405</v>
      </c>
      <c r="AO264" s="827">
        <f t="shared" si="494"/>
        <v>88522</v>
      </c>
      <c r="AP264" s="827">
        <f t="shared" si="494"/>
        <v>72243</v>
      </c>
      <c r="AQ264" s="827">
        <f t="shared" si="494"/>
        <v>68650</v>
      </c>
      <c r="AR264" s="827">
        <f t="shared" si="494"/>
        <v>20293</v>
      </c>
      <c r="AS264" s="827">
        <f t="shared" si="494"/>
        <v>707</v>
      </c>
      <c r="AT264" s="827">
        <f t="shared" si="494"/>
        <v>11455</v>
      </c>
      <c r="AU264" s="827">
        <f t="shared" si="494"/>
        <v>10090</v>
      </c>
      <c r="AV264" s="827">
        <f t="shared" si="494"/>
        <v>5224</v>
      </c>
      <c r="AW264" s="829">
        <f t="shared" ref="AW264:BB264" si="495">AW81</f>
        <v>3.3594946401225116</v>
      </c>
      <c r="AX264" s="829">
        <f t="shared" si="495"/>
        <v>0.9491575817641229</v>
      </c>
      <c r="AY264" s="829">
        <f t="shared" si="495"/>
        <v>1.6192928852029682</v>
      </c>
      <c r="AZ264" s="829">
        <f t="shared" si="495"/>
        <v>1.0661739310246412</v>
      </c>
      <c r="BA264" s="829">
        <f t="shared" si="495"/>
        <v>0.38099401616824569</v>
      </c>
      <c r="BB264" s="829">
        <f t="shared" si="495"/>
        <v>0.66328040754211481</v>
      </c>
    </row>
    <row r="265" spans="1:54" ht="15" customHeight="1">
      <c r="A265" s="449">
        <v>2013</v>
      </c>
      <c r="B265" s="449"/>
      <c r="C265" s="50"/>
      <c r="D265" s="51"/>
      <c r="E265" s="51"/>
      <c r="F265" s="51"/>
      <c r="G265" s="51"/>
      <c r="H265" s="51"/>
      <c r="I265" s="50" t="s">
        <v>259</v>
      </c>
      <c r="J265" s="524" t="s">
        <v>542</v>
      </c>
      <c r="K265" s="543">
        <f t="shared" ref="K265:O265" si="496">LN(K82)</f>
        <v>12.425922972340352</v>
      </c>
      <c r="L265" s="543">
        <f t="shared" si="496"/>
        <v>12.398619012286638</v>
      </c>
      <c r="M265" s="543">
        <f t="shared" si="496"/>
        <v>12.538243514160515</v>
      </c>
      <c r="N265" s="543">
        <f t="shared" si="496"/>
        <v>12.534885822877476</v>
      </c>
      <c r="O265" s="543">
        <f t="shared" si="496"/>
        <v>12.584714612100109</v>
      </c>
      <c r="P265" s="149">
        <f t="shared" si="390"/>
        <v>3.5619189861829978E-2</v>
      </c>
      <c r="Q265" s="149">
        <f t="shared" si="391"/>
        <v>3.700396245961457E-2</v>
      </c>
      <c r="R265" s="149">
        <f t="shared" si="392"/>
        <v>1.3869125792268601E-2</v>
      </c>
      <c r="S265" s="149">
        <f t="shared" si="393"/>
        <v>5.1037759608414338E-3</v>
      </c>
      <c r="T265" s="149">
        <f t="shared" si="394"/>
        <v>2.7312049748818852E-2</v>
      </c>
      <c r="U265" s="51">
        <f t="shared" si="395"/>
        <v>0.56777807013135217</v>
      </c>
      <c r="V265" s="51">
        <f t="shared" si="396"/>
        <v>0.55532172923330525</v>
      </c>
      <c r="W265" s="51">
        <f t="shared" si="397"/>
        <v>0.57058543707692921</v>
      </c>
      <c r="X265" s="51">
        <f t="shared" si="398"/>
        <v>0.56486965627468633</v>
      </c>
      <c r="Y265" s="51">
        <f t="shared" si="399"/>
        <v>0.538315527618344</v>
      </c>
      <c r="Z265" s="51">
        <f t="shared" si="400"/>
        <v>1.5469289078228889</v>
      </c>
      <c r="AA265" s="51">
        <f t="shared" si="401"/>
        <v>1.5320693106222649</v>
      </c>
      <c r="AB265" s="51">
        <f t="shared" si="402"/>
        <v>1.5202336123278419</v>
      </c>
      <c r="AC265" s="51">
        <f t="shared" si="403"/>
        <v>1.4990254073815517</v>
      </c>
      <c r="AD265" s="62">
        <f t="shared" si="404"/>
        <v>1.6690023363246411</v>
      </c>
      <c r="AE265" s="699"/>
      <c r="AF265" s="701">
        <f t="shared" si="384"/>
        <v>-2.4499563637583759E-2</v>
      </c>
      <c r="AG265" s="698"/>
      <c r="AH265" s="700"/>
      <c r="AI265" s="701">
        <f t="shared" si="385"/>
        <v>-4.9633486136270832E-2</v>
      </c>
      <c r="AJ265" s="699"/>
      <c r="AK265" s="678">
        <f t="shared" si="405"/>
        <v>-4.6471097939595175E-2</v>
      </c>
      <c r="AL265" s="51">
        <f t="shared" si="406"/>
        <v>3.2269909458585211E-2</v>
      </c>
      <c r="AM265" s="827">
        <f t="shared" ref="AM265:AV265" si="497">AM82</f>
        <v>69622.075347000005</v>
      </c>
      <c r="AN265" s="827">
        <f t="shared" si="497"/>
        <v>70375.271260000009</v>
      </c>
      <c r="AO265" s="827">
        <f t="shared" si="497"/>
        <v>78751.060184999995</v>
      </c>
      <c r="AP265" s="827">
        <f t="shared" si="497"/>
        <v>80657.010303000003</v>
      </c>
      <c r="AQ265" s="827">
        <f t="shared" si="497"/>
        <v>80790.698003999991</v>
      </c>
      <c r="AR265" s="827">
        <f t="shared" si="497"/>
        <v>8184.7746970000007</v>
      </c>
      <c r="AS265" s="827">
        <f t="shared" si="497"/>
        <v>8911.9732399999994</v>
      </c>
      <c r="AT265" s="827">
        <f t="shared" si="497"/>
        <v>4552.8178049999997</v>
      </c>
      <c r="AU265" s="827">
        <f t="shared" si="497"/>
        <v>7932.7395299999998</v>
      </c>
      <c r="AV265" s="827">
        <f t="shared" si="497"/>
        <v>8802.852648</v>
      </c>
      <c r="AW265" s="829">
        <f t="shared" ref="AW265:BB265" si="498">AW82</f>
        <v>0.90615600953087772</v>
      </c>
      <c r="AX265" s="829">
        <f t="shared" si="498"/>
        <v>0.17877226872719468</v>
      </c>
      <c r="AY265" s="829">
        <f t="shared" si="498"/>
        <v>0.84929542991013673</v>
      </c>
      <c r="AZ265" s="829">
        <f t="shared" si="498"/>
        <v>0.5333812011822493</v>
      </c>
      <c r="BA265" s="829">
        <f t="shared" si="498"/>
        <v>0.1086337198262608</v>
      </c>
      <c r="BB265" s="829">
        <f t="shared" si="498"/>
        <v>0.50567991528572365</v>
      </c>
    </row>
    <row r="266" spans="1:54" ht="15" customHeight="1">
      <c r="A266" s="449">
        <v>2013</v>
      </c>
      <c r="B266" s="449"/>
      <c r="C266" s="50"/>
      <c r="D266" s="51"/>
      <c r="E266" s="51"/>
      <c r="F266" s="51"/>
      <c r="G266" s="51"/>
      <c r="H266" s="51"/>
      <c r="I266" s="50" t="s">
        <v>259</v>
      </c>
      <c r="J266" s="524" t="s">
        <v>543</v>
      </c>
      <c r="K266" s="543">
        <f t="shared" ref="K266:O266" si="499">LN(K83)</f>
        <v>10.516918186911512</v>
      </c>
      <c r="L266" s="543">
        <f t="shared" si="499"/>
        <v>10.763249579589045</v>
      </c>
      <c r="M266" s="543">
        <f t="shared" si="499"/>
        <v>10.745752892077522</v>
      </c>
      <c r="N266" s="543">
        <f t="shared" si="499"/>
        <v>11.026611335670134</v>
      </c>
      <c r="O266" s="543">
        <f t="shared" si="499"/>
        <v>10.074552550322252</v>
      </c>
      <c r="P266" s="149">
        <f t="shared" si="390"/>
        <v>-1.4753046824887749E-2</v>
      </c>
      <c r="Q266" s="149">
        <f t="shared" si="391"/>
        <v>2.9329260117096204E-2</v>
      </c>
      <c r="R266" s="149">
        <f t="shared" si="392"/>
        <v>6.3359275893989783E-3</v>
      </c>
      <c r="S266" s="149">
        <f t="shared" si="393"/>
        <v>6.9345834764019801E-2</v>
      </c>
      <c r="T266" s="149">
        <f t="shared" si="394"/>
        <v>4.4039874233884405E-2</v>
      </c>
      <c r="U266" s="51">
        <f t="shared" si="395"/>
        <v>0.73563582513377557</v>
      </c>
      <c r="V266" s="51">
        <f t="shared" si="396"/>
        <v>0.73634392985660002</v>
      </c>
      <c r="W266" s="51">
        <f t="shared" si="397"/>
        <v>0.69950625744702388</v>
      </c>
      <c r="X266" s="51">
        <f t="shared" si="398"/>
        <v>0.67215055800496004</v>
      </c>
      <c r="Y266" s="51">
        <f t="shared" si="399"/>
        <v>0.71340807428797914</v>
      </c>
      <c r="Z266" s="51">
        <f t="shared" si="400"/>
        <v>1.1840988374312038</v>
      </c>
      <c r="AA266" s="51">
        <f t="shared" si="401"/>
        <v>1.3673900773978782</v>
      </c>
      <c r="AB266" s="51">
        <f t="shared" si="402"/>
        <v>1.1357246879064224</v>
      </c>
      <c r="AC266" s="51">
        <f t="shared" si="403"/>
        <v>1.5548877101129788</v>
      </c>
      <c r="AD266" s="62">
        <f t="shared" si="404"/>
        <v>0.97696902780137018</v>
      </c>
      <c r="AE266" s="699"/>
      <c r="AF266" s="701">
        <f t="shared" si="384"/>
        <v>-3.5829723730704817E-2</v>
      </c>
      <c r="AG266" s="698"/>
      <c r="AH266" s="700"/>
      <c r="AI266" s="701">
        <f t="shared" si="385"/>
        <v>-0.12618160102765633</v>
      </c>
      <c r="AJ266" s="699"/>
      <c r="AK266" s="678">
        <f t="shared" si="405"/>
        <v>0.67120034175527121</v>
      </c>
      <c r="AL266" s="51">
        <f t="shared" si="406"/>
        <v>-1.3901816840955261E-2</v>
      </c>
      <c r="AM266" s="827">
        <f t="shared" ref="AM266:AV266" si="500">AM83</f>
        <v>8246.2060450000008</v>
      </c>
      <c r="AN266" s="827">
        <f t="shared" si="500"/>
        <v>9110.8590660000009</v>
      </c>
      <c r="AO266" s="827">
        <f t="shared" si="500"/>
        <v>12285.237345</v>
      </c>
      <c r="AP266" s="827">
        <f t="shared" si="500"/>
        <v>12964.980715</v>
      </c>
      <c r="AQ266" s="827">
        <f t="shared" si="500"/>
        <v>6961.5466079999997</v>
      </c>
      <c r="AR266" s="827">
        <f t="shared" si="500"/>
        <v>7629.6305580000007</v>
      </c>
      <c r="AS266" s="827">
        <f t="shared" si="500"/>
        <v>8397.4291480000011</v>
      </c>
      <c r="AT266" s="827">
        <f t="shared" si="500"/>
        <v>9308.2908449999995</v>
      </c>
      <c r="AU266" s="827">
        <f t="shared" si="500"/>
        <v>10728.012869</v>
      </c>
      <c r="AV266" s="827">
        <f t="shared" si="500"/>
        <v>6428.9260559999993</v>
      </c>
      <c r="AW266" s="829">
        <f t="shared" ref="AW266:BB266" si="501">AW83</f>
        <v>0.1625661870888378</v>
      </c>
      <c r="AX266" s="829">
        <f t="shared" si="501"/>
        <v>0.39746377386639581</v>
      </c>
      <c r="AY266" s="829">
        <f t="shared" si="501"/>
        <v>3.1605411229498385E-2</v>
      </c>
      <c r="AZ266" s="829">
        <f t="shared" si="501"/>
        <v>0.15900162359015979</v>
      </c>
      <c r="BA266" s="829">
        <f t="shared" si="501"/>
        <v>0.37498048361315495</v>
      </c>
      <c r="BB266" s="829">
        <f t="shared" si="501"/>
        <v>2.9304052308288406E-2</v>
      </c>
    </row>
    <row r="267" spans="1:54" s="684" customFormat="1" ht="15" customHeight="1">
      <c r="A267" s="449">
        <v>2015</v>
      </c>
      <c r="B267" s="449"/>
      <c r="C267" s="50"/>
      <c r="D267" s="51"/>
      <c r="E267" s="51"/>
      <c r="F267" s="51"/>
      <c r="G267" s="51"/>
      <c r="H267" s="51"/>
      <c r="I267" s="536" t="s">
        <v>0</v>
      </c>
      <c r="J267" s="524">
        <v>0</v>
      </c>
      <c r="K267" s="543">
        <f t="shared" ref="K267:O267" si="502">LN(K84)</f>
        <v>15.135376613428125</v>
      </c>
      <c r="L267" s="543">
        <f t="shared" si="502"/>
        <v>14.762091475039677</v>
      </c>
      <c r="M267" s="543">
        <f t="shared" si="502"/>
        <v>14.12602668769369</v>
      </c>
      <c r="N267" s="543">
        <f t="shared" si="502"/>
        <v>14.015837376125585</v>
      </c>
      <c r="O267" s="543">
        <f t="shared" si="502"/>
        <v>13.048137552152356</v>
      </c>
      <c r="P267" s="149">
        <f t="shared" si="390"/>
        <v>0.12711412480095755</v>
      </c>
      <c r="Q267" s="149">
        <f t="shared" si="391"/>
        <v>0.10663537823200424</v>
      </c>
      <c r="R267" s="149">
        <f t="shared" si="392"/>
        <v>2.5636138517691507E-2</v>
      </c>
      <c r="S267" s="149">
        <f t="shared" si="393"/>
        <v>-0.25589416288400246</v>
      </c>
      <c r="T267" s="149">
        <f t="shared" si="394"/>
        <v>-0.6012933216437506</v>
      </c>
      <c r="U267" s="51">
        <f t="shared" si="395"/>
        <v>0.72206220141220245</v>
      </c>
      <c r="V267" s="51">
        <f t="shared" si="396"/>
        <v>0.75133493530006923</v>
      </c>
      <c r="W267" s="51">
        <f t="shared" si="397"/>
        <v>0.73536951567530284</v>
      </c>
      <c r="X267" s="51">
        <f t="shared" si="398"/>
        <v>0.93466207755960951</v>
      </c>
      <c r="Y267" s="51">
        <f t="shared" si="399"/>
        <v>0.87897158665857411</v>
      </c>
      <c r="Z267" s="51">
        <f t="shared" si="400"/>
        <v>0.34949951775879273</v>
      </c>
      <c r="AA267" s="51">
        <f t="shared" si="401"/>
        <v>0.21440871452154001</v>
      </c>
      <c r="AB267" s="51">
        <f t="shared" si="402"/>
        <v>0.14739061171692097</v>
      </c>
      <c r="AC267" s="51">
        <f t="shared" si="403"/>
        <v>0.2354686788432567</v>
      </c>
      <c r="AD267" s="62">
        <f t="shared" si="404"/>
        <v>8.6218225635227283E-2</v>
      </c>
      <c r="AE267" s="699"/>
      <c r="AF267" s="701">
        <f t="shared" si="384"/>
        <v>5.5620969416618454E-2</v>
      </c>
      <c r="AG267" s="698"/>
      <c r="AH267" s="700"/>
      <c r="AI267" s="701">
        <f t="shared" si="385"/>
        <v>0.44262785814591188</v>
      </c>
      <c r="AJ267" s="699"/>
      <c r="AK267" s="678">
        <f t="shared" si="405"/>
        <v>1.0778891355413334</v>
      </c>
      <c r="AL267" s="51">
        <f t="shared" si="406"/>
        <v>-0.14360207098327127</v>
      </c>
      <c r="AM267" s="827">
        <f t="shared" ref="AM267:AV267" si="503">AM84</f>
        <v>2976539</v>
      </c>
      <c r="AN267" s="827">
        <f t="shared" si="503"/>
        <v>2988596</v>
      </c>
      <c r="AO267" s="827">
        <f t="shared" si="503"/>
        <v>2449207</v>
      </c>
      <c r="AP267" s="827">
        <f t="shared" si="503"/>
        <v>339026</v>
      </c>
      <c r="AQ267" s="827">
        <f t="shared" si="503"/>
        <v>651662</v>
      </c>
      <c r="AR267" s="827">
        <f t="shared" si="503"/>
        <v>6352551</v>
      </c>
      <c r="AS267" s="827">
        <f t="shared" si="503"/>
        <v>6141488</v>
      </c>
      <c r="AT267" s="827">
        <f t="shared" si="503"/>
        <v>5921250</v>
      </c>
      <c r="AU267" s="827">
        <f t="shared" si="503"/>
        <v>4454944</v>
      </c>
      <c r="AV267" s="827">
        <f t="shared" si="503"/>
        <v>4079831</v>
      </c>
      <c r="AW267" s="829">
        <f t="shared" ref="AW267:BB267" si="504">AW84</f>
        <v>-6.8419255601518791E-2</v>
      </c>
      <c r="AX267" s="829">
        <f t="shared" si="504"/>
        <v>-7.018090463089996E-2</v>
      </c>
      <c r="AY267" s="829">
        <f t="shared" si="504"/>
        <v>5.9060164661177963E-3</v>
      </c>
      <c r="AZ267" s="829">
        <f t="shared" si="504"/>
        <v>-0.1119810249325017</v>
      </c>
      <c r="BA267" s="829">
        <f t="shared" si="504"/>
        <v>-0.12585049058532699</v>
      </c>
      <c r="BB267" s="829">
        <f t="shared" si="504"/>
        <v>8.1216306064416776E-3</v>
      </c>
    </row>
    <row r="268" spans="1:54" s="684" customFormat="1" ht="15" customHeight="1">
      <c r="A268" s="449">
        <v>2015</v>
      </c>
      <c r="B268" s="449"/>
      <c r="C268" s="50"/>
      <c r="D268" s="51"/>
      <c r="E268" s="51"/>
      <c r="F268" s="51"/>
      <c r="G268" s="51"/>
      <c r="H268" s="51"/>
      <c r="I268" s="536" t="s">
        <v>0</v>
      </c>
      <c r="J268" s="524">
        <v>0</v>
      </c>
      <c r="K268" s="543">
        <f t="shared" ref="K268:O268" si="505">LN(K85)</f>
        <v>7.3975615355240523</v>
      </c>
      <c r="L268" s="543">
        <f t="shared" si="505"/>
        <v>8.5841038966988634</v>
      </c>
      <c r="M268" s="543">
        <f t="shared" si="505"/>
        <v>2.0794415416798357</v>
      </c>
      <c r="N268" s="543" t="e">
        <f t="shared" si="505"/>
        <v>#NUM!</v>
      </c>
      <c r="O268" s="543">
        <f t="shared" si="505"/>
        <v>7.5883236773352225</v>
      </c>
      <c r="P268" s="149">
        <f t="shared" si="390"/>
        <v>-2.2922794117647061</v>
      </c>
      <c r="Q268" s="149">
        <f t="shared" si="391"/>
        <v>-2.1947250280583614</v>
      </c>
      <c r="R268" s="149">
        <f t="shared" si="392"/>
        <v>-102.375</v>
      </c>
      <c r="S268" s="149" t="e">
        <f t="shared" si="393"/>
        <v>#DIV/0!</v>
      </c>
      <c r="T268" s="149">
        <f t="shared" si="394"/>
        <v>-1.5924050632911393</v>
      </c>
      <c r="U268" s="51">
        <f t="shared" si="395"/>
        <v>1.5600757751090767E-3</v>
      </c>
      <c r="V268" s="51">
        <f t="shared" si="396"/>
        <v>7.5509644391626288E-2</v>
      </c>
      <c r="W268" s="51">
        <f t="shared" si="397"/>
        <v>0.60982015415358259</v>
      </c>
      <c r="X268" s="51">
        <f t="shared" si="398"/>
        <v>0.56578263130525219</v>
      </c>
      <c r="Y268" s="51">
        <f t="shared" si="399"/>
        <v>0.47588281712369301</v>
      </c>
      <c r="Z268" s="51">
        <f t="shared" si="400"/>
        <v>1.39892509064726E-2</v>
      </c>
      <c r="AA268" s="51">
        <f t="shared" si="401"/>
        <v>9.7742023951001011E-2</v>
      </c>
      <c r="AB268" s="51">
        <f t="shared" si="402"/>
        <v>4.5675135598058808E-4</v>
      </c>
      <c r="AC268" s="51">
        <f t="shared" si="403"/>
        <v>0</v>
      </c>
      <c r="AD268" s="62">
        <f t="shared" si="404"/>
        <v>9.7405799960544492E-2</v>
      </c>
      <c r="AE268" s="699"/>
      <c r="AF268" s="701">
        <f t="shared" si="384"/>
        <v>0.10834956898258219</v>
      </c>
      <c r="AG268" s="698"/>
      <c r="AH268" s="700"/>
      <c r="AI268" s="701">
        <f t="shared" si="385"/>
        <v>0.17611985977388897</v>
      </c>
      <c r="AJ268" s="699"/>
      <c r="AK268" s="678">
        <f t="shared" si="405"/>
        <v>-5.5088821356553863</v>
      </c>
      <c r="AL268" s="51">
        <f t="shared" si="406"/>
        <v>0.13393733702988958</v>
      </c>
      <c r="AM268" s="827">
        <f t="shared" ref="AM268:AV268" si="506">AM85</f>
        <v>116479</v>
      </c>
      <c r="AN268" s="827">
        <f t="shared" si="506"/>
        <v>50565</v>
      </c>
      <c r="AO268" s="827">
        <f t="shared" si="506"/>
        <v>6835</v>
      </c>
      <c r="AP268" s="827">
        <f t="shared" si="506"/>
        <v>7515</v>
      </c>
      <c r="AQ268" s="827">
        <f t="shared" si="506"/>
        <v>10627</v>
      </c>
      <c r="AR268" s="827">
        <f t="shared" si="506"/>
        <v>0</v>
      </c>
      <c r="AS268" s="827">
        <f t="shared" si="506"/>
        <v>1425</v>
      </c>
      <c r="AT268" s="827">
        <f t="shared" si="506"/>
        <v>9455</v>
      </c>
      <c r="AU268" s="827">
        <f t="shared" si="506"/>
        <v>8513</v>
      </c>
      <c r="AV268" s="827">
        <f t="shared" si="506"/>
        <v>8953</v>
      </c>
      <c r="AW268" s="829">
        <f t="shared" ref="AW268:BB268" si="507">AW85</f>
        <v>-0.35127890092706354</v>
      </c>
      <c r="AX268" s="829">
        <f t="shared" si="507"/>
        <v>-0.1767884412075649</v>
      </c>
      <c r="AY268" s="829">
        <f t="shared" si="507"/>
        <v>-8.6620835536753038E-2</v>
      </c>
      <c r="AZ268" s="829">
        <f t="shared" si="507"/>
        <v>-0.32227708202038052</v>
      </c>
      <c r="BA268" s="829">
        <f t="shared" si="507"/>
        <v>-0.18698286336768216</v>
      </c>
      <c r="BB268" s="829">
        <f t="shared" si="507"/>
        <v>-9.9577366086324448E-2</v>
      </c>
    </row>
    <row r="269" spans="1:54" s="684" customFormat="1" ht="15" customHeight="1">
      <c r="A269" s="449">
        <v>2015</v>
      </c>
      <c r="B269" s="449"/>
      <c r="C269" s="50"/>
      <c r="D269" s="51"/>
      <c r="E269" s="51"/>
      <c r="F269" s="51"/>
      <c r="G269" s="51"/>
      <c r="H269" s="51"/>
      <c r="I269" s="536" t="s">
        <v>0</v>
      </c>
      <c r="J269" s="524">
        <v>0</v>
      </c>
      <c r="K269" s="543">
        <f t="shared" ref="K269:O269" si="508">LN(K86)</f>
        <v>13.689039893910325</v>
      </c>
      <c r="L269" s="543">
        <f t="shared" si="508"/>
        <v>13.639846788834387</v>
      </c>
      <c r="M269" s="543">
        <f t="shared" si="508"/>
        <v>13.546715661230975</v>
      </c>
      <c r="N269" s="543">
        <f t="shared" si="508"/>
        <v>13.776665774140707</v>
      </c>
      <c r="O269" s="543">
        <f t="shared" si="508"/>
        <v>14.190172756917393</v>
      </c>
      <c r="P269" s="149">
        <f t="shared" si="390"/>
        <v>-9.9750340444847929E-2</v>
      </c>
      <c r="Q269" s="149">
        <f t="shared" si="391"/>
        <v>-0.62391226606270112</v>
      </c>
      <c r="R269" s="149">
        <f t="shared" si="392"/>
        <v>-0.38466570718304333</v>
      </c>
      <c r="S269" s="149">
        <f t="shared" si="393"/>
        <v>-0.54880964757251272</v>
      </c>
      <c r="T269" s="149">
        <f t="shared" si="394"/>
        <v>-3.4994843588862151E-2</v>
      </c>
      <c r="U269" s="51">
        <f t="shared" si="395"/>
        <v>0.69733310969473328</v>
      </c>
      <c r="V269" s="51">
        <f t="shared" si="396"/>
        <v>0.64576284839697118</v>
      </c>
      <c r="W269" s="51">
        <f t="shared" si="397"/>
        <v>0.51742988995385164</v>
      </c>
      <c r="X269" s="51">
        <f t="shared" si="398"/>
        <v>0.4977179918328129</v>
      </c>
      <c r="Y269" s="51">
        <f t="shared" si="399"/>
        <v>0.46629245018243054</v>
      </c>
      <c r="Z269" s="51">
        <f t="shared" si="400"/>
        <v>0.36950687688695066</v>
      </c>
      <c r="AA269" s="51">
        <f t="shared" si="401"/>
        <v>0.33788464636700499</v>
      </c>
      <c r="AB269" s="51">
        <f t="shared" si="402"/>
        <v>0.27131700390486335</v>
      </c>
      <c r="AC269" s="51">
        <f t="shared" si="403"/>
        <v>0.33008476030335265</v>
      </c>
      <c r="AD269" s="62">
        <f t="shared" si="404"/>
        <v>0.40822340724108896</v>
      </c>
      <c r="AE269" s="699"/>
      <c r="AF269" s="701">
        <f t="shared" si="384"/>
        <v>-9.0080632892134485E-2</v>
      </c>
      <c r="AG269" s="698"/>
      <c r="AH269" s="700"/>
      <c r="AI269" s="701">
        <f t="shared" si="385"/>
        <v>-0.18950495154603397</v>
      </c>
      <c r="AJ269" s="699"/>
      <c r="AK269" s="678">
        <f t="shared" si="405"/>
        <v>-0.64345709568641796</v>
      </c>
      <c r="AL269" s="51">
        <f t="shared" si="406"/>
        <v>5.11374397714211E-2</v>
      </c>
      <c r="AM269" s="827">
        <f t="shared" ref="AM269:AV269" si="509">AM86</f>
        <v>7218</v>
      </c>
      <c r="AN269" s="827">
        <f t="shared" si="509"/>
        <v>8795</v>
      </c>
      <c r="AO269" s="827">
        <f t="shared" si="509"/>
        <v>1359400</v>
      </c>
      <c r="AP269" s="827">
        <f t="shared" si="509"/>
        <v>1463700</v>
      </c>
      <c r="AQ269" s="827">
        <f t="shared" si="509"/>
        <v>1901600</v>
      </c>
      <c r="AR269" s="827">
        <f t="shared" si="509"/>
        <v>1237900</v>
      </c>
      <c r="AS269" s="827">
        <f t="shared" si="509"/>
        <v>1236100</v>
      </c>
      <c r="AT269" s="827">
        <f t="shared" si="509"/>
        <v>1211200</v>
      </c>
      <c r="AU269" s="827">
        <f t="shared" si="509"/>
        <v>1152000</v>
      </c>
      <c r="AV269" s="827">
        <f t="shared" si="509"/>
        <v>1251600</v>
      </c>
      <c r="AW269" s="829">
        <f t="shared" ref="AW269:BB269" si="510">AW86</f>
        <v>-4.0667945030361141E-2</v>
      </c>
      <c r="AX269" s="829">
        <f t="shared" si="510"/>
        <v>-0.4582465277777778</v>
      </c>
      <c r="AY269" s="829">
        <f t="shared" si="510"/>
        <v>-0.24273447820343461</v>
      </c>
      <c r="AZ269" s="829">
        <f t="shared" si="510"/>
        <v>-3.3248870017805784E-2</v>
      </c>
      <c r="BA269" s="829">
        <f t="shared" si="510"/>
        <v>-0.40923124254105525</v>
      </c>
      <c r="BB269" s="829">
        <f t="shared" si="510"/>
        <v>-0.22996442152265756</v>
      </c>
    </row>
    <row r="270" spans="1:54" s="684" customFormat="1" ht="15" customHeight="1">
      <c r="A270" s="449">
        <v>2015</v>
      </c>
      <c r="B270" s="449"/>
      <c r="C270" s="50"/>
      <c r="D270" s="51"/>
      <c r="E270" s="51"/>
      <c r="F270" s="51"/>
      <c r="G270" s="51"/>
      <c r="H270" s="51"/>
      <c r="I270" s="536" t="s">
        <v>0</v>
      </c>
      <c r="J270" s="524">
        <v>0</v>
      </c>
      <c r="K270" s="543">
        <f t="shared" ref="K270:O270" si="511">LN(K87)</f>
        <v>7.5180641812330782</v>
      </c>
      <c r="L270" s="543">
        <f t="shared" si="511"/>
        <v>9.6064283182717496</v>
      </c>
      <c r="M270" s="543">
        <f t="shared" si="511"/>
        <v>9.0975075637018392</v>
      </c>
      <c r="N270" s="543">
        <f t="shared" si="511"/>
        <v>10.827686928478323</v>
      </c>
      <c r="O270" s="543">
        <f t="shared" si="511"/>
        <v>11.969546191322351</v>
      </c>
      <c r="P270" s="149">
        <f t="shared" si="390"/>
        <v>-8.9386203150461707</v>
      </c>
      <c r="Q270" s="149">
        <f t="shared" si="391"/>
        <v>-2.5901749663526243</v>
      </c>
      <c r="R270" s="149">
        <f t="shared" si="392"/>
        <v>3.7661479905966639</v>
      </c>
      <c r="S270" s="149">
        <f t="shared" si="393"/>
        <v>1.4324463757763359</v>
      </c>
      <c r="T270" s="149">
        <f t="shared" si="394"/>
        <v>-2.482533428768694</v>
      </c>
      <c r="U270" s="51">
        <f t="shared" si="395"/>
        <v>1.0462047529937113</v>
      </c>
      <c r="V270" s="51">
        <f t="shared" si="396"/>
        <v>0.84656547879610855</v>
      </c>
      <c r="W270" s="51">
        <f t="shared" si="397"/>
        <v>0.73024715992231359</v>
      </c>
      <c r="X270" s="51">
        <f t="shared" si="398"/>
        <v>0.93676293063422789</v>
      </c>
      <c r="Y270" s="51">
        <f t="shared" si="399"/>
        <v>1.2209700305460256</v>
      </c>
      <c r="Z270" s="51">
        <f t="shared" si="400"/>
        <v>1.4785842214744079E-2</v>
      </c>
      <c r="AA270" s="51">
        <f t="shared" si="401"/>
        <v>0.13275324512895648</v>
      </c>
      <c r="AB270" s="51">
        <f t="shared" si="402"/>
        <v>4.7532391518344111E-2</v>
      </c>
      <c r="AC270" s="51">
        <f t="shared" si="403"/>
        <v>0.19499257126938435</v>
      </c>
      <c r="AD270" s="62">
        <f t="shared" si="404"/>
        <v>0.32278398194226926</v>
      </c>
      <c r="AE270" s="699"/>
      <c r="AF270" s="701">
        <f t="shared" si="384"/>
        <v>0.98033604624781934</v>
      </c>
      <c r="AG270" s="698"/>
      <c r="AH270" s="700"/>
      <c r="AI270" s="701">
        <f t="shared" si="385"/>
        <v>-2.9627944636384407</v>
      </c>
      <c r="AJ270" s="699"/>
      <c r="AK270" s="678">
        <f t="shared" si="405"/>
        <v>-2.8720386276205123</v>
      </c>
      <c r="AL270" s="51">
        <f t="shared" si="406"/>
        <v>-0.490722870623712</v>
      </c>
      <c r="AM270" s="827">
        <f t="shared" ref="AM270:AV270" si="512">AM87</f>
        <v>-5754</v>
      </c>
      <c r="AN270" s="827">
        <f t="shared" si="512"/>
        <v>17174</v>
      </c>
      <c r="AO270" s="827">
        <f t="shared" si="512"/>
        <v>50696</v>
      </c>
      <c r="AP270" s="827">
        <f t="shared" si="512"/>
        <v>16345</v>
      </c>
      <c r="AQ270" s="827">
        <f t="shared" si="512"/>
        <v>-108075</v>
      </c>
      <c r="AR270" s="827">
        <f t="shared" si="512"/>
        <v>68354</v>
      </c>
      <c r="AS270" s="827">
        <f t="shared" si="512"/>
        <v>72229</v>
      </c>
      <c r="AT270" s="827">
        <f t="shared" si="512"/>
        <v>129466</v>
      </c>
      <c r="AU270" s="827">
        <f t="shared" si="512"/>
        <v>157208</v>
      </c>
      <c r="AV270" s="827">
        <f t="shared" si="512"/>
        <v>82369</v>
      </c>
      <c r="AW270" s="829">
        <f t="shared" ref="AW270:BB270" si="513">AW87</f>
        <v>-4.7581614442326607</v>
      </c>
      <c r="AX270" s="829">
        <f t="shared" si="513"/>
        <v>0.45920691058979185</v>
      </c>
      <c r="AY270" s="829">
        <f t="shared" si="513"/>
        <v>0.25985973151252068</v>
      </c>
      <c r="AZ270" s="829">
        <f t="shared" si="513"/>
        <v>-6.6108810328751328</v>
      </c>
      <c r="BA270" s="829">
        <f t="shared" si="513"/>
        <v>0.70948166827253933</v>
      </c>
      <c r="BB270" s="829">
        <f t="shared" si="513"/>
        <v>0.36877585172025873</v>
      </c>
    </row>
    <row r="271" spans="1:54" ht="15" customHeight="1">
      <c r="A271" s="680">
        <v>2015</v>
      </c>
      <c r="B271" s="680"/>
      <c r="C271" s="751"/>
      <c r="D271" s="751"/>
      <c r="E271" s="751"/>
      <c r="F271" s="751"/>
      <c r="G271" s="751"/>
      <c r="H271" s="751"/>
      <c r="I271" s="751" t="s">
        <v>0</v>
      </c>
      <c r="J271" s="740" t="s">
        <v>545</v>
      </c>
      <c r="K271" s="748">
        <f t="shared" ref="K271:O271" si="514">LN(K88)</f>
        <v>9.470162947548884</v>
      </c>
      <c r="L271" s="748">
        <f t="shared" si="514"/>
        <v>8.7823228593975067</v>
      </c>
      <c r="M271" s="748">
        <f t="shared" si="514"/>
        <v>8.6053872021521531</v>
      </c>
      <c r="N271" s="748" t="e">
        <f t="shared" si="514"/>
        <v>#NUM!</v>
      </c>
      <c r="O271" s="748" t="e">
        <f t="shared" si="514"/>
        <v>#NUM!</v>
      </c>
      <c r="P271" s="751">
        <f t="shared" si="390"/>
        <v>-0.54831495334310176</v>
      </c>
      <c r="Q271" s="751">
        <f t="shared" si="391"/>
        <v>-5.5710340595274621</v>
      </c>
      <c r="R271" s="751">
        <f t="shared" si="392"/>
        <v>-11.350851492400659</v>
      </c>
      <c r="S271" s="751" t="e">
        <f t="shared" si="393"/>
        <v>#DIV/0!</v>
      </c>
      <c r="T271" s="751" t="e">
        <f t="shared" si="394"/>
        <v>#DIV/0!</v>
      </c>
      <c r="U271" s="751">
        <f t="shared" si="395"/>
        <v>0.62967286917165777</v>
      </c>
      <c r="V271" s="751">
        <f t="shared" si="396"/>
        <v>0.50876396846105854</v>
      </c>
      <c r="W271" s="751">
        <f t="shared" si="397"/>
        <v>7.4827151663771671E-2</v>
      </c>
      <c r="X271" s="751">
        <f t="shared" si="398"/>
        <v>6.0167164801556962E-2</v>
      </c>
      <c r="Y271" s="751">
        <f t="shared" si="399"/>
        <v>3.8359865682014507E-2</v>
      </c>
      <c r="Z271" s="751">
        <f t="shared" si="400"/>
        <v>0.10368871794461726</v>
      </c>
      <c r="AA271" s="751">
        <f t="shared" si="401"/>
        <v>0.18486584604912359</v>
      </c>
      <c r="AB271" s="751">
        <f t="shared" si="402"/>
        <v>9.2997513708661148E-2</v>
      </c>
      <c r="AC271" s="751">
        <f t="shared" si="403"/>
        <v>0</v>
      </c>
      <c r="AD271" s="737">
        <f t="shared" si="404"/>
        <v>0</v>
      </c>
      <c r="AE271" s="709"/>
      <c r="AF271" s="832">
        <f t="shared" si="384"/>
        <v>-0.97747180636721254</v>
      </c>
      <c r="AG271" s="764"/>
      <c r="AH271" s="742"/>
      <c r="AI271" s="832">
        <f t="shared" si="385"/>
        <v>-1.0597312919806232</v>
      </c>
      <c r="AJ271" s="709"/>
      <c r="AK271" s="759" t="e">
        <f t="shared" si="405"/>
        <v>#DIV/0!</v>
      </c>
      <c r="AL271" s="751">
        <f t="shared" si="406"/>
        <v>3.6467285981757164E-2</v>
      </c>
      <c r="AM271" s="831">
        <f t="shared" ref="AM271:AV271" si="515">AM88</f>
        <v>46312</v>
      </c>
      <c r="AN271" s="831">
        <f t="shared" si="515"/>
        <v>17320</v>
      </c>
      <c r="AO271" s="831">
        <f t="shared" si="515"/>
        <v>54328</v>
      </c>
      <c r="AP271" s="831">
        <f t="shared" si="515"/>
        <v>108171</v>
      </c>
      <c r="AQ271" s="831">
        <f t="shared" si="515"/>
        <v>148057</v>
      </c>
      <c r="AR271" s="831">
        <f t="shared" si="515"/>
        <v>55925</v>
      </c>
      <c r="AS271" s="831">
        <f t="shared" si="515"/>
        <v>11128</v>
      </c>
      <c r="AT271" s="831">
        <f t="shared" si="515"/>
        <v>2013</v>
      </c>
      <c r="AU271" s="831">
        <f t="shared" si="515"/>
        <v>6232</v>
      </c>
      <c r="AV271" s="831">
        <f t="shared" si="515"/>
        <v>4376</v>
      </c>
      <c r="AW271" s="830">
        <f t="shared" ref="AW271:BB271" si="516">AW88</f>
        <v>-2.7488574040219378</v>
      </c>
      <c r="AX271" s="830">
        <f t="shared" si="516"/>
        <v>-6.3037548138639279</v>
      </c>
      <c r="AY271" s="830">
        <f t="shared" si="516"/>
        <v>-30.793343268753105</v>
      </c>
      <c r="AZ271" s="830">
        <f t="shared" si="516"/>
        <v>-0.18357496169958731</v>
      </c>
      <c r="BA271" s="830">
        <f t="shared" si="516"/>
        <v>-0.72060281926398573</v>
      </c>
      <c r="BB271" s="830">
        <f t="shared" si="516"/>
        <v>-3.3597791342750782</v>
      </c>
    </row>
    <row r="272" spans="1:54" ht="15" customHeight="1">
      <c r="A272" s="449">
        <v>2015</v>
      </c>
      <c r="B272" s="449"/>
      <c r="C272" s="51"/>
      <c r="D272" s="51"/>
      <c r="E272" s="51"/>
      <c r="F272" s="51"/>
      <c r="G272" s="51"/>
      <c r="H272" s="51"/>
      <c r="I272" s="536" t="s">
        <v>0</v>
      </c>
      <c r="J272" s="524" t="s">
        <v>546</v>
      </c>
      <c r="K272" s="543">
        <f t="shared" ref="K272:O272" si="517">LN(K89)</f>
        <v>9.6280633774798492</v>
      </c>
      <c r="L272" s="543">
        <f t="shared" si="517"/>
        <v>9.2786530121582693</v>
      </c>
      <c r="M272" s="543">
        <f t="shared" si="517"/>
        <v>8.8239423265852448</v>
      </c>
      <c r="N272" s="543">
        <f t="shared" si="517"/>
        <v>8.7125954877487217</v>
      </c>
      <c r="O272" s="543">
        <f t="shared" si="517"/>
        <v>10.332441296713197</v>
      </c>
      <c r="P272" s="149">
        <f t="shared" si="390"/>
        <v>28.19947316430688</v>
      </c>
      <c r="Q272" s="149">
        <f t="shared" si="391"/>
        <v>10.650602409638553</v>
      </c>
      <c r="R272" s="149">
        <f t="shared" si="392"/>
        <v>-17.649006622516556</v>
      </c>
      <c r="S272" s="149">
        <f t="shared" si="393"/>
        <v>8.7970060865273894</v>
      </c>
      <c r="T272" s="149">
        <f t="shared" si="394"/>
        <v>-5.0336990850779797</v>
      </c>
      <c r="U272" s="51">
        <f t="shared" si="395"/>
        <v>0.5174213589609119</v>
      </c>
      <c r="V272" s="51">
        <f t="shared" si="396"/>
        <v>0.71799714597498532</v>
      </c>
      <c r="W272" s="51">
        <f t="shared" si="397"/>
        <v>0.81303698196095342</v>
      </c>
      <c r="X272" s="51">
        <f t="shared" si="398"/>
        <v>0.63373575014361716</v>
      </c>
      <c r="Y272" s="51">
        <f t="shared" si="399"/>
        <v>0.88033710796112286</v>
      </c>
      <c r="Z272" s="51">
        <f t="shared" si="400"/>
        <v>1.2214014304513032E-2</v>
      </c>
      <c r="AA272" s="51">
        <f t="shared" si="401"/>
        <v>1.361766748319254E-2</v>
      </c>
      <c r="AB272" s="51">
        <f t="shared" si="402"/>
        <v>9.6417306019589959E-3</v>
      </c>
      <c r="AC272" s="51">
        <f t="shared" si="403"/>
        <v>8.7743607952495192E-3</v>
      </c>
      <c r="AD272" s="62">
        <f t="shared" si="404"/>
        <v>4.3305993014753054E-2</v>
      </c>
      <c r="AE272" s="699"/>
      <c r="AF272" s="701">
        <f t="shared" si="384"/>
        <v>4.7822370170261003E-2</v>
      </c>
      <c r="AG272" s="698"/>
      <c r="AH272" s="700"/>
      <c r="AI272" s="701">
        <f t="shared" si="385"/>
        <v>0.91153159844779019</v>
      </c>
      <c r="AJ272" s="699"/>
      <c r="AK272" s="678">
        <f t="shared" si="405"/>
        <v>-1.5084989701279525</v>
      </c>
      <c r="AL272" s="51">
        <f t="shared" si="406"/>
        <v>-6.7300126000169436E-2</v>
      </c>
      <c r="AM272" s="827">
        <f t="shared" ref="AM272:AV272" si="518">AM89</f>
        <v>599963</v>
      </c>
      <c r="AN272" s="827">
        <f t="shared" si="518"/>
        <v>221727</v>
      </c>
      <c r="AO272" s="827">
        <f t="shared" si="518"/>
        <v>131762</v>
      </c>
      <c r="AP272" s="827">
        <f t="shared" si="518"/>
        <v>253753</v>
      </c>
      <c r="AQ272" s="827">
        <f t="shared" si="518"/>
        <v>84866</v>
      </c>
      <c r="AR272" s="827">
        <f t="shared" si="518"/>
        <v>644000</v>
      </c>
      <c r="AS272" s="827">
        <f t="shared" si="518"/>
        <v>419000</v>
      </c>
      <c r="AT272" s="827">
        <f t="shared" si="518"/>
        <v>529000</v>
      </c>
      <c r="AU272" s="827">
        <f t="shared" si="518"/>
        <v>448000</v>
      </c>
      <c r="AV272" s="827">
        <f t="shared" si="518"/>
        <v>349000</v>
      </c>
      <c r="AW272" s="829">
        <f t="shared" ref="AW272:BB272" si="519">AW89</f>
        <v>-0.44297994269340973</v>
      </c>
      <c r="AX272" s="829">
        <f t="shared" si="519"/>
        <v>0.11936830357142857</v>
      </c>
      <c r="AY272" s="829">
        <f t="shared" si="519"/>
        <v>-0.22670132325141776</v>
      </c>
      <c r="AZ272" s="829">
        <f t="shared" si="519"/>
        <v>-0.60796101905225619</v>
      </c>
      <c r="BA272" s="829">
        <f t="shared" si="519"/>
        <v>0.1528360667284076</v>
      </c>
      <c r="BB272" s="829">
        <f t="shared" si="519"/>
        <v>-0.35448352690938206</v>
      </c>
    </row>
    <row r="273" spans="1:54" ht="15" customHeight="1">
      <c r="A273" s="449">
        <v>2014</v>
      </c>
      <c r="B273" s="449"/>
      <c r="C273" s="50"/>
      <c r="D273" s="51"/>
      <c r="E273" s="51"/>
      <c r="F273" s="51"/>
      <c r="G273" s="51"/>
      <c r="H273" s="51"/>
      <c r="I273" s="51" t="s">
        <v>137</v>
      </c>
      <c r="J273" s="524" t="s">
        <v>547</v>
      </c>
      <c r="K273" s="543">
        <f t="shared" ref="K273:O273" si="520">LN(K90)</f>
        <v>11.003119417892567</v>
      </c>
      <c r="L273" s="543">
        <f t="shared" si="520"/>
        <v>10.819787768465309</v>
      </c>
      <c r="M273" s="543">
        <f t="shared" si="520"/>
        <v>10.687660782148676</v>
      </c>
      <c r="N273" s="543">
        <f t="shared" si="520"/>
        <v>10.962975013753775</v>
      </c>
      <c r="O273" s="543">
        <f t="shared" si="520"/>
        <v>10.906822521078361</v>
      </c>
      <c r="P273" s="149">
        <f t="shared" si="390"/>
        <v>-4.1789708991882737E-2</v>
      </c>
      <c r="Q273" s="149">
        <f t="shared" si="391"/>
        <v>-4.6687381692203288E-2</v>
      </c>
      <c r="R273" s="149">
        <f t="shared" si="392"/>
        <v>-0.29995548359839969</v>
      </c>
      <c r="S273" s="149">
        <f t="shared" si="393"/>
        <v>-3.2507897967911488E-2</v>
      </c>
      <c r="T273" s="149">
        <f t="shared" si="394"/>
        <v>-0.41480445619500378</v>
      </c>
      <c r="U273" s="51">
        <f t="shared" si="395"/>
        <v>0.49747900066356282</v>
      </c>
      <c r="V273" s="51">
        <f t="shared" si="396"/>
        <v>0.41748435581903648</v>
      </c>
      <c r="W273" s="51">
        <f t="shared" si="397"/>
        <v>0.49486439192697246</v>
      </c>
      <c r="X273" s="51">
        <f t="shared" si="398"/>
        <v>0.43296824991339911</v>
      </c>
      <c r="Y273" s="51">
        <f t="shared" si="399"/>
        <v>0.41227826975661996</v>
      </c>
      <c r="Z273" s="51">
        <f t="shared" si="400"/>
        <v>0.53527726676844889</v>
      </c>
      <c r="AA273" s="51">
        <f t="shared" si="401"/>
        <v>0.50299110751818921</v>
      </c>
      <c r="AB273" s="51">
        <f t="shared" si="402"/>
        <v>0.48441324407255504</v>
      </c>
      <c r="AC273" s="51">
        <f t="shared" si="403"/>
        <v>0.48474420309141708</v>
      </c>
      <c r="AD273" s="62">
        <f t="shared" si="404"/>
        <v>0.43539176193660267</v>
      </c>
      <c r="AE273" s="699"/>
      <c r="AF273" s="701">
        <f t="shared" si="384"/>
        <v>3.5300034154644139E-2</v>
      </c>
      <c r="AG273" s="698"/>
      <c r="AH273" s="700"/>
      <c r="AI273" s="701">
        <f t="shared" si="385"/>
        <v>1.9642138097104855E-2</v>
      </c>
      <c r="AJ273" s="699"/>
      <c r="AK273" s="678">
        <f t="shared" si="405"/>
        <v>-0.21916173892968488</v>
      </c>
      <c r="AL273" s="51">
        <f t="shared" si="406"/>
        <v>8.2586122170352494E-2</v>
      </c>
      <c r="AM273" s="827">
        <f t="shared" ref="AM273:AV273" si="521">AM90</f>
        <v>56385.763104000005</v>
      </c>
      <c r="AN273" s="827">
        <f t="shared" si="521"/>
        <v>57905.712458000002</v>
      </c>
      <c r="AO273" s="827">
        <f t="shared" si="521"/>
        <v>45686.099115999998</v>
      </c>
      <c r="AP273" s="827">
        <f t="shared" si="521"/>
        <v>67492.3122</v>
      </c>
      <c r="AQ273" s="827">
        <f t="shared" si="521"/>
        <v>73631.623615999997</v>
      </c>
      <c r="AR273" s="827">
        <f t="shared" si="521"/>
        <v>26143.234172</v>
      </c>
      <c r="AS273" s="827">
        <f t="shared" si="521"/>
        <v>33536.396729</v>
      </c>
      <c r="AT273" s="827">
        <f t="shared" si="521"/>
        <v>20782.885574</v>
      </c>
      <c r="AU273" s="827">
        <f t="shared" si="521"/>
        <v>30654.748395000002</v>
      </c>
      <c r="AV273" s="827">
        <f t="shared" si="521"/>
        <v>3385.2484939999999</v>
      </c>
      <c r="AW273" s="829">
        <f t="shared" ref="AW273:BB273" si="522">AW90</f>
        <v>-6.6838346242832714</v>
      </c>
      <c r="AX273" s="829">
        <f t="shared" si="522"/>
        <v>-6.1185806056262691E-2</v>
      </c>
      <c r="AY273" s="829">
        <f t="shared" si="522"/>
        <v>-0.63232894398651518</v>
      </c>
      <c r="AZ273" s="829">
        <f t="shared" si="522"/>
        <v>-2.9362022172807922</v>
      </c>
      <c r="BA273" s="829">
        <f t="shared" si="522"/>
        <v>-4.2249526462353068E-2</v>
      </c>
      <c r="BB273" s="829">
        <f t="shared" si="522"/>
        <v>-0.45821948725096429</v>
      </c>
    </row>
    <row r="274" spans="1:54" ht="15" customHeight="1">
      <c r="A274" s="449">
        <v>2014</v>
      </c>
      <c r="B274" s="449"/>
      <c r="C274" s="50"/>
      <c r="D274" s="51"/>
      <c r="E274" s="51"/>
      <c r="F274" s="51"/>
      <c r="G274" s="51"/>
      <c r="H274" s="51"/>
      <c r="I274" s="51" t="s">
        <v>137</v>
      </c>
      <c r="J274" s="524" t="s">
        <v>548</v>
      </c>
      <c r="K274" s="543">
        <f t="shared" ref="K274:O274" si="523">LN(K91)</f>
        <v>12.001971027846302</v>
      </c>
      <c r="L274" s="543">
        <f t="shared" si="523"/>
        <v>12.08273882334818</v>
      </c>
      <c r="M274" s="543">
        <f t="shared" si="523"/>
        <v>12.206712870542397</v>
      </c>
      <c r="N274" s="543">
        <f t="shared" si="523"/>
        <v>11.86382018857606</v>
      </c>
      <c r="O274" s="543">
        <f t="shared" si="523"/>
        <v>11.89755070771675</v>
      </c>
      <c r="P274" s="149">
        <f t="shared" si="390"/>
        <v>0.31625835189309576</v>
      </c>
      <c r="Q274" s="149">
        <f t="shared" si="391"/>
        <v>0.41548821548821546</v>
      </c>
      <c r="R274" s="149">
        <f t="shared" si="392"/>
        <v>0.21353196772191185</v>
      </c>
      <c r="S274" s="149">
        <f t="shared" si="393"/>
        <v>-6.1197041022192332E-2</v>
      </c>
      <c r="T274" s="149">
        <f t="shared" si="394"/>
        <v>0.12772369031061659</v>
      </c>
      <c r="U274" s="51">
        <f t="shared" si="395"/>
        <v>0.64280094413847366</v>
      </c>
      <c r="V274" s="51">
        <f t="shared" si="396"/>
        <v>0.59742351046698872</v>
      </c>
      <c r="W274" s="51">
        <f t="shared" si="397"/>
        <v>0.66954153427144802</v>
      </c>
      <c r="X274" s="51">
        <f t="shared" si="398"/>
        <v>0.67698218651763886</v>
      </c>
      <c r="Y274" s="51">
        <f t="shared" si="399"/>
        <v>0.57328547622099724</v>
      </c>
      <c r="Z274" s="51">
        <f t="shared" si="400"/>
        <v>0.26494885916601102</v>
      </c>
      <c r="AA274" s="51">
        <f t="shared" si="401"/>
        <v>0.34161490683229817</v>
      </c>
      <c r="AB274" s="51">
        <f t="shared" si="402"/>
        <v>0.36563776668179754</v>
      </c>
      <c r="AC274" s="51">
        <f t="shared" si="403"/>
        <v>0.20775410408662245</v>
      </c>
      <c r="AD274" s="62">
        <f t="shared" si="404"/>
        <v>0.22120240994744261</v>
      </c>
      <c r="AE274" s="699"/>
      <c r="AF274" s="701">
        <f t="shared" si="384"/>
        <v>4.9822563688920303E-2</v>
      </c>
      <c r="AG274" s="698"/>
      <c r="AH274" s="700"/>
      <c r="AI274" s="701">
        <f t="shared" si="385"/>
        <v>0.17005369060163578</v>
      </c>
      <c r="AJ274" s="699"/>
      <c r="AK274" s="678">
        <f t="shared" si="405"/>
        <v>0.30916216282564668</v>
      </c>
      <c r="AL274" s="51">
        <f t="shared" si="406"/>
        <v>9.6256058050450788E-2</v>
      </c>
      <c r="AM274" s="827">
        <f t="shared" ref="AM274:AV274" si="524">AM91</f>
        <v>219855.856</v>
      </c>
      <c r="AN274" s="827">
        <f t="shared" si="524"/>
        <v>208342.75</v>
      </c>
      <c r="AO274" s="827">
        <f t="shared" si="524"/>
        <v>180873.05600000001</v>
      </c>
      <c r="AP274" s="827">
        <f t="shared" si="524"/>
        <v>220835.304</v>
      </c>
      <c r="AQ274" s="827">
        <f t="shared" si="524"/>
        <v>283392.39480000001</v>
      </c>
      <c r="AR274" s="827">
        <f t="shared" si="524"/>
        <v>200364.23</v>
      </c>
      <c r="AS274" s="827">
        <f t="shared" si="524"/>
        <v>120719.74200000001</v>
      </c>
      <c r="AT274" s="827">
        <f t="shared" si="524"/>
        <v>183854.48</v>
      </c>
      <c r="AU274" s="827">
        <f t="shared" si="524"/>
        <v>289177.71750000003</v>
      </c>
      <c r="AV274" s="827">
        <f t="shared" si="524"/>
        <v>199450.76380000002</v>
      </c>
      <c r="AW274" s="829">
        <f t="shared" ref="AW274:BB274" si="525">AW91</f>
        <v>9.4075465255250124E-2</v>
      </c>
      <c r="AX274" s="829">
        <f t="shared" si="525"/>
        <v>-3.0057803468208091E-2</v>
      </c>
      <c r="AY274" s="829">
        <f t="shared" si="525"/>
        <v>0.23243243243243242</v>
      </c>
      <c r="AZ274" s="829">
        <f t="shared" si="525"/>
        <v>8.2184886003657157E-2</v>
      </c>
      <c r="BA274" s="829">
        <f t="shared" si="525"/>
        <v>-3.3062533944142831E-2</v>
      </c>
      <c r="BB274" s="829">
        <f t="shared" si="525"/>
        <v>0.23369851921826501</v>
      </c>
    </row>
    <row r="275" spans="1:54" ht="15" customHeight="1">
      <c r="A275" s="449">
        <v>2014</v>
      </c>
      <c r="B275" s="449"/>
      <c r="C275" s="50"/>
      <c r="D275" s="51"/>
      <c r="E275" s="51"/>
      <c r="F275" s="51"/>
      <c r="G275" s="51"/>
      <c r="H275" s="51"/>
      <c r="I275" s="536" t="s">
        <v>549</v>
      </c>
      <c r="J275" s="524" t="s">
        <v>550</v>
      </c>
      <c r="K275" s="543">
        <f t="shared" ref="K275:O275" si="526">LN(K92)</f>
        <v>6.743388205070028</v>
      </c>
      <c r="L275" s="543">
        <f t="shared" si="526"/>
        <v>6.7582226599785233</v>
      </c>
      <c r="M275" s="543">
        <f t="shared" si="526"/>
        <v>6.9978764134930813</v>
      </c>
      <c r="N275" s="543">
        <f t="shared" si="526"/>
        <v>7.5338979964673314</v>
      </c>
      <c r="O275" s="543">
        <f t="shared" si="526"/>
        <v>7.5217171879984344</v>
      </c>
      <c r="P275" s="149">
        <f t="shared" si="390"/>
        <v>-1.6649543378995435</v>
      </c>
      <c r="Q275" s="149">
        <f t="shared" si="391"/>
        <v>-11.128439098575971</v>
      </c>
      <c r="R275" s="149">
        <f t="shared" si="392"/>
        <v>33.376433193325013</v>
      </c>
      <c r="S275" s="149">
        <f t="shared" si="393"/>
        <v>16.347774278662015</v>
      </c>
      <c r="T275" s="149">
        <f t="shared" si="394"/>
        <v>-4.8335790637670479</v>
      </c>
      <c r="U275" s="51">
        <f t="shared" si="395"/>
        <v>4.5461014624637183E-2</v>
      </c>
      <c r="V275" s="51">
        <f t="shared" si="396"/>
        <v>5.5001929494018574E-2</v>
      </c>
      <c r="W275" s="51">
        <f t="shared" si="397"/>
        <v>0.15109365193097052</v>
      </c>
      <c r="X275" s="51">
        <f t="shared" si="398"/>
        <v>0.14002342623025849</v>
      </c>
      <c r="Y275" s="51">
        <f t="shared" si="399"/>
        <v>6.9628777600817954E-3</v>
      </c>
      <c r="Z275" s="51">
        <f t="shared" si="400"/>
        <v>1.5111981334287896E-2</v>
      </c>
      <c r="AA275" s="51">
        <f t="shared" si="401"/>
        <v>1.4926235546851624E-2</v>
      </c>
      <c r="AB275" s="51">
        <f t="shared" si="402"/>
        <v>1.2232071939968562E-2</v>
      </c>
      <c r="AC275" s="51">
        <f t="shared" si="403"/>
        <v>1.9915685912224524E-2</v>
      </c>
      <c r="AD275" s="62">
        <f t="shared" si="404"/>
        <v>2.667177883953676E-2</v>
      </c>
      <c r="AE275" s="699"/>
      <c r="AF275" s="701">
        <f t="shared" si="384"/>
        <v>0.537183083712516</v>
      </c>
      <c r="AG275" s="698"/>
      <c r="AH275" s="700"/>
      <c r="AI275" s="701">
        <f t="shared" si="385"/>
        <v>0.61075221865014029</v>
      </c>
      <c r="AJ275" s="699"/>
      <c r="AK275" s="678">
        <f t="shared" si="405"/>
        <v>-0.52384077450535316</v>
      </c>
      <c r="AL275" s="51">
        <f t="shared" si="406"/>
        <v>0.14413077417088871</v>
      </c>
      <c r="AM275" s="827">
        <f t="shared" ref="AM275:AV275" si="527">AM92</f>
        <v>53590.591296000006</v>
      </c>
      <c r="AN275" s="827">
        <f t="shared" si="527"/>
        <v>54517.940290000006</v>
      </c>
      <c r="AO275" s="827">
        <f t="shared" si="527"/>
        <v>75944.943970000008</v>
      </c>
      <c r="AP275" s="827">
        <f t="shared" si="527"/>
        <v>80764.717740000007</v>
      </c>
      <c r="AQ275" s="827">
        <f t="shared" si="527"/>
        <v>68794.508413000003</v>
      </c>
      <c r="AR275" s="827">
        <f t="shared" si="527"/>
        <v>898030.17860600003</v>
      </c>
      <c r="AS275" s="827">
        <f t="shared" si="527"/>
        <v>625403.38600300008</v>
      </c>
      <c r="AT275" s="827">
        <f t="shared" si="527"/>
        <v>725827.30012200004</v>
      </c>
      <c r="AU275" s="827">
        <f t="shared" si="527"/>
        <v>547541.17321499996</v>
      </c>
      <c r="AV275" s="827">
        <f t="shared" si="527"/>
        <v>419107.11249000003</v>
      </c>
      <c r="AW275" s="829">
        <f t="shared" ref="AW275:BB275" si="528">AW92</f>
        <v>-2.1310030185214525E-2</v>
      </c>
      <c r="AX275" s="829">
        <f t="shared" si="528"/>
        <v>5.5843441819111682E-2</v>
      </c>
      <c r="AY275" s="829">
        <f t="shared" si="528"/>
        <v>5.0320591319534119E-2</v>
      </c>
      <c r="AZ275" s="829">
        <f t="shared" si="528"/>
        <v>-0.12906853092745313</v>
      </c>
      <c r="BA275" s="829">
        <f t="shared" si="528"/>
        <v>0.33339652795377767</v>
      </c>
      <c r="BB275" s="829">
        <f t="shared" si="528"/>
        <v>0.41586605383010039</v>
      </c>
    </row>
    <row r="276" spans="1:54" ht="15" customHeight="1">
      <c r="A276" s="449">
        <v>2014</v>
      </c>
      <c r="B276" s="449"/>
      <c r="C276" s="50"/>
      <c r="D276" s="51"/>
      <c r="E276" s="51"/>
      <c r="F276" s="51"/>
      <c r="G276" s="51"/>
      <c r="H276" s="51"/>
      <c r="I276" s="51" t="s">
        <v>549</v>
      </c>
      <c r="J276" s="524" t="s">
        <v>551</v>
      </c>
      <c r="K276" s="543">
        <f t="shared" ref="K276:O276" si="529">LN(K93)</f>
        <v>6.637044202395856</v>
      </c>
      <c r="L276" s="543">
        <f t="shared" si="529"/>
        <v>5.9377070400935166</v>
      </c>
      <c r="M276" s="543">
        <f t="shared" si="529"/>
        <v>5.6975712247193222</v>
      </c>
      <c r="N276" s="543">
        <f t="shared" si="529"/>
        <v>3.4606919534477951</v>
      </c>
      <c r="O276" s="543">
        <f t="shared" si="529"/>
        <v>3.2858583195679198</v>
      </c>
      <c r="P276" s="149">
        <f t="shared" si="390"/>
        <v>-5.1926678305030949</v>
      </c>
      <c r="Q276" s="149">
        <f t="shared" si="391"/>
        <v>-6.958542713567839</v>
      </c>
      <c r="R276" s="149">
        <f t="shared" si="392"/>
        <v>-4.9762500000000003</v>
      </c>
      <c r="S276" s="149">
        <f t="shared" si="393"/>
        <v>37.604999999999997</v>
      </c>
      <c r="T276" s="149">
        <f t="shared" si="394"/>
        <v>-233.33121019108279</v>
      </c>
      <c r="U276" s="51">
        <f t="shared" si="395"/>
        <v>4.3900180087471053E-3</v>
      </c>
      <c r="V276" s="51">
        <f t="shared" si="396"/>
        <v>4.3192925677111426E-3</v>
      </c>
      <c r="W276" s="51">
        <f t="shared" si="397"/>
        <v>8.2655985384643364E-3</v>
      </c>
      <c r="X276" s="51">
        <f t="shared" si="398"/>
        <v>9.3774518325025497E-3</v>
      </c>
      <c r="Y276" s="51">
        <f t="shared" si="399"/>
        <v>0.43017603783499736</v>
      </c>
      <c r="Z276" s="51">
        <f t="shared" si="400"/>
        <v>4.3227853528856877E-3</v>
      </c>
      <c r="AA276" s="51">
        <f t="shared" si="401"/>
        <v>4.337000168903273E-3</v>
      </c>
      <c r="AB276" s="51">
        <f t="shared" si="402"/>
        <v>3.2334859808173444E-3</v>
      </c>
      <c r="AC276" s="51">
        <f t="shared" si="403"/>
        <v>9.3962443211448397E-4</v>
      </c>
      <c r="AD276" s="62">
        <f t="shared" si="404"/>
        <v>1.0312664214398319E-2</v>
      </c>
      <c r="AE276" s="699"/>
      <c r="AF276" s="701">
        <f t="shared" si="384"/>
        <v>2.3901757868277898</v>
      </c>
      <c r="AG276" s="698"/>
      <c r="AH276" s="700"/>
      <c r="AI276" s="701">
        <f t="shared" si="385"/>
        <v>4.2065994656785266</v>
      </c>
      <c r="AJ276" s="699"/>
      <c r="AK276" s="678">
        <f t="shared" si="405"/>
        <v>2.4117129051514024</v>
      </c>
      <c r="AL276" s="51">
        <f t="shared" si="406"/>
        <v>-0.42191043929653305</v>
      </c>
      <c r="AM276" s="827">
        <f t="shared" ref="AM276:AV276" si="530">AM93</f>
        <v>175694.12691600001</v>
      </c>
      <c r="AN276" s="827">
        <f t="shared" si="530"/>
        <v>87025.004781000011</v>
      </c>
      <c r="AO276" s="827">
        <f t="shared" si="530"/>
        <v>91442.510148000001</v>
      </c>
      <c r="AP276" s="827">
        <f t="shared" si="530"/>
        <v>33567.061725</v>
      </c>
      <c r="AQ276" s="827">
        <f t="shared" si="530"/>
        <v>1477.066225</v>
      </c>
      <c r="AR276" s="827">
        <f t="shared" si="530"/>
        <v>0</v>
      </c>
      <c r="AS276" s="827">
        <f t="shared" si="530"/>
        <v>0</v>
      </c>
      <c r="AT276" s="827">
        <f t="shared" si="530"/>
        <v>0</v>
      </c>
      <c r="AU276" s="827">
        <f t="shared" si="530"/>
        <v>0</v>
      </c>
      <c r="AV276" s="827">
        <f t="shared" si="530"/>
        <v>0</v>
      </c>
      <c r="AW276" s="829" t="e">
        <f t="shared" ref="AW276:BB276" si="531">AW93</f>
        <v>#DIV/0!</v>
      </c>
      <c r="AX276" s="829" t="e">
        <f t="shared" si="531"/>
        <v>#DIV/0!</v>
      </c>
      <c r="AY276" s="829" t="e">
        <f t="shared" si="531"/>
        <v>#DIV/0!</v>
      </c>
      <c r="AZ276" s="829" t="e">
        <f t="shared" si="531"/>
        <v>#DIV/0!</v>
      </c>
      <c r="BA276" s="829" t="e">
        <f t="shared" si="531"/>
        <v>#DIV/0!</v>
      </c>
      <c r="BB276" s="829" t="e">
        <f t="shared" si="531"/>
        <v>#DIV/0!</v>
      </c>
    </row>
    <row r="277" spans="1:54" ht="15" customHeight="1">
      <c r="A277" s="449">
        <v>2014</v>
      </c>
      <c r="B277" s="449"/>
      <c r="C277" s="50"/>
      <c r="D277" s="51"/>
      <c r="E277" s="51"/>
      <c r="F277" s="51"/>
      <c r="G277" s="51"/>
      <c r="H277" s="51"/>
      <c r="I277" s="51" t="s">
        <v>140</v>
      </c>
      <c r="J277" s="524" t="s">
        <v>552</v>
      </c>
      <c r="K277" s="543">
        <f t="shared" ref="K277:O277" si="532">LN(K94)</f>
        <v>13.465391392161422</v>
      </c>
      <c r="L277" s="543">
        <f t="shared" si="532"/>
        <v>13.264238771822058</v>
      </c>
      <c r="M277" s="543">
        <f t="shared" si="532"/>
        <v>13.081042950353883</v>
      </c>
      <c r="N277" s="543">
        <f t="shared" si="532"/>
        <v>13.149562004389148</v>
      </c>
      <c r="O277" s="543">
        <f t="shared" si="532"/>
        <v>12.500013063619573</v>
      </c>
      <c r="P277" s="149">
        <f t="shared" si="390"/>
        <v>0.77560137457044676</v>
      </c>
      <c r="Q277" s="149">
        <f t="shared" si="391"/>
        <v>0.56239669421487604</v>
      </c>
      <c r="R277" s="149">
        <f t="shared" si="392"/>
        <v>0.70455722423614697</v>
      </c>
      <c r="S277" s="149">
        <f t="shared" si="393"/>
        <v>0.31781000185908159</v>
      </c>
      <c r="T277" s="149">
        <f t="shared" si="394"/>
        <v>0.29631979695431471</v>
      </c>
      <c r="U277" s="51">
        <f t="shared" si="395"/>
        <v>0.56374107348537206</v>
      </c>
      <c r="V277" s="51">
        <f t="shared" si="396"/>
        <v>0.61110825404988434</v>
      </c>
      <c r="W277" s="51">
        <f t="shared" si="397"/>
        <v>0.60278413992087809</v>
      </c>
      <c r="X277" s="51">
        <f t="shared" si="398"/>
        <v>0.64135469712833515</v>
      </c>
      <c r="Y277" s="51">
        <f t="shared" si="399"/>
        <v>0.70003002326803276</v>
      </c>
      <c r="Z277" s="51">
        <f t="shared" si="400"/>
        <v>0.13407049067035243</v>
      </c>
      <c r="AA277" s="51">
        <f t="shared" si="401"/>
        <v>0.12445358704037028</v>
      </c>
      <c r="AB277" s="51">
        <f t="shared" si="402"/>
        <v>0.11487551682084536</v>
      </c>
      <c r="AC277" s="51">
        <f t="shared" si="403"/>
        <v>0.10461690065057358</v>
      </c>
      <c r="AD277" s="62">
        <f t="shared" si="404"/>
        <v>5.9145838024468968E-2</v>
      </c>
      <c r="AE277" s="699"/>
      <c r="AF277" s="701">
        <f t="shared" si="384"/>
        <v>6.3410292549884187E-2</v>
      </c>
      <c r="AG277" s="698"/>
      <c r="AH277" s="700"/>
      <c r="AI277" s="701">
        <f t="shared" si="385"/>
        <v>0.14533305042391351</v>
      </c>
      <c r="AJ277" s="699"/>
      <c r="AK277" s="678">
        <f t="shared" si="405"/>
        <v>0.58102988673430878</v>
      </c>
      <c r="AL277" s="51">
        <f t="shared" si="406"/>
        <v>-9.7245883347154671E-2</v>
      </c>
      <c r="AM277" s="827">
        <f t="shared" ref="AM277:AV277" si="533">AM94</f>
        <v>2292747.9080000003</v>
      </c>
      <c r="AN277" s="827">
        <f t="shared" si="533"/>
        <v>1800557.5720000002</v>
      </c>
      <c r="AO277" s="827">
        <f t="shared" si="533"/>
        <v>1658914.004</v>
      </c>
      <c r="AP277" s="827">
        <f t="shared" si="533"/>
        <v>1761333.48</v>
      </c>
      <c r="AQ277" s="827">
        <f t="shared" si="533"/>
        <v>1360944.1310000001</v>
      </c>
      <c r="AR277" s="827">
        <f t="shared" si="533"/>
        <v>2325556.7940000002</v>
      </c>
      <c r="AS277" s="827">
        <f t="shared" si="533"/>
        <v>2362130.5730000003</v>
      </c>
      <c r="AT277" s="827">
        <f t="shared" si="533"/>
        <v>2082524.6640000001</v>
      </c>
      <c r="AU277" s="827">
        <f t="shared" si="533"/>
        <v>2606547.4934999999</v>
      </c>
      <c r="AV277" s="827">
        <f t="shared" si="533"/>
        <v>2603552.6970000002</v>
      </c>
      <c r="AW277" s="829">
        <f t="shared" ref="AW277:BB277" si="534">AW94</f>
        <v>3.0540841017592045E-2</v>
      </c>
      <c r="AX277" s="829">
        <f t="shared" si="534"/>
        <v>6.2644671507881736E-2</v>
      </c>
      <c r="AY277" s="829">
        <f t="shared" si="534"/>
        <v>0.16231209735146743</v>
      </c>
      <c r="AZ277" s="829">
        <f t="shared" si="534"/>
        <v>3.8905588362273674E-2</v>
      </c>
      <c r="BA277" s="829">
        <f t="shared" si="534"/>
        <v>7.3425989723897384E-2</v>
      </c>
      <c r="BB277" s="829">
        <f t="shared" si="534"/>
        <v>0.17877553326474577</v>
      </c>
    </row>
    <row r="278" spans="1:54" ht="15" customHeight="1">
      <c r="A278" s="449">
        <v>2014</v>
      </c>
      <c r="B278" s="449"/>
      <c r="C278" s="50"/>
      <c r="D278" s="51"/>
      <c r="E278" s="51"/>
      <c r="F278" s="51"/>
      <c r="G278" s="51"/>
      <c r="H278" s="51"/>
      <c r="I278" s="51" t="s">
        <v>140</v>
      </c>
      <c r="J278" s="524" t="s">
        <v>553</v>
      </c>
      <c r="K278" s="543">
        <f t="shared" ref="K278:O278" si="535">LN(K95)</f>
        <v>12.876211592348891</v>
      </c>
      <c r="L278" s="543">
        <f t="shared" si="535"/>
        <v>12.786051999739421</v>
      </c>
      <c r="M278" s="543">
        <f t="shared" si="535"/>
        <v>12.9072941743581</v>
      </c>
      <c r="N278" s="543">
        <f t="shared" si="535"/>
        <v>13.058077150357926</v>
      </c>
      <c r="O278" s="543">
        <f t="shared" si="535"/>
        <v>12.832199479471225</v>
      </c>
      <c r="P278" s="149">
        <f t="shared" si="390"/>
        <v>0.12423966313515228</v>
      </c>
      <c r="Q278" s="149">
        <f t="shared" si="391"/>
        <v>0.10028440043768271</v>
      </c>
      <c r="R278" s="149">
        <f t="shared" si="392"/>
        <v>8.6061733027483933E-2</v>
      </c>
      <c r="S278" s="149">
        <f t="shared" si="393"/>
        <v>8.6420654308894507E-2</v>
      </c>
      <c r="T278" s="149">
        <f t="shared" si="394"/>
        <v>8.4471115594065269E-2</v>
      </c>
      <c r="U278" s="51">
        <f t="shared" si="395"/>
        <v>0.55004189219866817</v>
      </c>
      <c r="V278" s="51">
        <f t="shared" si="396"/>
        <v>0.57882440983781014</v>
      </c>
      <c r="W278" s="51">
        <f t="shared" si="397"/>
        <v>0.59219876932970617</v>
      </c>
      <c r="X278" s="51">
        <f t="shared" si="398"/>
        <v>0.6045700812520397</v>
      </c>
      <c r="Y278" s="51">
        <f t="shared" si="399"/>
        <v>0.62160081435895609</v>
      </c>
      <c r="Z278" s="51">
        <f t="shared" si="400"/>
        <v>0.50831593991074964</v>
      </c>
      <c r="AA278" s="51">
        <f t="shared" si="401"/>
        <v>0.46817057913180632</v>
      </c>
      <c r="AB278" s="51">
        <f t="shared" si="402"/>
        <v>0.5192782349887578</v>
      </c>
      <c r="AC278" s="51">
        <f t="shared" si="403"/>
        <v>0.47395065272622061</v>
      </c>
      <c r="AD278" s="62">
        <f t="shared" si="404"/>
        <v>0.36800997814182568</v>
      </c>
      <c r="AE278" s="699"/>
      <c r="AF278" s="701">
        <f t="shared" si="384"/>
        <v>1.3603771423197956E-2</v>
      </c>
      <c r="AG278" s="698"/>
      <c r="AH278" s="700"/>
      <c r="AI278" s="701">
        <f t="shared" si="385"/>
        <v>2.7435761871778874E-2</v>
      </c>
      <c r="AJ278" s="699"/>
      <c r="AK278" s="678">
        <f t="shared" si="405"/>
        <v>7.5094694886874688E-2</v>
      </c>
      <c r="AL278" s="51">
        <f t="shared" si="406"/>
        <v>-2.9402045029249924E-2</v>
      </c>
      <c r="AM278" s="827">
        <f t="shared" ref="AM278:AV278" si="536">AM95</f>
        <v>346023.819372</v>
      </c>
      <c r="AN278" s="827">
        <f t="shared" si="536"/>
        <v>321344.52411600004</v>
      </c>
      <c r="AO278" s="827">
        <f t="shared" si="536"/>
        <v>316675.925392</v>
      </c>
      <c r="AP278" s="827">
        <f t="shared" si="536"/>
        <v>391189.55511000002</v>
      </c>
      <c r="AQ278" s="827">
        <f t="shared" si="536"/>
        <v>384630.76926199999</v>
      </c>
      <c r="AR278" s="827">
        <f t="shared" si="536"/>
        <v>240888.04685000001</v>
      </c>
      <c r="AS278" s="827">
        <f t="shared" si="536"/>
        <v>262601.27380299999</v>
      </c>
      <c r="AT278" s="827">
        <f t="shared" si="536"/>
        <v>261981.702112</v>
      </c>
      <c r="AU278" s="827">
        <f t="shared" si="536"/>
        <v>328124.45585999999</v>
      </c>
      <c r="AV278" s="827">
        <f t="shared" si="536"/>
        <v>404265.44890100003</v>
      </c>
      <c r="AW278" s="829">
        <f t="shared" ref="AW278:BB278" si="537">AW95</f>
        <v>7.8161885825018956E-2</v>
      </c>
      <c r="AX278" s="829">
        <f t="shared" si="537"/>
        <v>0.12348943404355243</v>
      </c>
      <c r="AY278" s="829">
        <f t="shared" si="537"/>
        <v>0.1324664092195407</v>
      </c>
      <c r="AZ278" s="829">
        <f t="shared" si="537"/>
        <v>7.9671705284051125E-2</v>
      </c>
      <c r="BA278" s="829">
        <f t="shared" si="537"/>
        <v>0.11561714269220649</v>
      </c>
      <c r="BB278" s="829">
        <f t="shared" si="537"/>
        <v>0.12313642934392281</v>
      </c>
    </row>
    <row r="279" spans="1:54" s="684" customFormat="1" ht="15" customHeight="1">
      <c r="A279" s="535">
        <v>2014</v>
      </c>
      <c r="B279" s="449"/>
      <c r="C279" s="50"/>
      <c r="D279" s="51"/>
      <c r="E279" s="51"/>
      <c r="F279" s="51"/>
      <c r="G279" s="51"/>
      <c r="H279" s="51"/>
      <c r="I279" s="51" t="s">
        <v>141</v>
      </c>
      <c r="J279" s="524">
        <v>0</v>
      </c>
      <c r="K279" s="543">
        <f t="shared" ref="K279:O279" si="538">LN(K96)</f>
        <v>15.189488127871122</v>
      </c>
      <c r="L279" s="543">
        <f t="shared" si="538"/>
        <v>15.101458754970468</v>
      </c>
      <c r="M279" s="543">
        <f t="shared" si="538"/>
        <v>14.968393205163625</v>
      </c>
      <c r="N279" s="543">
        <f t="shared" si="538"/>
        <v>15.012259633875884</v>
      </c>
      <c r="O279" s="543">
        <f t="shared" si="538"/>
        <v>15.105893508576877</v>
      </c>
      <c r="P279" s="149">
        <f t="shared" si="390"/>
        <v>1.6739664417045153E-2</v>
      </c>
      <c r="Q279" s="149">
        <f t="shared" si="391"/>
        <v>1.6416641123773078E-2</v>
      </c>
      <c r="R279" s="149">
        <f t="shared" si="392"/>
        <v>1.408387559159034E-2</v>
      </c>
      <c r="S279" s="149">
        <f t="shared" si="393"/>
        <v>1.7447280289338573E-2</v>
      </c>
      <c r="T279" s="149">
        <f t="shared" si="394"/>
        <v>1.2291913054341312E-2</v>
      </c>
      <c r="U279" s="51">
        <f t="shared" si="395"/>
        <v>0.773851522028836</v>
      </c>
      <c r="V279" s="51">
        <f t="shared" si="396"/>
        <v>0.7621883369922634</v>
      </c>
      <c r="W279" s="51">
        <f t="shared" si="397"/>
        <v>0.17041711312292679</v>
      </c>
      <c r="X279" s="51">
        <f t="shared" si="398"/>
        <v>0.71884582741324698</v>
      </c>
      <c r="Y279" s="51">
        <f t="shared" si="399"/>
        <v>0.68421653307304819</v>
      </c>
      <c r="Z279" s="51">
        <f t="shared" si="400"/>
        <v>2.1748573089365424</v>
      </c>
      <c r="AA279" s="51">
        <f t="shared" si="401"/>
        <v>2.317775994044923</v>
      </c>
      <c r="AB279" s="51">
        <f t="shared" si="402"/>
        <v>2.0321897636936423</v>
      </c>
      <c r="AC279" s="51">
        <f t="shared" si="403"/>
        <v>1.9477963152832989</v>
      </c>
      <c r="AD279" s="62">
        <f t="shared" si="404"/>
        <v>1.9750613168350786</v>
      </c>
      <c r="AE279" s="699"/>
      <c r="AF279" s="701">
        <f t="shared" si="384"/>
        <v>4.343825826834985E-3</v>
      </c>
      <c r="AG279" s="698"/>
      <c r="AH279" s="700"/>
      <c r="AI279" s="701">
        <f t="shared" si="385"/>
        <v>3.6050540518468482E-2</v>
      </c>
      <c r="AJ279" s="699"/>
      <c r="AK279" s="678">
        <f t="shared" si="405"/>
        <v>-0.13750030341325148</v>
      </c>
      <c r="AL279" s="51">
        <f t="shared" si="406"/>
        <v>-0.51379941995012146</v>
      </c>
      <c r="AM279" s="827">
        <f t="shared" ref="AM279:AV279" si="539">AM96</f>
        <v>41084</v>
      </c>
      <c r="AN279" s="827">
        <f t="shared" si="539"/>
        <v>37123</v>
      </c>
      <c r="AO279" s="827">
        <f t="shared" si="539"/>
        <v>395006</v>
      </c>
      <c r="AP279" s="827">
        <f t="shared" si="539"/>
        <v>477685</v>
      </c>
      <c r="AQ279" s="827">
        <f t="shared" si="539"/>
        <v>581053</v>
      </c>
      <c r="AR279" s="827">
        <f t="shared" si="539"/>
        <v>49695</v>
      </c>
      <c r="AS279" s="827">
        <f t="shared" si="539"/>
        <v>156381</v>
      </c>
      <c r="AT279" s="827">
        <f t="shared" si="539"/>
        <v>165834</v>
      </c>
      <c r="AU279" s="827">
        <f t="shared" si="539"/>
        <v>184522</v>
      </c>
      <c r="AV279" s="827">
        <f t="shared" si="539"/>
        <v>205461</v>
      </c>
      <c r="AW279" s="829">
        <f t="shared" ref="AW279:BB279" si="540">AW96</f>
        <v>0.21741839083816394</v>
      </c>
      <c r="AX279" s="829">
        <f t="shared" si="540"/>
        <v>0.31291119758077629</v>
      </c>
      <c r="AY279" s="829">
        <f t="shared" si="540"/>
        <v>0.26899188344971475</v>
      </c>
      <c r="AZ279" s="829">
        <f t="shared" si="540"/>
        <v>0.17303844554819231</v>
      </c>
      <c r="BA279" s="829">
        <f t="shared" si="540"/>
        <v>0.25891880938432321</v>
      </c>
      <c r="BB279" s="829">
        <f t="shared" si="540"/>
        <v>0.17567642051765314</v>
      </c>
    </row>
    <row r="280" spans="1:54" s="684" customFormat="1" ht="15" customHeight="1">
      <c r="A280" s="535">
        <v>2014</v>
      </c>
      <c r="B280" s="449"/>
      <c r="C280" s="50"/>
      <c r="D280" s="51"/>
      <c r="E280" s="51"/>
      <c r="F280" s="51"/>
      <c r="G280" s="51"/>
      <c r="H280" s="51"/>
      <c r="I280" s="51" t="s">
        <v>141</v>
      </c>
      <c r="J280" s="524">
        <v>0</v>
      </c>
      <c r="K280" s="543">
        <f t="shared" ref="K280:O280" si="541">LN(K97)</f>
        <v>9.8821617658213761</v>
      </c>
      <c r="L280" s="543">
        <f t="shared" si="541"/>
        <v>11.947211238886586</v>
      </c>
      <c r="M280" s="543">
        <f t="shared" si="541"/>
        <v>11.849604822997465</v>
      </c>
      <c r="N280" s="543">
        <f t="shared" si="541"/>
        <v>11.935260800514463</v>
      </c>
      <c r="O280" s="543">
        <f t="shared" si="541"/>
        <v>12.117640259385096</v>
      </c>
      <c r="P280" s="149">
        <f t="shared" si="390"/>
        <v>0.68827255082235161</v>
      </c>
      <c r="Q280" s="149">
        <f t="shared" si="391"/>
        <v>5.9279986527275792E-2</v>
      </c>
      <c r="R280" s="149">
        <f t="shared" si="392"/>
        <v>5.9694777510372853E-2</v>
      </c>
      <c r="S280" s="149">
        <f t="shared" si="393"/>
        <v>4.9176674183229324E-2</v>
      </c>
      <c r="T280" s="149">
        <f t="shared" si="394"/>
        <v>6.1702162525331422E-2</v>
      </c>
      <c r="U280" s="51">
        <f t="shared" si="395"/>
        <v>0.65780349768011015</v>
      </c>
      <c r="V280" s="51">
        <f t="shared" si="396"/>
        <v>0.67129368998407613</v>
      </c>
      <c r="W280" s="51">
        <f t="shared" si="397"/>
        <v>0.6408523437641559</v>
      </c>
      <c r="X280" s="51">
        <f t="shared" si="398"/>
        <v>6.5657304304470667</v>
      </c>
      <c r="Y280" s="51">
        <f t="shared" si="399"/>
        <v>0.64118313473376742</v>
      </c>
      <c r="Z280" s="51">
        <f t="shared" si="400"/>
        <v>0.24955386733289145</v>
      </c>
      <c r="AA280" s="51">
        <f t="shared" si="401"/>
        <v>2.4832478165060881</v>
      </c>
      <c r="AB280" s="51">
        <f t="shared" si="402"/>
        <v>2.5372628603526066</v>
      </c>
      <c r="AC280" s="51">
        <f t="shared" si="403"/>
        <v>25.353498421140102</v>
      </c>
      <c r="AD280" s="62">
        <f t="shared" si="404"/>
        <v>2.498846621077488</v>
      </c>
      <c r="AE280" s="699"/>
      <c r="AF280" s="701">
        <f t="shared" si="384"/>
        <v>-2.7228984055173711E-3</v>
      </c>
      <c r="AG280" s="698"/>
      <c r="AH280" s="700"/>
      <c r="AI280" s="701">
        <f t="shared" si="385"/>
        <v>3.7877553489623286</v>
      </c>
      <c r="AJ280" s="699"/>
      <c r="AK280" s="678">
        <f t="shared" si="405"/>
        <v>-0.26803543638763216</v>
      </c>
      <c r="AL280" s="51">
        <f t="shared" si="406"/>
        <v>-3.3079096961152743E-4</v>
      </c>
      <c r="AM280" s="827">
        <f t="shared" ref="AM280:AV280" si="542">AM97</f>
        <v>26846</v>
      </c>
      <c r="AN280" s="827">
        <f t="shared" si="542"/>
        <v>20436</v>
      </c>
      <c r="AO280" s="827">
        <f t="shared" si="542"/>
        <v>1982</v>
      </c>
      <c r="AP280" s="827">
        <f t="shared" si="542"/>
        <v>20664</v>
      </c>
      <c r="AQ280" s="827">
        <f t="shared" si="542"/>
        <v>26288</v>
      </c>
      <c r="AR280" s="827">
        <f t="shared" si="542"/>
        <v>27</v>
      </c>
      <c r="AS280" s="827">
        <f t="shared" si="542"/>
        <v>183</v>
      </c>
      <c r="AT280" s="827">
        <f t="shared" si="542"/>
        <v>32</v>
      </c>
      <c r="AU280" s="827">
        <f t="shared" si="542"/>
        <v>90</v>
      </c>
      <c r="AV280" s="827">
        <f t="shared" si="542"/>
        <v>0</v>
      </c>
      <c r="AW280" s="829" t="e">
        <f t="shared" ref="AW280:BB280" si="543">AW97</f>
        <v>#DIV/0!</v>
      </c>
      <c r="AX280" s="829">
        <f t="shared" si="543"/>
        <v>83.355555555555554</v>
      </c>
      <c r="AY280" s="829">
        <f t="shared" si="543"/>
        <v>261.21875</v>
      </c>
      <c r="AZ280" s="829" t="e">
        <f t="shared" si="543"/>
        <v>#DIV/0!</v>
      </c>
      <c r="BA280" s="829">
        <f t="shared" si="543"/>
        <v>54.853690838919356</v>
      </c>
      <c r="BB280" s="829">
        <f t="shared" si="543"/>
        <v>247.58082329317267</v>
      </c>
    </row>
    <row r="281" spans="1:54" s="684" customFormat="1" ht="15" customHeight="1">
      <c r="A281" s="535">
        <v>2014</v>
      </c>
      <c r="B281" s="449"/>
      <c r="C281" s="50"/>
      <c r="D281" s="51"/>
      <c r="E281" s="51"/>
      <c r="F281" s="51"/>
      <c r="G281" s="51"/>
      <c r="H281" s="51"/>
      <c r="I281" s="51" t="s">
        <v>141</v>
      </c>
      <c r="J281" s="524">
        <v>0</v>
      </c>
      <c r="K281" s="543">
        <f t="shared" ref="K281:O281" si="544">LN(K98)</f>
        <v>10.965764295283641</v>
      </c>
      <c r="L281" s="543">
        <f t="shared" si="544"/>
        <v>10.80525330579372</v>
      </c>
      <c r="M281" s="543">
        <f t="shared" si="544"/>
        <v>8.5055253865485554</v>
      </c>
      <c r="N281" s="543">
        <f t="shared" si="544"/>
        <v>10.988659928837535</v>
      </c>
      <c r="O281" s="543">
        <f t="shared" si="544"/>
        <v>11.245202870258051</v>
      </c>
      <c r="P281" s="149">
        <f t="shared" si="390"/>
        <v>6.2393058988230006E-2</v>
      </c>
      <c r="Q281" s="149">
        <f t="shared" si="391"/>
        <v>5.957913107002983E-2</v>
      </c>
      <c r="R281" s="149">
        <f t="shared" si="392"/>
        <v>0.30008093889113718</v>
      </c>
      <c r="S281" s="149">
        <f t="shared" si="393"/>
        <v>-1.1081268264666632E-2</v>
      </c>
      <c r="T281" s="149">
        <f t="shared" si="394"/>
        <v>3.3968527812630697E-2</v>
      </c>
      <c r="U281" s="51">
        <f t="shared" si="395"/>
        <v>0.76311544665488906</v>
      </c>
      <c r="V281" s="51">
        <f t="shared" si="396"/>
        <v>0.74023993074164163</v>
      </c>
      <c r="W281" s="51">
        <f t="shared" si="397"/>
        <v>0.74714338370807221</v>
      </c>
      <c r="X281" s="51">
        <f t="shared" si="398"/>
        <v>0.73961139245052621</v>
      </c>
      <c r="Y281" s="51">
        <f t="shared" si="399"/>
        <v>0.60501671316887207</v>
      </c>
      <c r="Z281" s="51">
        <f t="shared" si="400"/>
        <v>2.2220984714647822</v>
      </c>
      <c r="AA281" s="51">
        <f t="shared" si="401"/>
        <v>2.0315372882054663</v>
      </c>
      <c r="AB281" s="51">
        <f t="shared" si="402"/>
        <v>0.20239996723594217</v>
      </c>
      <c r="AC281" s="51">
        <f t="shared" si="403"/>
        <v>2.1261717487339724</v>
      </c>
      <c r="AD281" s="62">
        <f t="shared" si="404"/>
        <v>2.1136495483300646</v>
      </c>
      <c r="AE281" s="699"/>
      <c r="AF281" s="701">
        <f t="shared" si="384"/>
        <v>-1.1061191268907179E-2</v>
      </c>
      <c r="AG281" s="698"/>
      <c r="AH281" s="700"/>
      <c r="AI281" s="701">
        <f t="shared" si="385"/>
        <v>5.8400981014781778E-2</v>
      </c>
      <c r="AJ281" s="699"/>
      <c r="AK281" s="678">
        <f t="shared" si="405"/>
        <v>-2.7396774837094959</v>
      </c>
      <c r="AL281" s="51">
        <f t="shared" si="406"/>
        <v>0.14212667053920014</v>
      </c>
      <c r="AM281" s="827">
        <f t="shared" ref="AM281:AV281" si="545">AM98</f>
        <v>6168</v>
      </c>
      <c r="AN281" s="827">
        <f t="shared" si="545"/>
        <v>6301</v>
      </c>
      <c r="AO281" s="827">
        <f t="shared" si="545"/>
        <v>6175</v>
      </c>
      <c r="AP281" s="827">
        <f t="shared" si="545"/>
        <v>7250</v>
      </c>
      <c r="AQ281" s="827">
        <f t="shared" si="545"/>
        <v>14299</v>
      </c>
      <c r="AR281" s="827">
        <f t="shared" si="545"/>
        <v>828</v>
      </c>
      <c r="AS281" s="827">
        <f t="shared" si="545"/>
        <v>2356</v>
      </c>
      <c r="AT281" s="827">
        <f t="shared" si="545"/>
        <v>2557</v>
      </c>
      <c r="AU281" s="827">
        <f t="shared" si="545"/>
        <v>2158</v>
      </c>
      <c r="AV281" s="827">
        <f t="shared" si="545"/>
        <v>2603</v>
      </c>
      <c r="AW281" s="829">
        <f t="shared" ref="AW281:BB281" si="546">AW98</f>
        <v>0.99846331156358048</v>
      </c>
      <c r="AX281" s="829">
        <f t="shared" si="546"/>
        <v>-0.303985171455051</v>
      </c>
      <c r="AY281" s="829">
        <f t="shared" si="546"/>
        <v>0.57997653500195545</v>
      </c>
      <c r="AZ281" s="829">
        <f t="shared" si="546"/>
        <v>0.67586588360646338</v>
      </c>
      <c r="BA281" s="829">
        <f t="shared" si="546"/>
        <v>-0.24839157546865873</v>
      </c>
      <c r="BB281" s="829">
        <f t="shared" si="546"/>
        <v>0.49404176951595846</v>
      </c>
    </row>
    <row r="282" spans="1:54" s="684" customFormat="1" ht="15" customHeight="1">
      <c r="A282" s="535">
        <v>2014</v>
      </c>
      <c r="B282" s="449"/>
      <c r="C282" s="50"/>
      <c r="D282" s="51"/>
      <c r="E282" s="51"/>
      <c r="F282" s="51"/>
      <c r="G282" s="51"/>
      <c r="H282" s="51"/>
      <c r="I282" s="51" t="s">
        <v>141</v>
      </c>
      <c r="J282" s="524">
        <v>0</v>
      </c>
      <c r="K282" s="543">
        <f t="shared" ref="K282:O282" si="547">LN(K99)</f>
        <v>7.6722924556287557</v>
      </c>
      <c r="L282" s="543">
        <f t="shared" si="547"/>
        <v>6.62273632394984</v>
      </c>
      <c r="M282" s="543">
        <f t="shared" si="547"/>
        <v>6.3261494731550991</v>
      </c>
      <c r="N282" s="543">
        <f t="shared" si="547"/>
        <v>10.923904038063169</v>
      </c>
      <c r="O282" s="543">
        <f t="shared" si="547"/>
        <v>8.8424600241952902</v>
      </c>
      <c r="P282" s="149">
        <f t="shared" si="390"/>
        <v>-2.6927374301675977</v>
      </c>
      <c r="Q282" s="149">
        <f t="shared" si="391"/>
        <v>-6.4760638297872344</v>
      </c>
      <c r="R282" s="149">
        <f t="shared" si="392"/>
        <v>-3.7513416815742398</v>
      </c>
      <c r="S282" s="149">
        <f t="shared" si="393"/>
        <v>-4.1649395353866671E-2</v>
      </c>
      <c r="T282" s="149">
        <f t="shared" si="394"/>
        <v>-5.3452759318116154E-2</v>
      </c>
      <c r="U282" s="51">
        <f t="shared" si="395"/>
        <v>0.60067380103051926</v>
      </c>
      <c r="V282" s="51">
        <f t="shared" si="396"/>
        <v>0.47135416666666669</v>
      </c>
      <c r="W282" s="51">
        <f t="shared" si="397"/>
        <v>1.0154798761609907</v>
      </c>
      <c r="X282" s="51">
        <f t="shared" si="398"/>
        <v>0.43841619483440625</v>
      </c>
      <c r="Y282" s="51">
        <f t="shared" si="399"/>
        <v>0.36798548094373867</v>
      </c>
      <c r="Z282" s="51">
        <f t="shared" si="400"/>
        <v>0.42568370986920334</v>
      </c>
      <c r="AA282" s="51">
        <f t="shared" si="401"/>
        <v>0.65277777777777779</v>
      </c>
      <c r="AB282" s="51">
        <f t="shared" si="402"/>
        <v>0.8653250773993808</v>
      </c>
      <c r="AC282" s="51">
        <f t="shared" si="403"/>
        <v>1.0759132862793763</v>
      </c>
      <c r="AD282" s="62">
        <f t="shared" si="404"/>
        <v>0.10050090744101633</v>
      </c>
      <c r="AE282" s="699"/>
      <c r="AF282" s="701">
        <f t="shared" si="384"/>
        <v>-3.2407579801430555</v>
      </c>
      <c r="AG282" s="698"/>
      <c r="AH282" s="700"/>
      <c r="AI282" s="701">
        <f t="shared" si="385"/>
        <v>209.70979146819096</v>
      </c>
      <c r="AJ282" s="699"/>
      <c r="AK282" s="678">
        <f t="shared" si="405"/>
        <v>-2.5163105510401902</v>
      </c>
      <c r="AL282" s="51">
        <f t="shared" si="406"/>
        <v>0.64749439521725205</v>
      </c>
      <c r="AM282" s="827">
        <f t="shared" ref="AM282:AV282" si="548">AM99</f>
        <v>2014</v>
      </c>
      <c r="AN282" s="827">
        <f t="shared" si="548"/>
        <v>-2938</v>
      </c>
      <c r="AO282" s="827">
        <f t="shared" si="548"/>
        <v>-10</v>
      </c>
      <c r="AP282" s="827">
        <f t="shared" si="548"/>
        <v>28962</v>
      </c>
      <c r="AQ282" s="827">
        <f t="shared" si="548"/>
        <v>37788</v>
      </c>
      <c r="AR282" s="827">
        <f t="shared" si="548"/>
        <v>110</v>
      </c>
      <c r="AS282" s="827">
        <f t="shared" si="548"/>
        <v>149</v>
      </c>
      <c r="AT282" s="827">
        <f t="shared" si="548"/>
        <v>0</v>
      </c>
      <c r="AU282" s="827">
        <f t="shared" si="548"/>
        <v>2513</v>
      </c>
      <c r="AV282" s="827">
        <f t="shared" si="548"/>
        <v>58</v>
      </c>
      <c r="AW282" s="829">
        <f t="shared" ref="AW282:BB282" si="549">AW99</f>
        <v>-6.3793103448275863</v>
      </c>
      <c r="AX282" s="829">
        <f t="shared" si="549"/>
        <v>-0.9196179864703542</v>
      </c>
      <c r="AY282" s="829" t="e">
        <f t="shared" si="549"/>
        <v>#DIV/0!</v>
      </c>
      <c r="AZ282" s="829">
        <f t="shared" si="549"/>
        <v>-2.5668607652044919</v>
      </c>
      <c r="BA282" s="829">
        <f t="shared" si="549"/>
        <v>-0.44798655615633887</v>
      </c>
      <c r="BB282" s="829" t="e">
        <f t="shared" si="549"/>
        <v>#DIV/0!</v>
      </c>
    </row>
    <row r="283" spans="1:54" ht="15" customHeight="1">
      <c r="A283" s="535">
        <v>2014</v>
      </c>
      <c r="B283" s="535"/>
      <c r="C283" s="411"/>
      <c r="D283" s="536"/>
      <c r="E283" s="536"/>
      <c r="F283" s="536"/>
      <c r="G283" s="536"/>
      <c r="H283" s="536"/>
      <c r="I283" s="562" t="s">
        <v>141</v>
      </c>
      <c r="J283" s="555" t="s">
        <v>524</v>
      </c>
      <c r="K283" s="543">
        <f t="shared" ref="K283:O283" si="550">LN(K100)</f>
        <v>12.945626198904275</v>
      </c>
      <c r="L283" s="543">
        <f t="shared" si="550"/>
        <v>13.193753373491001</v>
      </c>
      <c r="M283" s="543">
        <f t="shared" si="550"/>
        <v>13.331002242515657</v>
      </c>
      <c r="N283" s="543">
        <f t="shared" si="550"/>
        <v>13.083622549087899</v>
      </c>
      <c r="O283" s="543">
        <f t="shared" si="550"/>
        <v>12.611871031428459</v>
      </c>
      <c r="P283" s="149">
        <f t="shared" si="390"/>
        <v>-0.15966587112171837</v>
      </c>
      <c r="Q283" s="149">
        <f t="shared" si="391"/>
        <v>-0.11731843575418995</v>
      </c>
      <c r="R283" s="149">
        <f t="shared" si="392"/>
        <v>-8.1168831168831168E-2</v>
      </c>
      <c r="S283" s="149">
        <f t="shared" si="393"/>
        <v>-0.12266112266112267</v>
      </c>
      <c r="T283" s="149">
        <f t="shared" si="394"/>
        <v>0.20093302232589136</v>
      </c>
      <c r="U283" s="51">
        <f t="shared" si="395"/>
        <v>0.26484448633364749</v>
      </c>
      <c r="V283" s="51">
        <f t="shared" si="396"/>
        <v>0.37873357228195936</v>
      </c>
      <c r="W283" s="51">
        <f t="shared" si="397"/>
        <v>0.6085997794928335</v>
      </c>
      <c r="X283" s="51">
        <f t="shared" si="398"/>
        <v>0.54691358024691361</v>
      </c>
      <c r="Y283" s="51">
        <f t="shared" si="399"/>
        <v>0.41080472706809229</v>
      </c>
      <c r="Z283" s="51">
        <f t="shared" si="400"/>
        <v>0.65818410304743957</v>
      </c>
      <c r="AA283" s="51">
        <f t="shared" si="401"/>
        <v>0.64157706093189959</v>
      </c>
      <c r="AB283" s="51">
        <f t="shared" si="402"/>
        <v>0.67916207276736495</v>
      </c>
      <c r="AC283" s="51">
        <f t="shared" si="403"/>
        <v>0.59382716049382711</v>
      </c>
      <c r="AD283" s="62">
        <f t="shared" si="404"/>
        <v>0.56293378353029455</v>
      </c>
      <c r="AE283" s="699"/>
      <c r="AF283" s="701">
        <f t="shared" si="384"/>
        <v>-0.16823877811481885</v>
      </c>
      <c r="AG283" s="698"/>
      <c r="AH283" s="700"/>
      <c r="AI283" s="701">
        <f t="shared" si="385"/>
        <v>-0.33294446513422682</v>
      </c>
      <c r="AJ283" s="699"/>
      <c r="AK283" s="678">
        <f t="shared" si="405"/>
        <v>0.71913121108719835</v>
      </c>
      <c r="AL283" s="51">
        <f t="shared" si="406"/>
        <v>0.19779505242474121</v>
      </c>
      <c r="AM283" s="827">
        <f t="shared" ref="AM283:AV283" si="551">AM100</f>
        <v>468000</v>
      </c>
      <c r="AN283" s="827">
        <f t="shared" si="551"/>
        <v>520000</v>
      </c>
      <c r="AO283" s="827">
        <f t="shared" si="551"/>
        <v>355000</v>
      </c>
      <c r="AP283" s="827">
        <f t="shared" si="551"/>
        <v>367000</v>
      </c>
      <c r="AQ283" s="827">
        <f t="shared" si="551"/>
        <v>313900</v>
      </c>
      <c r="AR283" s="827">
        <f t="shared" si="551"/>
        <v>38800</v>
      </c>
      <c r="AS283" s="827">
        <f t="shared" si="551"/>
        <v>166000</v>
      </c>
      <c r="AT283" s="827">
        <f t="shared" si="551"/>
        <v>229000</v>
      </c>
      <c r="AU283" s="827">
        <f t="shared" si="551"/>
        <v>203000</v>
      </c>
      <c r="AV283" s="827">
        <f t="shared" si="551"/>
        <v>74900</v>
      </c>
      <c r="AW283" s="829">
        <f t="shared" ref="AW283:BB283" si="552">AW100</f>
        <v>0.80507343124165553</v>
      </c>
      <c r="AX283" s="829">
        <f t="shared" si="552"/>
        <v>-0.29064039408866993</v>
      </c>
      <c r="AY283" s="829">
        <f t="shared" si="552"/>
        <v>-0.2183406113537118</v>
      </c>
      <c r="AZ283" s="829">
        <f t="shared" si="552"/>
        <v>0.44400653301167675</v>
      </c>
      <c r="BA283" s="829">
        <f t="shared" si="552"/>
        <v>-0.23179468466824787</v>
      </c>
      <c r="BB283" s="829">
        <f t="shared" si="552"/>
        <v>-0.18800883954492714</v>
      </c>
    </row>
    <row r="284" spans="1:54" ht="15" customHeight="1">
      <c r="A284" s="449">
        <v>2014</v>
      </c>
      <c r="B284" s="449"/>
      <c r="C284" s="50"/>
      <c r="D284" s="51"/>
      <c r="E284" s="51"/>
      <c r="F284" s="51"/>
      <c r="G284" s="51"/>
      <c r="H284" s="51"/>
      <c r="I284" s="51" t="s">
        <v>141</v>
      </c>
      <c r="J284" s="524" t="s">
        <v>522</v>
      </c>
      <c r="K284" s="543">
        <f t="shared" ref="K284:O284" si="553">LN(K101)</f>
        <v>11.654352416517556</v>
      </c>
      <c r="L284" s="543">
        <f t="shared" si="553"/>
        <v>11.800800939703583</v>
      </c>
      <c r="M284" s="543">
        <f t="shared" si="553"/>
        <v>11.866178141143138</v>
      </c>
      <c r="N284" s="543">
        <f t="shared" si="553"/>
        <v>11.789763600614192</v>
      </c>
      <c r="O284" s="543">
        <f t="shared" si="553"/>
        <v>11.71505250110695</v>
      </c>
      <c r="P284" s="149">
        <f t="shared" si="390"/>
        <v>1.0546749373080618E-2</v>
      </c>
      <c r="Q284" s="149">
        <f t="shared" si="391"/>
        <v>6.6239289533872661E-2</v>
      </c>
      <c r="R284" s="149">
        <f t="shared" si="392"/>
        <v>3.1798814884878401E-2</v>
      </c>
      <c r="S284" s="149">
        <f t="shared" si="393"/>
        <v>-2.1967039784481614E-3</v>
      </c>
      <c r="T284" s="149">
        <f t="shared" si="394"/>
        <v>7.1179471200058977E-2</v>
      </c>
      <c r="U284" s="51">
        <f t="shared" si="395"/>
        <v>0.5960195972444251</v>
      </c>
      <c r="V284" s="51">
        <f t="shared" si="396"/>
        <v>0.51316499930231574</v>
      </c>
      <c r="W284" s="51">
        <f t="shared" si="397"/>
        <v>0.55986211634821548</v>
      </c>
      <c r="X284" s="51">
        <f t="shared" si="398"/>
        <v>0.59642594626805079</v>
      </c>
      <c r="Y284" s="51">
        <f t="shared" si="399"/>
        <v>0.49255730480755422</v>
      </c>
      <c r="Z284" s="51">
        <f t="shared" si="400"/>
        <v>1.3678364826166463</v>
      </c>
      <c r="AA284" s="51">
        <f t="shared" si="401"/>
        <v>1.6989613604237066</v>
      </c>
      <c r="AB284" s="51">
        <f t="shared" si="402"/>
        <v>1.6969654343216574</v>
      </c>
      <c r="AC284" s="51">
        <f t="shared" si="403"/>
        <v>1.3563363657347911</v>
      </c>
      <c r="AD284" s="62">
        <f t="shared" si="404"/>
        <v>1.4544930327794223</v>
      </c>
      <c r="AE284" s="699"/>
      <c r="AF284" s="701">
        <f t="shared" si="384"/>
        <v>-4.9568555225377675E-2</v>
      </c>
      <c r="AG284" s="698"/>
      <c r="AH284" s="700"/>
      <c r="AI284" s="701">
        <f t="shared" si="385"/>
        <v>-8.1423011002839427E-2</v>
      </c>
      <c r="AJ284" s="699"/>
      <c r="AK284" s="678">
        <f t="shared" si="405"/>
        <v>0.15112564003618881</v>
      </c>
      <c r="AL284" s="51">
        <f t="shared" si="406"/>
        <v>6.7304811540661258E-2</v>
      </c>
      <c r="AM284" s="827">
        <f t="shared" ref="AM284:AV284" si="554">AM101</f>
        <v>34020.998791999999</v>
      </c>
      <c r="AN284" s="827">
        <f t="shared" si="554"/>
        <v>38213.750993000001</v>
      </c>
      <c r="AO284" s="827">
        <f t="shared" si="554"/>
        <v>36925.805822000002</v>
      </c>
      <c r="AP284" s="827">
        <f t="shared" si="554"/>
        <v>39244.751400000001</v>
      </c>
      <c r="AQ284" s="827">
        <f t="shared" si="554"/>
        <v>42702.623066</v>
      </c>
      <c r="AR284" s="827">
        <f t="shared" si="554"/>
        <v>6300.87997</v>
      </c>
      <c r="AS284" s="827">
        <f t="shared" si="554"/>
        <v>4532.9429749999999</v>
      </c>
      <c r="AT284" s="827">
        <f t="shared" si="554"/>
        <v>4619.4680360000002</v>
      </c>
      <c r="AU284" s="827">
        <f t="shared" si="554"/>
        <v>10852.641540000001</v>
      </c>
      <c r="AV284" s="827">
        <f t="shared" si="554"/>
        <v>9086.6389890000009</v>
      </c>
      <c r="AW284" s="829">
        <f t="shared" ref="AW284:BB284" si="555">AW101</f>
        <v>0.95881349897876955</v>
      </c>
      <c r="AX284" s="829">
        <f t="shared" si="555"/>
        <v>-2.6697177726926008E-2</v>
      </c>
      <c r="AY284" s="829">
        <f t="shared" si="555"/>
        <v>0.9800193621255312</v>
      </c>
      <c r="AZ284" s="829">
        <f t="shared" si="555"/>
        <v>0.57580296784744411</v>
      </c>
      <c r="BA284" s="829">
        <f t="shared" si="555"/>
        <v>-1.8902420868407401E-2</v>
      </c>
      <c r="BB284" s="829">
        <f t="shared" si="555"/>
        <v>0.60263809618570463</v>
      </c>
    </row>
    <row r="285" spans="1:54" ht="15" customHeight="1">
      <c r="A285" s="449">
        <v>2014</v>
      </c>
      <c r="B285" s="449"/>
      <c r="C285" s="50"/>
      <c r="D285" s="51"/>
      <c r="E285" s="51"/>
      <c r="F285" s="51"/>
      <c r="G285" s="51"/>
      <c r="H285" s="51"/>
      <c r="I285" s="51" t="s">
        <v>142</v>
      </c>
      <c r="J285" s="524" t="s">
        <v>515</v>
      </c>
      <c r="K285" s="543">
        <f t="shared" ref="K285:O285" si="556">LN(K102)</f>
        <v>9.3489804050725009</v>
      </c>
      <c r="L285" s="543">
        <f t="shared" si="556"/>
        <v>9.1404100739922765</v>
      </c>
      <c r="M285" s="543">
        <f t="shared" si="556"/>
        <v>7.1680343848628336</v>
      </c>
      <c r="N285" s="543">
        <f t="shared" si="556"/>
        <v>6.4202787803654324</v>
      </c>
      <c r="O285" s="543">
        <f t="shared" si="556"/>
        <v>6.5616802215091603</v>
      </c>
      <c r="P285" s="149">
        <f t="shared" si="390"/>
        <v>0.46382386728918773</v>
      </c>
      <c r="Q285" s="149">
        <f t="shared" si="391"/>
        <v>-1.8362677629814999</v>
      </c>
      <c r="R285" s="149">
        <f t="shared" si="392"/>
        <v>-3.4580101503399403</v>
      </c>
      <c r="S285" s="149">
        <f t="shared" si="393"/>
        <v>-2.7078797304302751</v>
      </c>
      <c r="T285" s="149">
        <f t="shared" si="394"/>
        <v>-2.1756919374247894</v>
      </c>
      <c r="U285" s="51">
        <f t="shared" si="395"/>
        <v>0.653737746156419</v>
      </c>
      <c r="V285" s="51">
        <f t="shared" si="396"/>
        <v>0.70854773236397739</v>
      </c>
      <c r="W285" s="51">
        <f t="shared" si="397"/>
        <v>0.4085868102784817</v>
      </c>
      <c r="X285" s="51">
        <f t="shared" si="398"/>
        <v>0.11660744991352869</v>
      </c>
      <c r="Y285" s="51">
        <f t="shared" si="399"/>
        <v>4.9060360985678599E-2</v>
      </c>
      <c r="Z285" s="51">
        <f t="shared" si="400"/>
        <v>0.14899009328859167</v>
      </c>
      <c r="AA285" s="51">
        <f t="shared" si="401"/>
        <v>0.12929644101736157</v>
      </c>
      <c r="AB285" s="51">
        <f t="shared" si="402"/>
        <v>1.9273537320677481E-2</v>
      </c>
      <c r="AC285" s="51">
        <f t="shared" si="403"/>
        <v>9.5589219082165104E-3</v>
      </c>
      <c r="AD285" s="62">
        <f t="shared" si="404"/>
        <v>1.0801494271698525E-2</v>
      </c>
      <c r="AE285" s="699"/>
      <c r="AF285" s="701">
        <f t="shared" si="384"/>
        <v>-4.3147363688783857E-2</v>
      </c>
      <c r="AG285" s="698"/>
      <c r="AH285" s="700"/>
      <c r="AI285" s="701">
        <f t="shared" si="385"/>
        <v>-8.7979421970617339E-2</v>
      </c>
      <c r="AJ285" s="699"/>
      <c r="AK285" s="678">
        <f t="shared" si="405"/>
        <v>0.60635416335367354</v>
      </c>
      <c r="AL285" s="51">
        <f t="shared" si="406"/>
        <v>0.35952644929280309</v>
      </c>
      <c r="AM285" s="827">
        <f t="shared" ref="AM285:AV285" si="557">AM102</f>
        <v>26696.747924000003</v>
      </c>
      <c r="AN285" s="827">
        <f t="shared" si="557"/>
        <v>21018.926203000003</v>
      </c>
      <c r="AO285" s="827">
        <f t="shared" si="557"/>
        <v>39807.849022000002</v>
      </c>
      <c r="AP285" s="827">
        <f t="shared" si="557"/>
        <v>56759.226105000002</v>
      </c>
      <c r="AQ285" s="827">
        <f t="shared" si="557"/>
        <v>62283.157799000001</v>
      </c>
      <c r="AR285" s="827">
        <f t="shared" si="557"/>
        <v>43949.016122000001</v>
      </c>
      <c r="AS285" s="827">
        <f t="shared" si="557"/>
        <v>49392.827692999999</v>
      </c>
      <c r="AT285" s="827">
        <f t="shared" si="557"/>
        <v>26313.302867999999</v>
      </c>
      <c r="AU285" s="827">
        <f t="shared" si="557"/>
        <v>2228.0932200000002</v>
      </c>
      <c r="AV285" s="827">
        <f t="shared" si="557"/>
        <v>1702.4997330000001</v>
      </c>
      <c r="AW285" s="829">
        <f t="shared" ref="AW285:BB285" si="558">AW102</f>
        <v>-0.9040904090409041</v>
      </c>
      <c r="AX285" s="829">
        <f t="shared" si="558"/>
        <v>-0.74642755072877964</v>
      </c>
      <c r="AY285" s="829">
        <f t="shared" si="558"/>
        <v>-0.17048598324977104</v>
      </c>
      <c r="AZ285" s="829">
        <f t="shared" si="558"/>
        <v>-6.7855725830311103E-2</v>
      </c>
      <c r="BA285" s="829">
        <f t="shared" si="558"/>
        <v>-0.11292342411570944</v>
      </c>
      <c r="BB285" s="829">
        <f t="shared" si="558"/>
        <v>-0.13630616021525227</v>
      </c>
    </row>
    <row r="286" spans="1:54" s="684" customFormat="1" ht="15" customHeight="1">
      <c r="A286" s="449">
        <v>2014</v>
      </c>
      <c r="B286" s="449"/>
      <c r="C286" s="50"/>
      <c r="D286" s="51"/>
      <c r="E286" s="51"/>
      <c r="F286" s="51"/>
      <c r="G286" s="51"/>
      <c r="H286" s="51"/>
      <c r="I286" s="51" t="s">
        <v>554</v>
      </c>
      <c r="J286" s="524" t="s">
        <v>1050</v>
      </c>
      <c r="K286" s="543">
        <f t="shared" ref="K286:O286" si="559">LN(K103)</f>
        <v>13.400720608343692</v>
      </c>
      <c r="L286" s="543">
        <f t="shared" si="559"/>
        <v>13.287760859890275</v>
      </c>
      <c r="M286" s="543">
        <f t="shared" si="559"/>
        <v>13.172014123547799</v>
      </c>
      <c r="N286" s="543">
        <f t="shared" si="559"/>
        <v>13.25898125193928</v>
      </c>
      <c r="O286" s="543">
        <f t="shared" si="559"/>
        <v>13.334123988169967</v>
      </c>
      <c r="P286" s="149">
        <f t="shared" si="390"/>
        <v>7.1885707191296014E-2</v>
      </c>
      <c r="Q286" s="149">
        <f t="shared" si="391"/>
        <v>8.1346801575099464E-2</v>
      </c>
      <c r="R286" s="149">
        <f t="shared" si="392"/>
        <v>5.9963612280474712E-2</v>
      </c>
      <c r="S286" s="149">
        <f t="shared" si="393"/>
        <v>3.5054388122715656E-2</v>
      </c>
      <c r="T286" s="149">
        <f t="shared" si="394"/>
        <v>2.6396364613238479E-2</v>
      </c>
      <c r="U286" s="51">
        <f t="shared" si="395"/>
        <v>0.3974025505184971</v>
      </c>
      <c r="V286" s="51">
        <f t="shared" si="396"/>
        <v>0.61492487433719789</v>
      </c>
      <c r="W286" s="51">
        <f t="shared" si="397"/>
        <v>0.62665725555682283</v>
      </c>
      <c r="X286" s="51">
        <f t="shared" si="398"/>
        <v>0.68029791824009744</v>
      </c>
      <c r="Y286" s="51">
        <f t="shared" si="399"/>
        <v>0.73638726821096412</v>
      </c>
      <c r="Z286" s="51">
        <f t="shared" si="400"/>
        <v>1.1921896011768847</v>
      </c>
      <c r="AA286" s="51">
        <f t="shared" si="401"/>
        <v>1.1462293387426141</v>
      </c>
      <c r="AB286" s="51">
        <f t="shared" si="402"/>
        <v>1.1307362400177319</v>
      </c>
      <c r="AC286" s="51">
        <f t="shared" si="403"/>
        <v>1.1302968336820352</v>
      </c>
      <c r="AD286" s="62">
        <f t="shared" si="404"/>
        <v>1.0198734083200607</v>
      </c>
      <c r="AE286" s="699"/>
      <c r="AF286" s="701">
        <f t="shared" si="384"/>
        <v>4.0882079142542507E-2</v>
      </c>
      <c r="AG286" s="698"/>
      <c r="AH286" s="700"/>
      <c r="AI286" s="701">
        <f t="shared" si="385"/>
        <v>7.9487575754085799E-2</v>
      </c>
      <c r="AJ286" s="699"/>
      <c r="AK286" s="678">
        <f t="shared" si="405"/>
        <v>-0.16210986462216773</v>
      </c>
      <c r="AL286" s="51">
        <f t="shared" si="406"/>
        <v>-0.10973001265414128</v>
      </c>
      <c r="AM286" s="827">
        <f t="shared" ref="AM286:AV286" si="560">AM103</f>
        <v>214888</v>
      </c>
      <c r="AN286" s="827">
        <f t="shared" si="560"/>
        <v>198187</v>
      </c>
      <c r="AO286" s="827">
        <f t="shared" si="560"/>
        <v>173492</v>
      </c>
      <c r="AP286" s="827">
        <f t="shared" si="560"/>
        <v>162127</v>
      </c>
      <c r="AQ286" s="827">
        <f t="shared" si="560"/>
        <v>159719</v>
      </c>
      <c r="AR286" s="827">
        <f t="shared" si="560"/>
        <v>206946</v>
      </c>
      <c r="AS286" s="827">
        <f t="shared" si="560"/>
        <v>196487</v>
      </c>
      <c r="AT286" s="827">
        <f t="shared" si="560"/>
        <v>194163</v>
      </c>
      <c r="AU286" s="827">
        <f t="shared" si="560"/>
        <v>214823</v>
      </c>
      <c r="AV286" s="827">
        <f t="shared" si="560"/>
        <v>303115</v>
      </c>
      <c r="AW286" s="829">
        <f t="shared" ref="AW286:BB286" si="561">AW103</f>
        <v>5.3811259752899063E-2</v>
      </c>
      <c r="AX286" s="829">
        <f t="shared" si="561"/>
        <v>9.3532815387551607E-2</v>
      </c>
      <c r="AY286" s="829">
        <f t="shared" si="561"/>
        <v>0.16227602581336301</v>
      </c>
      <c r="AZ286" s="829">
        <f t="shared" si="561"/>
        <v>6.6546876913790506E-2</v>
      </c>
      <c r="BA286" s="829">
        <f t="shared" si="561"/>
        <v>0.10325204349705336</v>
      </c>
      <c r="BB286" s="829">
        <f t="shared" si="561"/>
        <v>0.16949447846677529</v>
      </c>
    </row>
    <row r="287" spans="1:54" s="684" customFormat="1" ht="15" customHeight="1">
      <c r="A287" s="449">
        <v>2014</v>
      </c>
      <c r="B287" s="449"/>
      <c r="C287" s="50"/>
      <c r="D287" s="51"/>
      <c r="E287" s="51"/>
      <c r="F287" s="51"/>
      <c r="G287" s="51"/>
      <c r="H287" s="51"/>
      <c r="I287" s="51" t="s">
        <v>554</v>
      </c>
      <c r="J287" s="524" t="s">
        <v>653</v>
      </c>
      <c r="K287" s="543">
        <f t="shared" ref="K287:O287" si="562">LN(K104)</f>
        <v>13.868448104128678</v>
      </c>
      <c r="L287" s="543">
        <f t="shared" si="562"/>
        <v>13.743113064108124</v>
      </c>
      <c r="M287" s="543">
        <f t="shared" si="562"/>
        <v>13.599503774232685</v>
      </c>
      <c r="N287" s="543">
        <f t="shared" si="562"/>
        <v>13.628848804126632</v>
      </c>
      <c r="O287" s="543">
        <f t="shared" si="562"/>
        <v>13.433520470370304</v>
      </c>
      <c r="P287" s="149">
        <f t="shared" si="390"/>
        <v>5.8789757721896888E-2</v>
      </c>
      <c r="Q287" s="149">
        <f t="shared" si="391"/>
        <v>6.6043773198515301E-2</v>
      </c>
      <c r="R287" s="149">
        <f t="shared" si="392"/>
        <v>6.5834104224483506E-2</v>
      </c>
      <c r="S287" s="149">
        <f t="shared" si="393"/>
        <v>5.046047582501919E-2</v>
      </c>
      <c r="T287" s="149">
        <f t="shared" si="394"/>
        <v>3.1429083921075157E-2</v>
      </c>
      <c r="U287" s="51">
        <f t="shared" si="395"/>
        <v>0.50019493177387919</v>
      </c>
      <c r="V287" s="51">
        <f t="shared" si="396"/>
        <v>0.45931365203057095</v>
      </c>
      <c r="W287" s="51">
        <f t="shared" si="397"/>
        <v>0.42353142661414622</v>
      </c>
      <c r="X287" s="51">
        <f t="shared" si="398"/>
        <v>0.39639977498593659</v>
      </c>
      <c r="Y287" s="51">
        <f t="shared" si="399"/>
        <v>0.75724943329702199</v>
      </c>
      <c r="Z287" s="51">
        <f t="shared" si="400"/>
        <v>1.1317738791423002</v>
      </c>
      <c r="AA287" s="51">
        <f t="shared" si="401"/>
        <v>1.1708377041810281</v>
      </c>
      <c r="AB287" s="51">
        <f t="shared" si="402"/>
        <v>1.1108066449734544</v>
      </c>
      <c r="AC287" s="51">
        <f t="shared" si="403"/>
        <v>0.97731108194262128</v>
      </c>
      <c r="AD287" s="62">
        <f t="shared" si="404"/>
        <v>0.82919661190434135</v>
      </c>
      <c r="AE287" s="699"/>
      <c r="AF287" s="701">
        <f t="shared" si="384"/>
        <v>4.7068070535818497E-2</v>
      </c>
      <c r="AG287" s="698"/>
      <c r="AH287" s="700"/>
      <c r="AI287" s="701">
        <f t="shared" si="385"/>
        <v>1.9500143952420848E-2</v>
      </c>
      <c r="AJ287" s="699"/>
      <c r="AK287" s="678">
        <f t="shared" si="405"/>
        <v>0.16598330386238239</v>
      </c>
      <c r="AL287" s="51">
        <f t="shared" si="406"/>
        <v>-0.33371800668287577</v>
      </c>
      <c r="AM287" s="827">
        <f t="shared" ref="AM287:AV287" si="563">AM104</f>
        <v>465619.83600000001</v>
      </c>
      <c r="AN287" s="827">
        <f t="shared" si="563"/>
        <v>429543.22400000005</v>
      </c>
      <c r="AO287" s="827">
        <f t="shared" si="563"/>
        <v>418144.71600000001</v>
      </c>
      <c r="AP287" s="827">
        <f t="shared" si="563"/>
        <v>512448.70500000002</v>
      </c>
      <c r="AQ287" s="827">
        <f t="shared" si="563"/>
        <v>199805.089427</v>
      </c>
      <c r="AR287" s="827">
        <f t="shared" si="563"/>
        <v>136925.64600000001</v>
      </c>
      <c r="AS287" s="827">
        <f t="shared" si="563"/>
        <v>131196.40600000002</v>
      </c>
      <c r="AT287" s="827">
        <f t="shared" si="563"/>
        <v>146214.00200000001</v>
      </c>
      <c r="AU287" s="827">
        <f t="shared" si="563"/>
        <v>182915.05499999999</v>
      </c>
      <c r="AV287" s="827">
        <f t="shared" si="563"/>
        <v>467772.996697</v>
      </c>
      <c r="AW287" s="829">
        <f t="shared" ref="AW287:BB287" si="564">AW104</f>
        <v>4.5856445494852932E-2</v>
      </c>
      <c r="AX287" s="829">
        <f t="shared" si="564"/>
        <v>0.22889469103568322</v>
      </c>
      <c r="AY287" s="829">
        <f t="shared" si="564"/>
        <v>0.36278674596431604</v>
      </c>
      <c r="AZ287" s="829">
        <f t="shared" si="564"/>
        <v>6.0785657266605883E-2</v>
      </c>
      <c r="BA287" s="829">
        <f t="shared" si="564"/>
        <v>0.14004938624590929</v>
      </c>
      <c r="BB287" s="829">
        <f t="shared" si="564"/>
        <v>0.22678054851340185</v>
      </c>
    </row>
    <row r="288" spans="1:54" ht="15" customHeight="1">
      <c r="A288" s="449">
        <v>2014</v>
      </c>
      <c r="B288" s="449"/>
      <c r="C288" s="50"/>
      <c r="D288" s="51"/>
      <c r="E288" s="51"/>
      <c r="F288" s="51"/>
      <c r="G288" s="51"/>
      <c r="H288" s="51"/>
      <c r="I288" s="51" t="s">
        <v>554</v>
      </c>
      <c r="J288" s="524" t="s">
        <v>517</v>
      </c>
      <c r="K288" s="543">
        <f t="shared" ref="K288:O288" si="565">LN(K105)</f>
        <v>11.184641762160672</v>
      </c>
      <c r="L288" s="543">
        <f t="shared" si="565"/>
        <v>11.776922495403449</v>
      </c>
      <c r="M288" s="543">
        <f t="shared" si="565"/>
        <v>12.178877132940956</v>
      </c>
      <c r="N288" s="543">
        <f t="shared" si="565"/>
        <v>12.503084568827706</v>
      </c>
      <c r="O288" s="543">
        <f t="shared" si="565"/>
        <v>12.4230422508621</v>
      </c>
      <c r="P288" s="149">
        <f t="shared" si="390"/>
        <v>1.3022318306525364</v>
      </c>
      <c r="Q288" s="149">
        <f t="shared" si="391"/>
        <v>-1.0992699328447932</v>
      </c>
      <c r="R288" s="149">
        <f t="shared" si="392"/>
        <v>-0.97439708956295579</v>
      </c>
      <c r="S288" s="149">
        <f t="shared" si="393"/>
        <v>2.1244431616824263E-3</v>
      </c>
      <c r="T288" s="149">
        <f t="shared" si="394"/>
        <v>9.2376537181898862E-3</v>
      </c>
      <c r="U288" s="51">
        <f t="shared" si="395"/>
        <v>0.91178210219270905</v>
      </c>
      <c r="V288" s="51">
        <f t="shared" si="396"/>
        <v>1.1279256678722598</v>
      </c>
      <c r="W288" s="51">
        <f t="shared" si="397"/>
        <v>0.92311180448554908</v>
      </c>
      <c r="X288" s="51">
        <f t="shared" si="398"/>
        <v>0.75851881963573331</v>
      </c>
      <c r="Y288" s="51">
        <f t="shared" si="399"/>
        <v>0.75769989499475821</v>
      </c>
      <c r="Z288" s="51">
        <f t="shared" si="400"/>
        <v>0.12401743192465653</v>
      </c>
      <c r="AA288" s="51">
        <f t="shared" si="401"/>
        <v>0.19989882011016108</v>
      </c>
      <c r="AB288" s="51">
        <f t="shared" si="402"/>
        <v>0.23977966486630095</v>
      </c>
      <c r="AC288" s="51">
        <f t="shared" si="403"/>
        <v>0.20191612985048285</v>
      </c>
      <c r="AD288" s="62">
        <f t="shared" si="404"/>
        <v>0.17489826980462264</v>
      </c>
      <c r="AE288" s="699"/>
      <c r="AF288" s="701">
        <f t="shared" si="384"/>
        <v>-0.23525625723447022</v>
      </c>
      <c r="AG288" s="698"/>
      <c r="AH288" s="700"/>
      <c r="AI288" s="701">
        <f t="shared" si="385"/>
        <v>-3.0453737942438841</v>
      </c>
      <c r="AJ288" s="699"/>
      <c r="AK288" s="678">
        <f t="shared" si="405"/>
        <v>-0.24416511792114343</v>
      </c>
      <c r="AL288" s="51">
        <f t="shared" si="406"/>
        <v>0.16541190949079088</v>
      </c>
      <c r="AM288" s="827">
        <f t="shared" ref="AM288:AV288" si="566">AM105</f>
        <v>51227.504042</v>
      </c>
      <c r="AN288" s="827">
        <f t="shared" si="566"/>
        <v>-83329.837767000005</v>
      </c>
      <c r="AO288" s="827">
        <f t="shared" si="566"/>
        <v>62411.763530000004</v>
      </c>
      <c r="AP288" s="827">
        <f t="shared" si="566"/>
        <v>321908.68708499998</v>
      </c>
      <c r="AQ288" s="827">
        <f t="shared" si="566"/>
        <v>344212.61853500002</v>
      </c>
      <c r="AR288" s="827">
        <f t="shared" si="566"/>
        <v>500328.36860600003</v>
      </c>
      <c r="AS288" s="827">
        <f t="shared" si="566"/>
        <v>7995.5994800000008</v>
      </c>
      <c r="AT288" s="827">
        <f t="shared" si="566"/>
        <v>16365.781692</v>
      </c>
      <c r="AU288" s="827">
        <f t="shared" si="566"/>
        <v>818322.63490499998</v>
      </c>
      <c r="AV288" s="827">
        <f t="shared" si="566"/>
        <v>844157.05408100004</v>
      </c>
      <c r="AW288" s="829">
        <f t="shared" ref="AW288:BB288" si="567">AW105</f>
        <v>2.7189243386690543E-3</v>
      </c>
      <c r="AX288" s="829">
        <f t="shared" si="567"/>
        <v>6.9878115991058249E-4</v>
      </c>
      <c r="AY288" s="829">
        <f t="shared" si="567"/>
        <v>-11.588263423965023</v>
      </c>
      <c r="AZ288" s="829">
        <f t="shared" si="567"/>
        <v>3.6757783382738852E-3</v>
      </c>
      <c r="BA288" s="829">
        <f t="shared" si="567"/>
        <v>9.5899811641757889E-4</v>
      </c>
      <c r="BB288" s="829">
        <f t="shared" si="567"/>
        <v>-10.930903367732345</v>
      </c>
    </row>
    <row r="289" spans="1:54" ht="15" customHeight="1">
      <c r="A289" s="449">
        <v>2014</v>
      </c>
      <c r="B289" s="449"/>
      <c r="C289" s="50"/>
      <c r="D289" s="51"/>
      <c r="E289" s="51"/>
      <c r="F289" s="51"/>
      <c r="G289" s="51"/>
      <c r="H289" s="51"/>
      <c r="I289" s="51" t="s">
        <v>554</v>
      </c>
      <c r="J289" s="524" t="s">
        <v>555</v>
      </c>
      <c r="K289" s="543">
        <f t="shared" ref="K289:O289" si="568">LN(K106)</f>
        <v>10.682870345779202</v>
      </c>
      <c r="L289" s="543">
        <f t="shared" si="568"/>
        <v>10.571035452912456</v>
      </c>
      <c r="M289" s="543">
        <f t="shared" si="568"/>
        <v>11.274733291422768</v>
      </c>
      <c r="N289" s="543">
        <f t="shared" si="568"/>
        <v>10.810404976897123</v>
      </c>
      <c r="O289" s="543">
        <f t="shared" si="568"/>
        <v>9.2689439120291777</v>
      </c>
      <c r="P289" s="149">
        <f t="shared" si="390"/>
        <v>-8.5421554608432482E-2</v>
      </c>
      <c r="Q289" s="149">
        <f t="shared" si="391"/>
        <v>-7.0877850824292418E-2</v>
      </c>
      <c r="R289" s="149">
        <f t="shared" si="392"/>
        <v>4.1962958467390435E-3</v>
      </c>
      <c r="S289" s="149">
        <f t="shared" si="393"/>
        <v>7.9803953077293904E-2</v>
      </c>
      <c r="T289" s="149">
        <f t="shared" si="394"/>
        <v>-0.25285824394630357</v>
      </c>
      <c r="U289" s="51">
        <f t="shared" si="395"/>
        <v>0.43962956491350696</v>
      </c>
      <c r="V289" s="51">
        <f t="shared" si="396"/>
        <v>0.45427174386282193</v>
      </c>
      <c r="W289" s="51">
        <f t="shared" si="397"/>
        <v>0.53590977824809216</v>
      </c>
      <c r="X289" s="51">
        <f t="shared" si="398"/>
        <v>0.41368714871350232</v>
      </c>
      <c r="Y289" s="51">
        <f t="shared" si="399"/>
        <v>0.38973926794278763</v>
      </c>
      <c r="Z289" s="51">
        <f t="shared" si="400"/>
        <v>0.92545816159768113</v>
      </c>
      <c r="AA289" s="51">
        <f t="shared" si="401"/>
        <v>1.0967982852741218</v>
      </c>
      <c r="AB289" s="51">
        <f t="shared" si="402"/>
        <v>1.869899455568558</v>
      </c>
      <c r="AC289" s="51">
        <f t="shared" si="403"/>
        <v>1.1832508119043816</v>
      </c>
      <c r="AD289" s="62">
        <f t="shared" si="404"/>
        <v>0.29484927537604222</v>
      </c>
      <c r="AE289" s="699"/>
      <c r="AF289" s="701">
        <f t="shared" si="384"/>
        <v>8.2401721319648055E-2</v>
      </c>
      <c r="AG289" s="698"/>
      <c r="AH289" s="700"/>
      <c r="AI289" s="701">
        <f t="shared" si="385"/>
        <v>0.1390768063867768</v>
      </c>
      <c r="AJ289" s="699"/>
      <c r="AK289" s="678">
        <f t="shared" si="405"/>
        <v>2.0057893793935904</v>
      </c>
      <c r="AL289" s="51">
        <f t="shared" si="406"/>
        <v>0.14617051030530454</v>
      </c>
      <c r="AM289" s="827">
        <f t="shared" ref="AM289:AV289" si="569">AM106</f>
        <v>26401.831148000001</v>
      </c>
      <c r="AN289" s="827">
        <f t="shared" si="569"/>
        <v>19399.567297000001</v>
      </c>
      <c r="AO289" s="827">
        <f t="shared" si="569"/>
        <v>19558.638343999999</v>
      </c>
      <c r="AP289" s="827">
        <f t="shared" si="569"/>
        <v>24544.207515000002</v>
      </c>
      <c r="AQ289" s="827">
        <f t="shared" si="569"/>
        <v>21946.564965000001</v>
      </c>
      <c r="AR289" s="827">
        <f t="shared" si="569"/>
        <v>5196.0316540000003</v>
      </c>
      <c r="AS289" s="827">
        <f t="shared" si="569"/>
        <v>7646.417031</v>
      </c>
      <c r="AT289" s="827">
        <f t="shared" si="569"/>
        <v>11751.903826</v>
      </c>
      <c r="AU289" s="827">
        <f t="shared" si="569"/>
        <v>9474.9680100000005</v>
      </c>
      <c r="AV289" s="827">
        <f t="shared" si="569"/>
        <v>11412.826743</v>
      </c>
      <c r="AW289" s="829">
        <f t="shared" ref="AW289:BB289" si="570">AW106</f>
        <v>-0.23492816542093722</v>
      </c>
      <c r="AX289" s="829">
        <f t="shared" si="570"/>
        <v>0.41720151886824153</v>
      </c>
      <c r="AY289" s="829">
        <f t="shared" si="570"/>
        <v>2.8139237428779825E-2</v>
      </c>
      <c r="AZ289" s="829">
        <f t="shared" si="570"/>
        <v>-0.16611580121072431</v>
      </c>
      <c r="BA289" s="829">
        <f t="shared" si="570"/>
        <v>0.26702001448337503</v>
      </c>
      <c r="BB289" s="829">
        <f t="shared" si="570"/>
        <v>2.2926743809749746E-2</v>
      </c>
    </row>
    <row r="290" spans="1:54" ht="15" customHeight="1">
      <c r="A290" s="449">
        <v>2013</v>
      </c>
      <c r="B290" s="449"/>
      <c r="C290" s="50"/>
      <c r="D290" s="51"/>
      <c r="E290" s="51"/>
      <c r="F290" s="51"/>
      <c r="G290" s="51"/>
      <c r="H290" s="51"/>
      <c r="I290" s="51" t="s">
        <v>144</v>
      </c>
      <c r="J290" s="524" t="s">
        <v>518</v>
      </c>
      <c r="K290" s="543">
        <f t="shared" ref="K290:O290" si="571">LN(K107)</f>
        <v>13.562670861429643</v>
      </c>
      <c r="L290" s="543">
        <f t="shared" si="571"/>
        <v>13.535784898592562</v>
      </c>
      <c r="M290" s="543">
        <f t="shared" si="571"/>
        <v>13.597290417709267</v>
      </c>
      <c r="N290" s="543">
        <f t="shared" si="571"/>
        <v>13.571090676093069</v>
      </c>
      <c r="O290" s="543">
        <f t="shared" si="571"/>
        <v>13.039648369585201</v>
      </c>
      <c r="P290" s="149">
        <f t="shared" si="390"/>
        <v>7.2917843577291169E-2</v>
      </c>
      <c r="Q290" s="149">
        <f t="shared" si="391"/>
        <v>8.0742262362809583E-2</v>
      </c>
      <c r="R290" s="149">
        <f t="shared" si="392"/>
        <v>4.4535677214209812E-2</v>
      </c>
      <c r="S290" s="149">
        <f t="shared" si="393"/>
        <v>1.7235659162812701E-2</v>
      </c>
      <c r="T290" s="149">
        <f t="shared" si="394"/>
        <v>0.12204483105716958</v>
      </c>
      <c r="U290" s="51">
        <f t="shared" si="395"/>
        <v>0.59084364224366648</v>
      </c>
      <c r="V290" s="51">
        <f t="shared" si="396"/>
        <v>0.60037452659049684</v>
      </c>
      <c r="W290" s="51">
        <f t="shared" si="397"/>
        <v>0.63931953518336793</v>
      </c>
      <c r="X290" s="51">
        <f t="shared" si="398"/>
        <v>0.56968905703844819</v>
      </c>
      <c r="Y290" s="51">
        <f t="shared" si="399"/>
        <v>0.54433541034237476</v>
      </c>
      <c r="Z290" s="51">
        <f t="shared" si="400"/>
        <v>0.8391309577333067</v>
      </c>
      <c r="AA290" s="51">
        <f t="shared" si="401"/>
        <v>0.7747189459278826</v>
      </c>
      <c r="AB290" s="51">
        <f t="shared" si="402"/>
        <v>0.73243427710838127</v>
      </c>
      <c r="AC290" s="51">
        <f t="shared" si="403"/>
        <v>0.66694526184708613</v>
      </c>
      <c r="AD290" s="62">
        <f t="shared" si="404"/>
        <v>0.41115089110321862</v>
      </c>
      <c r="AE290" s="699"/>
      <c r="AF290" s="701">
        <f t="shared" si="384"/>
        <v>-1.7559384497775068E-2</v>
      </c>
      <c r="AG290" s="698"/>
      <c r="AH290" s="700"/>
      <c r="AI290" s="701">
        <f t="shared" si="385"/>
        <v>-1.9683662265949767E-2</v>
      </c>
      <c r="AJ290" s="699"/>
      <c r="AK290" s="678">
        <f t="shared" si="405"/>
        <v>0.5576420481240667</v>
      </c>
      <c r="AL290" s="51">
        <f t="shared" si="406"/>
        <v>9.4984124840993167E-2</v>
      </c>
      <c r="AM290" s="827">
        <f t="shared" ref="AM290:AV290" si="572">AM107</f>
        <v>378662.82907199999</v>
      </c>
      <c r="AN290" s="827">
        <f t="shared" si="572"/>
        <v>389965.041708</v>
      </c>
      <c r="AO290" s="827">
        <f t="shared" si="572"/>
        <v>395896.95126</v>
      </c>
      <c r="AP290" s="827">
        <f t="shared" si="572"/>
        <v>505291.50041400001</v>
      </c>
      <c r="AQ290" s="827">
        <f t="shared" si="572"/>
        <v>510142.34862</v>
      </c>
      <c r="AR290" s="827">
        <f t="shared" si="572"/>
        <v>274649.19929700001</v>
      </c>
      <c r="AS290" s="827">
        <f t="shared" si="572"/>
        <v>262181.58174599998</v>
      </c>
      <c r="AT290" s="827">
        <f t="shared" si="572"/>
        <v>371044.06464</v>
      </c>
      <c r="AU290" s="827">
        <f t="shared" si="572"/>
        <v>432618.820542</v>
      </c>
      <c r="AV290" s="827">
        <f t="shared" si="572"/>
        <v>403964.14930799999</v>
      </c>
      <c r="AW290" s="829">
        <f t="shared" ref="AW290:BB290" si="573">AW107</f>
        <v>0.13906694012385584</v>
      </c>
      <c r="AX290" s="829">
        <f t="shared" si="573"/>
        <v>3.120127076785266E-2</v>
      </c>
      <c r="AY290" s="829">
        <f t="shared" si="573"/>
        <v>9.649632393321983E-2</v>
      </c>
      <c r="AZ290" s="829">
        <f t="shared" si="573"/>
        <v>0.1258779009610746</v>
      </c>
      <c r="BA290" s="829">
        <f t="shared" si="573"/>
        <v>2.9270263735588525E-2</v>
      </c>
      <c r="BB290" s="829">
        <f t="shared" si="573"/>
        <v>9.4311441509811772E-2</v>
      </c>
    </row>
    <row r="291" spans="1:54" ht="15" customHeight="1">
      <c r="A291" s="449">
        <v>2013</v>
      </c>
      <c r="B291" s="449"/>
      <c r="C291" s="50"/>
      <c r="D291" s="51"/>
      <c r="E291" s="51"/>
      <c r="F291" s="51"/>
      <c r="G291" s="51"/>
      <c r="H291" s="51"/>
      <c r="I291" s="51" t="s">
        <v>144</v>
      </c>
      <c r="J291" s="524" t="s">
        <v>556</v>
      </c>
      <c r="K291" s="543">
        <f t="shared" ref="K291:O291" si="574">LN(K108)</f>
        <v>5.5501398496361292</v>
      </c>
      <c r="L291" s="543">
        <f t="shared" si="574"/>
        <v>5.1087840594836198</v>
      </c>
      <c r="M291" s="543">
        <f t="shared" si="574"/>
        <v>5.3278680619606043</v>
      </c>
      <c r="N291" s="543">
        <f t="shared" si="574"/>
        <v>2.5336776074237815</v>
      </c>
      <c r="O291" s="543">
        <f t="shared" si="574"/>
        <v>3.537614606265135</v>
      </c>
      <c r="P291" s="149">
        <f t="shared" si="390"/>
        <v>-37.213789912077743</v>
      </c>
      <c r="Q291" s="149">
        <f t="shared" si="391"/>
        <v>-107.90690690690691</v>
      </c>
      <c r="R291" s="149">
        <f t="shared" si="392"/>
        <v>6.464451313755796</v>
      </c>
      <c r="S291" s="149">
        <f t="shared" si="393"/>
        <v>272.13513513513516</v>
      </c>
      <c r="T291" s="149">
        <f t="shared" si="394"/>
        <v>-65.52000000000001</v>
      </c>
      <c r="U291" s="51">
        <f t="shared" si="395"/>
        <v>0.26287135594939753</v>
      </c>
      <c r="V291" s="51">
        <f t="shared" si="396"/>
        <v>0.3008028149076864</v>
      </c>
      <c r="W291" s="51">
        <f t="shared" si="397"/>
        <v>0.18887104990969014</v>
      </c>
      <c r="X291" s="51">
        <f t="shared" si="398"/>
        <v>7.4848788009508702E-3</v>
      </c>
      <c r="Y291" s="51">
        <f t="shared" si="399"/>
        <v>0.30404226184083344</v>
      </c>
      <c r="Z291" s="51">
        <f t="shared" si="400"/>
        <v>8.119389974939226E-3</v>
      </c>
      <c r="AA291" s="51">
        <f t="shared" si="401"/>
        <v>3.3669693231683888E-3</v>
      </c>
      <c r="AB291" s="51">
        <f t="shared" si="402"/>
        <v>2.4970282662055976E-3</v>
      </c>
      <c r="AC291" s="51">
        <f t="shared" si="403"/>
        <v>3.3959597257533065E-4</v>
      </c>
      <c r="AD291" s="62">
        <f t="shared" si="404"/>
        <v>1.3424981205026314E-3</v>
      </c>
      <c r="AE291" s="699"/>
      <c r="AF291" s="701">
        <f t="shared" si="384"/>
        <v>0.10410239451129055</v>
      </c>
      <c r="AG291" s="698"/>
      <c r="AH291" s="700"/>
      <c r="AI291" s="701">
        <f t="shared" si="385"/>
        <v>0.14628822656421284</v>
      </c>
      <c r="AJ291" s="699"/>
      <c r="AK291" s="678">
        <f t="shared" si="405"/>
        <v>1.7902534556954692</v>
      </c>
      <c r="AL291" s="51">
        <f t="shared" si="406"/>
        <v>-0.1151712119311433</v>
      </c>
      <c r="AM291" s="827">
        <f t="shared" ref="AM291:AV291" si="575">AM108</f>
        <v>23356.889017000001</v>
      </c>
      <c r="AN291" s="827">
        <f t="shared" si="575"/>
        <v>34362.029633999999</v>
      </c>
      <c r="AO291" s="827">
        <f t="shared" si="575"/>
        <v>66916.026299999998</v>
      </c>
      <c r="AP291" s="827">
        <f t="shared" si="575"/>
        <v>36824.325158</v>
      </c>
      <c r="AQ291" s="827">
        <f t="shared" si="575"/>
        <v>17825.252243999999</v>
      </c>
      <c r="AR291" s="827">
        <f t="shared" si="575"/>
        <v>0</v>
      </c>
      <c r="AS291" s="827">
        <f t="shared" si="575"/>
        <v>9044.1497039999995</v>
      </c>
      <c r="AT291" s="827">
        <f t="shared" si="575"/>
        <v>0</v>
      </c>
      <c r="AU291" s="827">
        <f t="shared" si="575"/>
        <v>0</v>
      </c>
      <c r="AV291" s="827">
        <f t="shared" si="575"/>
        <v>0</v>
      </c>
      <c r="AW291" s="829" t="e">
        <f t="shared" ref="AW291:BB291" si="576">AW108</f>
        <v>#DIV/0!</v>
      </c>
      <c r="AX291" s="829" t="e">
        <f t="shared" si="576"/>
        <v>#DIV/0!</v>
      </c>
      <c r="AY291" s="829" t="e">
        <f t="shared" si="576"/>
        <v>#DIV/0!</v>
      </c>
      <c r="AZ291" s="829" t="e">
        <f t="shared" si="576"/>
        <v>#DIV/0!</v>
      </c>
      <c r="BA291" s="829" t="e">
        <f t="shared" si="576"/>
        <v>#DIV/0!</v>
      </c>
      <c r="BB291" s="829" t="e">
        <f t="shared" si="576"/>
        <v>#DIV/0!</v>
      </c>
    </row>
    <row r="292" spans="1:54" s="684" customFormat="1" ht="15" customHeight="1">
      <c r="A292" s="449">
        <v>2012</v>
      </c>
      <c r="B292" s="449"/>
      <c r="C292" s="50"/>
      <c r="D292" s="51"/>
      <c r="E292" s="51"/>
      <c r="F292" s="51"/>
      <c r="G292" s="51"/>
      <c r="H292" s="51"/>
      <c r="I292" s="51" t="s">
        <v>145</v>
      </c>
      <c r="J292" s="524" t="s">
        <v>1069</v>
      </c>
      <c r="K292" s="543">
        <f t="shared" ref="K292:O292" si="577">LN(K109)</f>
        <v>11.382680096022749</v>
      </c>
      <c r="L292" s="543">
        <f t="shared" si="577"/>
        <v>11.381004203959231</v>
      </c>
      <c r="M292" s="543">
        <f t="shared" si="577"/>
        <v>11.377712659563167</v>
      </c>
      <c r="N292" s="543">
        <f t="shared" si="577"/>
        <v>11.382714268674379</v>
      </c>
      <c r="O292" s="543">
        <f t="shared" si="577"/>
        <v>11.336975565983122</v>
      </c>
      <c r="P292" s="149">
        <f t="shared" si="390"/>
        <v>0.16756276484257529</v>
      </c>
      <c r="Q292" s="149">
        <f t="shared" si="391"/>
        <v>0.2622288654853322</v>
      </c>
      <c r="R292" s="149">
        <f t="shared" si="392"/>
        <v>0.35384016576419813</v>
      </c>
      <c r="S292" s="149">
        <f t="shared" si="393"/>
        <v>-0.1011493205453862</v>
      </c>
      <c r="T292" s="149">
        <f t="shared" si="394"/>
        <v>-8.8999117640044839E-2</v>
      </c>
      <c r="U292" s="51">
        <f t="shared" si="395"/>
        <v>0.75276631120284376</v>
      </c>
      <c r="V292" s="51">
        <f t="shared" si="396"/>
        <v>0.76537898279042405</v>
      </c>
      <c r="W292" s="51">
        <f t="shared" si="397"/>
        <v>0.92196440707399219</v>
      </c>
      <c r="X292" s="51">
        <f t="shared" si="398"/>
        <v>0.95641960113983826</v>
      </c>
      <c r="Y292" s="51">
        <f t="shared" si="399"/>
        <v>0.95107356937725263</v>
      </c>
      <c r="Z292" s="51">
        <f t="shared" si="400"/>
        <v>9.6791123106912583E-2</v>
      </c>
      <c r="AA292" s="51">
        <f t="shared" si="401"/>
        <v>8.7669404887183444E-2</v>
      </c>
      <c r="AB292" s="51">
        <f t="shared" si="402"/>
        <v>9.3637780555311384E-2</v>
      </c>
      <c r="AC292" s="51">
        <f t="shared" si="403"/>
        <v>9.1335835095907258E-2</v>
      </c>
      <c r="AD292" s="62">
        <f t="shared" si="404"/>
        <v>8.0822234643332116E-2</v>
      </c>
      <c r="AE292" s="699"/>
      <c r="AF292" s="701">
        <f t="shared" si="384"/>
        <v>4.0325915362436217E-2</v>
      </c>
      <c r="AG292" s="698"/>
      <c r="AH292" s="700"/>
      <c r="AI292" s="701">
        <f t="shared" si="385"/>
        <v>0.57160469035601924</v>
      </c>
      <c r="AJ292" s="699"/>
      <c r="AK292" s="678">
        <f t="shared" si="405"/>
        <v>4.0737093580045486E-2</v>
      </c>
      <c r="AL292" s="51">
        <f t="shared" si="406"/>
        <v>-2.9109162303260439E-2</v>
      </c>
      <c r="AM292" s="827">
        <f t="shared" ref="AM292:AV292" si="578">AM109</f>
        <v>224237</v>
      </c>
      <c r="AN292" s="827">
        <f t="shared" si="578"/>
        <v>234545</v>
      </c>
      <c r="AO292" s="827">
        <f t="shared" si="578"/>
        <v>72798</v>
      </c>
      <c r="AP292" s="827">
        <f t="shared" si="578"/>
        <v>41889</v>
      </c>
      <c r="AQ292" s="827">
        <f t="shared" si="578"/>
        <v>50769</v>
      </c>
      <c r="AR292" s="827">
        <f t="shared" si="578"/>
        <v>660783</v>
      </c>
      <c r="AS292" s="827">
        <f t="shared" si="578"/>
        <v>683671</v>
      </c>
      <c r="AT292" s="827">
        <f t="shared" si="578"/>
        <v>778390</v>
      </c>
      <c r="AU292" s="827">
        <f t="shared" si="578"/>
        <v>861360</v>
      </c>
      <c r="AV292" s="827">
        <f t="shared" si="578"/>
        <v>919849</v>
      </c>
      <c r="AW292" s="829">
        <f t="shared" ref="AW292:BB292" si="579">AW109</f>
        <v>-8.1143752942058976E-3</v>
      </c>
      <c r="AX292" s="829">
        <f t="shared" si="579"/>
        <v>-1.0309278350515464E-2</v>
      </c>
      <c r="AY292" s="829">
        <f t="shared" si="579"/>
        <v>3.9708886290933852E-2</v>
      </c>
      <c r="AZ292" s="829">
        <f t="shared" si="579"/>
        <v>-1.4910475443280219E-2</v>
      </c>
      <c r="BA292" s="829">
        <f t="shared" si="579"/>
        <v>-1.9098553549436029E-2</v>
      </c>
      <c r="BB292" s="829">
        <f t="shared" si="579"/>
        <v>6.9742987598272396E-2</v>
      </c>
    </row>
    <row r="293" spans="1:54" s="684" customFormat="1" ht="15" customHeight="1">
      <c r="A293" s="449">
        <v>2012</v>
      </c>
      <c r="B293" s="449"/>
      <c r="C293" s="50"/>
      <c r="D293" s="51"/>
      <c r="E293" s="51"/>
      <c r="F293" s="51"/>
      <c r="G293" s="51"/>
      <c r="H293" s="51"/>
      <c r="I293" s="51" t="s">
        <v>145</v>
      </c>
      <c r="J293" s="524" t="s">
        <v>515</v>
      </c>
      <c r="K293" s="543">
        <f t="shared" ref="K293:O293" si="580">LN(K110)</f>
        <v>7.1680343848628336</v>
      </c>
      <c r="L293" s="543">
        <f t="shared" si="580"/>
        <v>6.4202787803654324</v>
      </c>
      <c r="M293" s="543">
        <f t="shared" si="580"/>
        <v>6.5616802215091603</v>
      </c>
      <c r="N293" s="543">
        <f t="shared" si="580"/>
        <v>6.6334184335433415</v>
      </c>
      <c r="O293" s="543">
        <f t="shared" si="580"/>
        <v>8.6807849882260033</v>
      </c>
      <c r="P293" s="149">
        <f t="shared" si="390"/>
        <v>-3.4580101503399403</v>
      </c>
      <c r="Q293" s="149">
        <f t="shared" si="391"/>
        <v>-2.7078797304302751</v>
      </c>
      <c r="R293" s="149">
        <f t="shared" si="392"/>
        <v>-2.1756919374247894</v>
      </c>
      <c r="S293" s="149">
        <f t="shared" si="393"/>
        <v>-6.0952273241348109</v>
      </c>
      <c r="T293" s="149">
        <f t="shared" si="394"/>
        <v>0.64536576489142305</v>
      </c>
      <c r="U293" s="51">
        <f t="shared" si="395"/>
        <v>0.4085868102784817</v>
      </c>
      <c r="V293" s="51">
        <f t="shared" si="396"/>
        <v>0.11660744991352869</v>
      </c>
      <c r="W293" s="51">
        <f t="shared" si="397"/>
        <v>4.9060360985678599E-2</v>
      </c>
      <c r="X293" s="51">
        <f t="shared" si="398"/>
        <v>0.24707222955999275</v>
      </c>
      <c r="Y293" s="51">
        <f t="shared" si="399"/>
        <v>0.2620668345584477</v>
      </c>
      <c r="Z293" s="51">
        <f t="shared" si="400"/>
        <v>1.9273537320677481E-2</v>
      </c>
      <c r="AA293" s="51">
        <f t="shared" si="401"/>
        <v>9.5589219082165104E-3</v>
      </c>
      <c r="AB293" s="51">
        <f t="shared" si="402"/>
        <v>1.0801494271698525E-2</v>
      </c>
      <c r="AC293" s="51">
        <f t="shared" si="403"/>
        <v>1.144951182244322E-2</v>
      </c>
      <c r="AD293" s="62">
        <f t="shared" si="404"/>
        <v>7.660139951119331E-2</v>
      </c>
      <c r="AE293" s="699"/>
      <c r="AF293" s="701">
        <f t="shared" si="384"/>
        <v>-7.2936644786369284E-2</v>
      </c>
      <c r="AG293" s="698"/>
      <c r="AH293" s="700"/>
      <c r="AI293" s="701">
        <f t="shared" si="385"/>
        <v>-9.1705780969027484E-2</v>
      </c>
      <c r="AJ293" s="699"/>
      <c r="AK293" s="678">
        <f t="shared" si="405"/>
        <v>-2.1191047667168426</v>
      </c>
      <c r="AL293" s="51">
        <f t="shared" si="406"/>
        <v>-0.21300647357276911</v>
      </c>
      <c r="AM293" s="827">
        <f t="shared" ref="AM293:AV293" si="581">AM110</f>
        <v>39807.849022000002</v>
      </c>
      <c r="AN293" s="827">
        <f t="shared" si="581"/>
        <v>56759.226105000002</v>
      </c>
      <c r="AO293" s="827">
        <f t="shared" si="581"/>
        <v>62283.157799000001</v>
      </c>
      <c r="AP293" s="827">
        <f t="shared" si="581"/>
        <v>49983.120671999997</v>
      </c>
      <c r="AQ293" s="827">
        <f t="shared" si="581"/>
        <v>56727.804671999998</v>
      </c>
      <c r="AR293" s="827">
        <f t="shared" si="581"/>
        <v>26313.302867999999</v>
      </c>
      <c r="AS293" s="827">
        <f t="shared" si="581"/>
        <v>2228.0932200000002</v>
      </c>
      <c r="AT293" s="827">
        <f t="shared" si="581"/>
        <v>1702.4997330000001</v>
      </c>
      <c r="AU293" s="827">
        <f t="shared" si="581"/>
        <v>2291.4030720000001</v>
      </c>
      <c r="AV293" s="827">
        <f t="shared" si="581"/>
        <v>15846.82308</v>
      </c>
      <c r="AW293" s="829">
        <f t="shared" ref="AW293:BB293" si="582">AW110</f>
        <v>0.23981742364476502</v>
      </c>
      <c r="AX293" s="829">
        <f t="shared" si="582"/>
        <v>-2.0218337334933971</v>
      </c>
      <c r="AY293" s="829">
        <f t="shared" si="582"/>
        <v>-0.9040904090409041</v>
      </c>
      <c r="AZ293" s="829">
        <f t="shared" si="582"/>
        <v>0.11228437473579153</v>
      </c>
      <c r="BA293" s="829">
        <f t="shared" si="582"/>
        <v>-0.56932634564197826</v>
      </c>
      <c r="BB293" s="829">
        <f t="shared" si="582"/>
        <v>-6.7855725830311103E-2</v>
      </c>
    </row>
    <row r="294" spans="1:54" ht="15" customHeight="1">
      <c r="A294" s="449">
        <v>2012</v>
      </c>
      <c r="B294" s="449"/>
      <c r="C294" s="50"/>
      <c r="D294" s="51"/>
      <c r="E294" s="51"/>
      <c r="F294" s="51"/>
      <c r="G294" s="51"/>
      <c r="H294" s="51"/>
      <c r="I294" s="51" t="s">
        <v>145</v>
      </c>
      <c r="J294" s="524" t="s">
        <v>557</v>
      </c>
      <c r="K294" s="543">
        <f t="shared" ref="K294:O294" si="583">LN(K111)</f>
        <v>10.66673906139933</v>
      </c>
      <c r="L294" s="543">
        <f t="shared" si="583"/>
        <v>10.764366927694565</v>
      </c>
      <c r="M294" s="543">
        <f t="shared" si="583"/>
        <v>10.610155140097312</v>
      </c>
      <c r="N294" s="543">
        <f t="shared" si="583"/>
        <v>10.319925702805369</v>
      </c>
      <c r="O294" s="543">
        <f t="shared" si="583"/>
        <v>10.168465734511907</v>
      </c>
      <c r="P294" s="149">
        <f t="shared" si="390"/>
        <v>0.48183000026058481</v>
      </c>
      <c r="Q294" s="149">
        <f t="shared" si="391"/>
        <v>0.51899040888440184</v>
      </c>
      <c r="R294" s="149">
        <f t="shared" si="392"/>
        <v>0.46082486782041215</v>
      </c>
      <c r="S294" s="149">
        <f t="shared" si="393"/>
        <v>0.38349742944434057</v>
      </c>
      <c r="T294" s="149">
        <f t="shared" si="394"/>
        <v>0.32642281157295444</v>
      </c>
      <c r="U294" s="51">
        <f t="shared" si="395"/>
        <v>0.89307305703909734</v>
      </c>
      <c r="V294" s="51">
        <f t="shared" si="396"/>
        <v>0.90738485529795787</v>
      </c>
      <c r="W294" s="51">
        <f t="shared" si="397"/>
        <v>0.89666645068890161</v>
      </c>
      <c r="X294" s="51">
        <f t="shared" si="398"/>
        <v>0.90199653017756787</v>
      </c>
      <c r="Y294" s="51">
        <f t="shared" si="399"/>
        <v>0.89930309937555131</v>
      </c>
      <c r="Z294" s="51">
        <f t="shared" si="400"/>
        <v>3.1003299099964743E-2</v>
      </c>
      <c r="AA294" s="51">
        <f t="shared" si="401"/>
        <v>2.6203722189574737E-2</v>
      </c>
      <c r="AB294" s="51">
        <f t="shared" si="402"/>
        <v>2.6786079873077066E-2</v>
      </c>
      <c r="AC294" s="51">
        <f t="shared" si="403"/>
        <v>2.1298084450856715E-2</v>
      </c>
      <c r="AD294" s="62">
        <f t="shared" si="404"/>
        <v>1.9095592567003866E-2</v>
      </c>
      <c r="AE294" s="699"/>
      <c r="AF294" s="701">
        <f t="shared" si="384"/>
        <v>6.1104547025647308E-3</v>
      </c>
      <c r="AG294" s="698"/>
      <c r="AH294" s="700"/>
      <c r="AI294" s="701">
        <f t="shared" si="385"/>
        <v>5.7553979681419259E-2</v>
      </c>
      <c r="AJ294" s="699"/>
      <c r="AK294" s="678">
        <f t="shared" si="405"/>
        <v>0.44168940558540482</v>
      </c>
      <c r="AL294" s="51">
        <f t="shared" si="406"/>
        <v>-2.6366486866497008E-3</v>
      </c>
      <c r="AM294" s="827">
        <f t="shared" ref="AM294:AV294" si="584">AM111</f>
        <v>147973.911742</v>
      </c>
      <c r="AN294" s="827">
        <f t="shared" si="584"/>
        <v>167195.344725</v>
      </c>
      <c r="AO294" s="827">
        <f t="shared" si="584"/>
        <v>156409.64993799999</v>
      </c>
      <c r="AP294" s="827">
        <f t="shared" si="584"/>
        <v>139568.59089600001</v>
      </c>
      <c r="AQ294" s="827">
        <f t="shared" si="584"/>
        <v>137464.80541200002</v>
      </c>
      <c r="AR294" s="827">
        <f t="shared" si="584"/>
        <v>38429.064648</v>
      </c>
      <c r="AS294" s="827">
        <f t="shared" si="584"/>
        <v>49176.927450000003</v>
      </c>
      <c r="AT294" s="827">
        <f t="shared" si="584"/>
        <v>39812.681275000003</v>
      </c>
      <c r="AU294" s="827">
        <f t="shared" si="584"/>
        <v>40070.670527999995</v>
      </c>
      <c r="AV294" s="827">
        <f t="shared" si="584"/>
        <v>22202.16174</v>
      </c>
      <c r="AW294" s="829">
        <f t="shared" ref="AW294:BB294" si="585">AW111</f>
        <v>0.38326026625909987</v>
      </c>
      <c r="AX294" s="829">
        <f t="shared" si="585"/>
        <v>0.29028368916043118</v>
      </c>
      <c r="AY294" s="829">
        <f t="shared" si="585"/>
        <v>0.46929541323639473</v>
      </c>
      <c r="AZ294" s="829">
        <f t="shared" si="585"/>
        <v>0.35090038232868048</v>
      </c>
      <c r="BA294" s="829">
        <f t="shared" si="585"/>
        <v>0.27000264102884469</v>
      </c>
      <c r="BB294" s="829">
        <f t="shared" si="585"/>
        <v>0.43314519295201526</v>
      </c>
    </row>
    <row r="295" spans="1:54" ht="15" customHeight="1">
      <c r="A295" s="449">
        <v>2006</v>
      </c>
      <c r="B295" s="449"/>
      <c r="C295" s="50"/>
      <c r="D295" s="51"/>
      <c r="E295" s="51"/>
      <c r="F295" s="51"/>
      <c r="G295" s="51"/>
      <c r="H295" s="51"/>
      <c r="I295" s="51" t="s">
        <v>558</v>
      </c>
      <c r="J295" s="524" t="s">
        <v>522</v>
      </c>
      <c r="K295" s="543">
        <f t="shared" ref="K295:O295" si="586">LN(K112)</f>
        <v>11.411624163654226</v>
      </c>
      <c r="L295" s="543">
        <f t="shared" si="586"/>
        <v>11.507644108949034</v>
      </c>
      <c r="M295" s="543">
        <f t="shared" si="586"/>
        <v>11.279768870844498</v>
      </c>
      <c r="N295" s="543">
        <f t="shared" si="586"/>
        <v>10.985505761074966</v>
      </c>
      <c r="O295" s="543">
        <f t="shared" si="586"/>
        <v>11.014302529848237</v>
      </c>
      <c r="P295" s="149">
        <f t="shared" si="390"/>
        <v>-1.5323523119655022E-2</v>
      </c>
      <c r="Q295" s="149">
        <f t="shared" si="391"/>
        <v>2.4094186199928789E-2</v>
      </c>
      <c r="R295" s="149">
        <f t="shared" si="392"/>
        <v>7.7224373044815844E-2</v>
      </c>
      <c r="S295" s="149">
        <f t="shared" si="393"/>
        <v>5.1287748925994123E-2</v>
      </c>
      <c r="T295" s="149">
        <f t="shared" si="394"/>
        <v>1.4848304093267829E-3</v>
      </c>
      <c r="U295" s="51">
        <f t="shared" si="395"/>
        <v>0.5032114685169673</v>
      </c>
      <c r="V295" s="51">
        <f t="shared" si="396"/>
        <v>0.5150584208024328</v>
      </c>
      <c r="W295" s="51">
        <f t="shared" si="397"/>
        <v>0.66118695780549197</v>
      </c>
      <c r="X295" s="51">
        <f t="shared" si="398"/>
        <v>0.6696940357025839</v>
      </c>
      <c r="Y295" s="51">
        <f t="shared" si="399"/>
        <v>0.58493302220118659</v>
      </c>
      <c r="Z295" s="51">
        <f t="shared" si="400"/>
        <v>0.77162693486203238</v>
      </c>
      <c r="AA295" s="51">
        <f t="shared" si="401"/>
        <v>0.63685293105412977</v>
      </c>
      <c r="AB295" s="51">
        <f t="shared" si="402"/>
        <v>1.3016098870970012</v>
      </c>
      <c r="AC295" s="51">
        <f t="shared" si="403"/>
        <v>1.3916718513582664</v>
      </c>
      <c r="AD295" s="62">
        <f t="shared" si="404"/>
        <v>1.0748836006207967</v>
      </c>
      <c r="AE295" s="699"/>
      <c r="AF295" s="701">
        <f t="shared" si="384"/>
        <v>9.8919987623311029E-2</v>
      </c>
      <c r="AG295" s="698"/>
      <c r="AH295" s="700"/>
      <c r="AI295" s="701">
        <f t="shared" si="385"/>
        <v>0.29282577426514023</v>
      </c>
      <c r="AJ295" s="699"/>
      <c r="AK295" s="678">
        <f t="shared" si="405"/>
        <v>0.26546634099625938</v>
      </c>
      <c r="AL295" s="51">
        <f t="shared" si="406"/>
        <v>7.6253935604305378E-2</v>
      </c>
      <c r="AM295" s="827">
        <f t="shared" ref="AM295:AV295" si="587">AM112</f>
        <v>58179.446649999998</v>
      </c>
      <c r="AN295" s="827">
        <f t="shared" si="587"/>
        <v>75745.819445999994</v>
      </c>
      <c r="AO295" s="827">
        <f t="shared" si="587"/>
        <v>20616.771543999999</v>
      </c>
      <c r="AP295" s="827">
        <f t="shared" si="587"/>
        <v>14006.634192</v>
      </c>
      <c r="AQ295" s="827">
        <f t="shared" si="587"/>
        <v>23453.338803999999</v>
      </c>
      <c r="AR295" s="827">
        <f t="shared" si="587"/>
        <v>15668.484129999999</v>
      </c>
      <c r="AS295" s="827">
        <f t="shared" si="587"/>
        <v>22688.813414</v>
      </c>
      <c r="AT295" s="827">
        <f t="shared" si="587"/>
        <v>17163.389159999999</v>
      </c>
      <c r="AU295" s="827">
        <f t="shared" si="587"/>
        <v>10742.728128000001</v>
      </c>
      <c r="AV295" s="827">
        <f t="shared" si="587"/>
        <v>8973.7366569999995</v>
      </c>
      <c r="AW295" s="829">
        <f t="shared" ref="AW295:BB295" si="588">AW112</f>
        <v>1.004972883059276E-2</v>
      </c>
      <c r="AX295" s="829">
        <f t="shared" si="588"/>
        <v>0.2817368053940944</v>
      </c>
      <c r="AY295" s="829">
        <f t="shared" si="588"/>
        <v>0.35636309256766863</v>
      </c>
      <c r="AZ295" s="829">
        <f t="shared" si="588"/>
        <v>7.4744586817737102E-3</v>
      </c>
      <c r="BA295" s="829">
        <f t="shared" si="588"/>
        <v>0.26005125998507228</v>
      </c>
      <c r="BB295" s="829">
        <f t="shared" si="588"/>
        <v>0.33613863652897319</v>
      </c>
    </row>
    <row r="296" spans="1:54" ht="15" customHeight="1">
      <c r="A296" s="449">
        <v>2006</v>
      </c>
      <c r="B296" s="449"/>
      <c r="C296" s="50"/>
      <c r="D296" s="51"/>
      <c r="E296" s="51"/>
      <c r="F296" s="51"/>
      <c r="G296" s="51"/>
      <c r="H296" s="51"/>
      <c r="I296" s="51" t="s">
        <v>558</v>
      </c>
      <c r="J296" s="524" t="s">
        <v>523</v>
      </c>
      <c r="K296" s="543">
        <f t="shared" ref="K296:O296" si="589">LN(K113)</f>
        <v>14.661689832968051</v>
      </c>
      <c r="L296" s="543">
        <f t="shared" si="589"/>
        <v>14.791971668567975</v>
      </c>
      <c r="M296" s="543">
        <f t="shared" si="589"/>
        <v>14.631070420189788</v>
      </c>
      <c r="N296" s="543">
        <f t="shared" si="589"/>
        <v>14.127014138827278</v>
      </c>
      <c r="O296" s="543">
        <f t="shared" si="589"/>
        <v>13.20208069522125</v>
      </c>
      <c r="P296" s="149">
        <f t="shared" si="390"/>
        <v>2.6254455717027694E-2</v>
      </c>
      <c r="Q296" s="149">
        <f t="shared" si="391"/>
        <v>2.9191890464388741E-2</v>
      </c>
      <c r="R296" s="149">
        <f t="shared" si="392"/>
        <v>3.203560857815492E-2</v>
      </c>
      <c r="S296" s="149">
        <f t="shared" si="393"/>
        <v>-4.961701154681605E-3</v>
      </c>
      <c r="T296" s="149">
        <f t="shared" si="394"/>
        <v>-4.3933955491744434E-2</v>
      </c>
      <c r="U296" s="51">
        <f t="shared" si="395"/>
        <v>0.60690329793180553</v>
      </c>
      <c r="V296" s="51">
        <f t="shared" si="396"/>
        <v>0.65488221586312645</v>
      </c>
      <c r="W296" s="51">
        <f t="shared" si="397"/>
        <v>0.68765428426969621</v>
      </c>
      <c r="X296" s="51">
        <f t="shared" si="398"/>
        <v>0.72786793682316064</v>
      </c>
      <c r="Y296" s="51">
        <f t="shared" si="399"/>
        <v>0.949918943955535</v>
      </c>
      <c r="Z296" s="51">
        <f t="shared" si="400"/>
        <v>2.0385690329793182</v>
      </c>
      <c r="AA296" s="51">
        <f t="shared" si="401"/>
        <v>1.7830984895135291</v>
      </c>
      <c r="AB296" s="51">
        <f t="shared" si="402"/>
        <v>1.9644737233441394</v>
      </c>
      <c r="AC296" s="51">
        <f t="shared" si="403"/>
        <v>1.3570918794799391</v>
      </c>
      <c r="AD296" s="62">
        <f t="shared" si="404"/>
        <v>2.0162691060676243</v>
      </c>
      <c r="AE296" s="699"/>
      <c r="AF296" s="701">
        <f t="shared" si="384"/>
        <v>0.15151578842847779</v>
      </c>
      <c r="AG296" s="698"/>
      <c r="AH296" s="700"/>
      <c r="AI296" s="701">
        <f t="shared" si="385"/>
        <v>1.9702715585140405</v>
      </c>
      <c r="AJ296" s="699"/>
      <c r="AK296" s="678">
        <f t="shared" si="405"/>
        <v>1.4289897249685384</v>
      </c>
      <c r="AL296" s="51">
        <f t="shared" si="406"/>
        <v>-0.26226465968583879</v>
      </c>
      <c r="AM296" s="827">
        <f t="shared" ref="AM296:AV296" si="590">AM113</f>
        <v>449433.01</v>
      </c>
      <c r="AN296" s="827">
        <f t="shared" si="590"/>
        <v>513882.32380000001</v>
      </c>
      <c r="AO296" s="827">
        <f t="shared" si="590"/>
        <v>359403.64479999995</v>
      </c>
      <c r="AP296" s="827">
        <f t="shared" si="590"/>
        <v>273813.43199999997</v>
      </c>
      <c r="AQ296" s="827">
        <f t="shared" si="590"/>
        <v>13449.798499999999</v>
      </c>
      <c r="AR296" s="827">
        <f t="shared" si="590"/>
        <v>17574.7</v>
      </c>
      <c r="AS296" s="827">
        <f t="shared" si="590"/>
        <v>28136.509000000002</v>
      </c>
      <c r="AT296" s="827">
        <f t="shared" si="590"/>
        <v>19369.878399999998</v>
      </c>
      <c r="AU296" s="827">
        <f t="shared" si="590"/>
        <v>10100.187599999999</v>
      </c>
      <c r="AV296" s="827">
        <f t="shared" si="590"/>
        <v>4509.1809999999996</v>
      </c>
      <c r="AW296" s="829">
        <f t="shared" ref="AW296:BB296" si="591">AW113</f>
        <v>-5.2758620689655178</v>
      </c>
      <c r="AX296" s="829">
        <f t="shared" si="591"/>
        <v>-0.67078825347758886</v>
      </c>
      <c r="AY296" s="829">
        <f t="shared" si="591"/>
        <v>3.7385159010600706</v>
      </c>
      <c r="AZ296" s="829">
        <f t="shared" si="591"/>
        <v>-5.1002240021721432</v>
      </c>
      <c r="BA296" s="829">
        <f t="shared" si="591"/>
        <v>-0.49497874644936862</v>
      </c>
      <c r="BB296" s="829">
        <f t="shared" si="591"/>
        <v>2.6337395874374652</v>
      </c>
    </row>
    <row r="297" spans="1:54" ht="15" customHeight="1">
      <c r="A297" s="535">
        <v>2006</v>
      </c>
      <c r="B297" s="449"/>
      <c r="C297" s="50"/>
      <c r="D297" s="51"/>
      <c r="E297" s="51"/>
      <c r="F297" s="51"/>
      <c r="G297" s="51"/>
      <c r="H297" s="51"/>
      <c r="I297" s="562" t="s">
        <v>558</v>
      </c>
      <c r="J297" s="555" t="s">
        <v>524</v>
      </c>
      <c r="K297" s="543">
        <f t="shared" ref="K297:O297" si="592">LN(K114)</f>
        <v>11.491672719412607</v>
      </c>
      <c r="L297" s="543">
        <f t="shared" si="592"/>
        <v>11.400570537746098</v>
      </c>
      <c r="M297" s="543">
        <f t="shared" si="592"/>
        <v>10.896369223585648</v>
      </c>
      <c r="N297" s="543">
        <f t="shared" si="592"/>
        <v>10.415514234902389</v>
      </c>
      <c r="O297" s="543">
        <f t="shared" si="592"/>
        <v>10.083228846062099</v>
      </c>
      <c r="P297" s="149">
        <f t="shared" si="390"/>
        <v>4.6442361988321273E-2</v>
      </c>
      <c r="Q297" s="149">
        <f t="shared" si="391"/>
        <v>0.17642917204781275</v>
      </c>
      <c r="R297" s="149">
        <f t="shared" si="392"/>
        <v>3.9522484197980129E-2</v>
      </c>
      <c r="S297" s="149">
        <f t="shared" si="393"/>
        <v>-8.5090558694757318E-2</v>
      </c>
      <c r="T297" s="149">
        <f t="shared" si="394"/>
        <v>1.818075529054133E-2</v>
      </c>
      <c r="U297" s="51">
        <f t="shared" si="395"/>
        <v>0.26625744174386284</v>
      </c>
      <c r="V297" s="51">
        <f t="shared" si="396"/>
        <v>0.2553000520357428</v>
      </c>
      <c r="W297" s="51">
        <f t="shared" si="397"/>
        <v>0.132895572971828</v>
      </c>
      <c r="X297" s="51">
        <f t="shared" si="398"/>
        <v>0.11170275201946368</v>
      </c>
      <c r="Y297" s="51">
        <f t="shared" si="399"/>
        <v>0.10923027296047678</v>
      </c>
      <c r="Z297" s="51">
        <f t="shared" si="400"/>
        <v>0.74568098953896478</v>
      </c>
      <c r="AA297" s="51">
        <f t="shared" si="401"/>
        <v>0.61883444915560171</v>
      </c>
      <c r="AB297" s="51">
        <f t="shared" si="402"/>
        <v>0.51401430596516384</v>
      </c>
      <c r="AC297" s="51">
        <f t="shared" si="403"/>
        <v>0.38021050085544872</v>
      </c>
      <c r="AD297" s="62">
        <f t="shared" si="404"/>
        <v>0.47296969324587951</v>
      </c>
      <c r="AE297" s="699"/>
      <c r="AF297" s="701">
        <f t="shared" si="384"/>
        <v>1.171617603229818E-2</v>
      </c>
      <c r="AG297" s="698"/>
      <c r="AH297" s="700"/>
      <c r="AI297" s="701">
        <f t="shared" si="385"/>
        <v>1.3775303176084341E-2</v>
      </c>
      <c r="AJ297" s="699"/>
      <c r="AK297" s="678">
        <f t="shared" si="405"/>
        <v>0.81314037752354873</v>
      </c>
      <c r="AL297" s="51">
        <f t="shared" si="406"/>
        <v>2.3665300011351212E-2</v>
      </c>
      <c r="AM297" s="827">
        <f t="shared" ref="AM297:AV297" si="593">AM114</f>
        <v>96329.646789999999</v>
      </c>
      <c r="AN297" s="827">
        <f t="shared" si="593"/>
        <v>107550.322418</v>
      </c>
      <c r="AO297" s="827">
        <f t="shared" si="593"/>
        <v>91060.330815999987</v>
      </c>
      <c r="AP297" s="827">
        <f t="shared" si="593"/>
        <v>77971.262759999998</v>
      </c>
      <c r="AQ297" s="827">
        <f t="shared" si="593"/>
        <v>45084.035549999993</v>
      </c>
      <c r="AR297" s="827">
        <f t="shared" si="593"/>
        <v>0</v>
      </c>
      <c r="AS297" s="827">
        <f t="shared" si="593"/>
        <v>0</v>
      </c>
      <c r="AT297" s="827">
        <f t="shared" si="593"/>
        <v>0</v>
      </c>
      <c r="AU297" s="827">
        <f t="shared" si="593"/>
        <v>0</v>
      </c>
      <c r="AV297" s="827">
        <f t="shared" si="593"/>
        <v>0</v>
      </c>
      <c r="AW297" s="829" t="e">
        <f t="shared" ref="AW297:BB297" si="594">AW114</f>
        <v>#DIV/0!</v>
      </c>
      <c r="AX297" s="829" t="e">
        <f t="shared" si="594"/>
        <v>#DIV/0!</v>
      </c>
      <c r="AY297" s="829" t="e">
        <f t="shared" si="594"/>
        <v>#DIV/0!</v>
      </c>
      <c r="AZ297" s="829" t="e">
        <f t="shared" si="594"/>
        <v>#DIV/0!</v>
      </c>
      <c r="BA297" s="829" t="e">
        <f t="shared" si="594"/>
        <v>#DIV/0!</v>
      </c>
      <c r="BB297" s="829" t="e">
        <f t="shared" si="594"/>
        <v>#DIV/0!</v>
      </c>
    </row>
    <row r="298" spans="1:54" ht="15" customHeight="1">
      <c r="A298" s="535">
        <v>2015</v>
      </c>
      <c r="B298" s="449"/>
      <c r="C298" s="50"/>
      <c r="D298" s="51"/>
      <c r="E298" s="51"/>
      <c r="F298" s="51"/>
      <c r="G298" s="51"/>
      <c r="H298" s="51"/>
      <c r="I298" s="536" t="s">
        <v>146</v>
      </c>
      <c r="J298" s="677" t="s">
        <v>642</v>
      </c>
      <c r="K298" s="543">
        <f t="shared" ref="K298:O298" si="595">LN(K115)</f>
        <v>8.3660927957385809</v>
      </c>
      <c r="L298" s="543">
        <f t="shared" si="595"/>
        <v>8.408280264075751</v>
      </c>
      <c r="M298" s="543">
        <f t="shared" si="595"/>
        <v>8.5324084551841928</v>
      </c>
      <c r="N298" s="543">
        <f t="shared" si="595"/>
        <v>8.7992013695297562</v>
      </c>
      <c r="O298" s="543">
        <f t="shared" si="595"/>
        <v>8.6813180122799594</v>
      </c>
      <c r="P298" s="149">
        <f t="shared" si="390"/>
        <v>-0.64221364221364219</v>
      </c>
      <c r="Q298" s="149">
        <f t="shared" si="391"/>
        <v>-2.4301528160267831</v>
      </c>
      <c r="R298" s="149">
        <f t="shared" si="392"/>
        <v>-0.34618451292153279</v>
      </c>
      <c r="S298" s="149">
        <f t="shared" si="393"/>
        <v>8.6840823057606528E-2</v>
      </c>
      <c r="T298" s="149">
        <f t="shared" si="394"/>
        <v>-1.0878141042961362</v>
      </c>
      <c r="U298" s="51">
        <f t="shared" si="395"/>
        <v>0.92739533195889434</v>
      </c>
      <c r="V298" s="51">
        <f t="shared" si="396"/>
        <v>0.88400747381758105</v>
      </c>
      <c r="W298" s="51">
        <f t="shared" si="397"/>
        <v>0.8224271483186677</v>
      </c>
      <c r="X298" s="51">
        <f t="shared" si="398"/>
        <v>0.75396210036202937</v>
      </c>
      <c r="Y298" s="51">
        <f t="shared" si="399"/>
        <v>0.71939367399717535</v>
      </c>
      <c r="Z298" s="51">
        <f t="shared" si="400"/>
        <v>2.7886221981185871E-2</v>
      </c>
      <c r="AA298" s="51">
        <f t="shared" si="401"/>
        <v>2.970120767910699E-2</v>
      </c>
      <c r="AB298" s="51">
        <f t="shared" si="402"/>
        <v>3.2269049500095348E-2</v>
      </c>
      <c r="AC298" s="51">
        <f t="shared" si="403"/>
        <v>5.2639262920106934E-2</v>
      </c>
      <c r="AD298" s="62">
        <f t="shared" si="404"/>
        <v>4.2426312796903946E-2</v>
      </c>
      <c r="AE298" s="699"/>
      <c r="AF298" s="701">
        <f t="shared" ref="AF298:AF357" si="596">AG115-AE115</f>
        <v>3.4980896270120423E-2</v>
      </c>
      <c r="AG298" s="698"/>
      <c r="AH298" s="700"/>
      <c r="AI298" s="701">
        <f t="shared" ref="AI298:AI357" si="597">AJ115-AH115</f>
        <v>0.10156296412009656</v>
      </c>
      <c r="AJ298" s="699"/>
      <c r="AK298" s="678">
        <f t="shared" si="405"/>
        <v>-0.14890955709576714</v>
      </c>
      <c r="AL298" s="51">
        <f t="shared" si="406"/>
        <v>0.10303347432149235</v>
      </c>
      <c r="AM298" s="827">
        <f t="shared" ref="AM298:AV298" si="598">AM115</f>
        <v>11192.38911</v>
      </c>
      <c r="AN298" s="827">
        <f t="shared" si="598"/>
        <v>17511.591570000001</v>
      </c>
      <c r="AO298" s="827">
        <f t="shared" si="598"/>
        <v>27936.143609000002</v>
      </c>
      <c r="AP298" s="827">
        <f t="shared" si="598"/>
        <v>30983.952015999999</v>
      </c>
      <c r="AQ298" s="827">
        <f t="shared" si="598"/>
        <v>38968.070489999998</v>
      </c>
      <c r="AR298" s="827">
        <f t="shared" si="598"/>
        <v>137722.87974</v>
      </c>
      <c r="AS298" s="827">
        <f t="shared" si="598"/>
        <v>131745.59505800001</v>
      </c>
      <c r="AT298" s="827">
        <f t="shared" si="598"/>
        <v>127459.927595</v>
      </c>
      <c r="AU298" s="827">
        <f t="shared" si="598"/>
        <v>92058.174203999995</v>
      </c>
      <c r="AV298" s="827">
        <f t="shared" si="598"/>
        <v>92987.709839999996</v>
      </c>
      <c r="AW298" s="829">
        <f t="shared" ref="AW298:BB298" si="599">AW115</f>
        <v>-6.8925137644835238E-2</v>
      </c>
      <c r="AX298" s="829">
        <f t="shared" si="599"/>
        <v>6.2532554982497905E-3</v>
      </c>
      <c r="AY298" s="829">
        <f t="shared" si="599"/>
        <v>-1.3788336610266063E-2</v>
      </c>
      <c r="AZ298" s="829">
        <f t="shared" si="599"/>
        <v>-9.5736359201945676E-2</v>
      </c>
      <c r="BA298" s="829">
        <f t="shared" si="599"/>
        <v>9.2859545666886551E-3</v>
      </c>
      <c r="BB298" s="829">
        <f t="shared" si="599"/>
        <v>-2.2510964577092861E-2</v>
      </c>
    </row>
    <row r="299" spans="1:54" ht="15" customHeight="1">
      <c r="A299" s="535">
        <v>2015</v>
      </c>
      <c r="B299" s="449"/>
      <c r="C299" s="51"/>
      <c r="D299" s="51"/>
      <c r="E299" s="51"/>
      <c r="F299" s="51"/>
      <c r="G299" s="51"/>
      <c r="H299" s="51"/>
      <c r="I299" s="536" t="s">
        <v>146</v>
      </c>
      <c r="J299" s="677" t="s">
        <v>643</v>
      </c>
      <c r="K299" s="543">
        <f t="shared" ref="K299:O299" si="600">LN(K116)</f>
        <v>13.310793803452981</v>
      </c>
      <c r="L299" s="543">
        <f t="shared" si="600"/>
        <v>13.032953393191004</v>
      </c>
      <c r="M299" s="543">
        <f t="shared" si="600"/>
        <v>12.635633469832063</v>
      </c>
      <c r="N299" s="543">
        <f t="shared" si="600"/>
        <v>13.026216478960574</v>
      </c>
      <c r="O299" s="543">
        <f t="shared" si="600"/>
        <v>13.333764885134082</v>
      </c>
      <c r="P299" s="149">
        <f t="shared" ref="P299:P357" si="601">P116/K116</f>
        <v>-1.199107349246807</v>
      </c>
      <c r="Q299" s="149">
        <f t="shared" ref="Q299:Q357" si="602">Q116/L116</f>
        <v>-9.135276312082577E-2</v>
      </c>
      <c r="R299" s="149">
        <f t="shared" ref="R299:R357" si="603">R116/M116</f>
        <v>-0.32018577933493508</v>
      </c>
      <c r="S299" s="149">
        <f t="shared" ref="S299:S357" si="604">S116/N116</f>
        <v>-0.43878516176325782</v>
      </c>
      <c r="T299" s="149">
        <f t="shared" ref="T299:T357" si="605">T116/O116</f>
        <v>2.9213645886407638E-2</v>
      </c>
      <c r="U299" s="51">
        <f t="shared" ref="U299:U357" si="606">U116/Z116</f>
        <v>1.0269075688734814</v>
      </c>
      <c r="V299" s="51">
        <f t="shared" ref="V299:V357" si="607">V116/AA116</f>
        <v>0.86257834917994014</v>
      </c>
      <c r="W299" s="51">
        <f t="shared" ref="W299:W357" si="608">W116/AB116</f>
        <v>0.84492954955475641</v>
      </c>
      <c r="X299" s="51">
        <f t="shared" ref="X299:X357" si="609">X116/AC116</f>
        <v>0.77411100872661998</v>
      </c>
      <c r="Y299" s="51">
        <f t="shared" ref="Y299:Y357" si="610">Y116/AD116</f>
        <v>0.71500420264005582</v>
      </c>
      <c r="Z299" s="51">
        <f t="shared" ref="Z299:Z357" si="611">K116/Z116</f>
        <v>0.15531100046532298</v>
      </c>
      <c r="AA299" s="51">
        <f t="shared" ref="AA299:AA357" si="612">L116/AA116</f>
        <v>0.10458771591197974</v>
      </c>
      <c r="AB299" s="51">
        <f t="shared" ref="AB299:AB357" si="613">M116/AB116</f>
        <v>0.11583376426819182</v>
      </c>
      <c r="AC299" s="51">
        <f t="shared" ref="AC299:AC357" si="614">N116/AC116</f>
        <v>0.2251736137736314</v>
      </c>
      <c r="AD299" s="62">
        <f t="shared" ref="AD299:AD357" si="615">O116/AD116</f>
        <v>0.21865071699586408</v>
      </c>
      <c r="AF299" s="701">
        <f t="shared" si="596"/>
        <v>-4.3475908704636468E-2</v>
      </c>
      <c r="AI299" s="701">
        <f t="shared" si="597"/>
        <v>-0.26158371066879188</v>
      </c>
      <c r="AJ299" s="699"/>
      <c r="AK299" s="678">
        <f t="shared" ref="AK299:AK357" si="616">LN(M116/O116)</f>
        <v>-0.69813141530201839</v>
      </c>
      <c r="AL299" s="51">
        <f t="shared" ref="AL299:AL357" si="617">W299-Y299</f>
        <v>0.12992534691470059</v>
      </c>
      <c r="AM299" s="827">
        <f t="shared" ref="AM299:AV299" si="618">AM116</f>
        <v>-104586.71971200001</v>
      </c>
      <c r="AN299" s="827">
        <f t="shared" si="618"/>
        <v>600778.40266400005</v>
      </c>
      <c r="AO299" s="827">
        <f t="shared" si="618"/>
        <v>411414.666531</v>
      </c>
      <c r="AP299" s="827">
        <f t="shared" si="618"/>
        <v>455608.17194999999</v>
      </c>
      <c r="AQ299" s="827">
        <f t="shared" si="618"/>
        <v>805133.80674000003</v>
      </c>
      <c r="AR299" s="827">
        <f t="shared" si="618"/>
        <v>589636.10667000001</v>
      </c>
      <c r="AS299" s="827">
        <f t="shared" si="618"/>
        <v>3526361.1741380002</v>
      </c>
      <c r="AT299" s="827">
        <f t="shared" si="618"/>
        <v>2121877.928357</v>
      </c>
      <c r="AU299" s="827">
        <f t="shared" si="618"/>
        <v>1171196.7651520001</v>
      </c>
      <c r="AV299" s="827">
        <f t="shared" si="618"/>
        <v>1687584.48591</v>
      </c>
      <c r="AW299" s="829">
        <f t="shared" ref="AW299:BB299" si="619">AW116</f>
        <v>1.0693029107973425E-2</v>
      </c>
      <c r="AX299" s="829">
        <f t="shared" si="619"/>
        <v>-0.17015158753459925</v>
      </c>
      <c r="AY299" s="829">
        <f t="shared" si="619"/>
        <v>-4.6373250158264878E-2</v>
      </c>
      <c r="AZ299" s="829">
        <f t="shared" si="619"/>
        <v>1.4033145370279752E-2</v>
      </c>
      <c r="BA299" s="829">
        <f t="shared" si="619"/>
        <v>-0.23051905760732458</v>
      </c>
      <c r="BB299" s="829">
        <f t="shared" si="619"/>
        <v>-7.6270453453122944E-2</v>
      </c>
    </row>
    <row r="300" spans="1:54" s="684" customFormat="1" ht="15" customHeight="1">
      <c r="A300" s="535">
        <v>2016</v>
      </c>
      <c r="B300" s="449"/>
      <c r="C300" s="51"/>
      <c r="D300" s="51"/>
      <c r="E300" s="51"/>
      <c r="F300" s="51"/>
      <c r="G300" s="51"/>
      <c r="H300" s="51"/>
      <c r="I300" s="536" t="s">
        <v>147</v>
      </c>
      <c r="J300" s="677" t="s">
        <v>702</v>
      </c>
      <c r="K300" s="543">
        <f t="shared" ref="K300:O300" si="620">LN(K117)</f>
        <v>9.4257742802203399</v>
      </c>
      <c r="L300" s="543">
        <f t="shared" si="620"/>
        <v>7.3975615355240523</v>
      </c>
      <c r="M300" s="543">
        <f t="shared" si="620"/>
        <v>8.5841038966988634</v>
      </c>
      <c r="N300" s="543">
        <f t="shared" si="620"/>
        <v>2.0794415416798357</v>
      </c>
      <c r="O300" s="543" t="e">
        <f t="shared" si="620"/>
        <v>#NUM!</v>
      </c>
      <c r="P300" s="149">
        <f t="shared" si="601"/>
        <v>1.2861173814898419</v>
      </c>
      <c r="Q300" s="149">
        <f t="shared" si="602"/>
        <v>0.35355392156862747</v>
      </c>
      <c r="R300" s="149">
        <f t="shared" si="603"/>
        <v>-2.0660306771417885</v>
      </c>
      <c r="S300" s="149">
        <f t="shared" si="604"/>
        <v>-102.375</v>
      </c>
      <c r="T300" s="149" t="e">
        <f t="shared" si="605"/>
        <v>#DIV/0!</v>
      </c>
      <c r="U300" s="51">
        <f t="shared" si="606"/>
        <v>0.46499616233208618</v>
      </c>
      <c r="V300" s="51">
        <f t="shared" si="607"/>
        <v>1.5600757751090767E-3</v>
      </c>
      <c r="W300" s="51">
        <f t="shared" si="608"/>
        <v>7.5509644391626288E-2</v>
      </c>
      <c r="X300" s="51">
        <f t="shared" si="609"/>
        <v>0.60982015415358259</v>
      </c>
      <c r="Y300" s="51">
        <f t="shared" si="610"/>
        <v>0.56578263130525219</v>
      </c>
      <c r="Z300" s="51">
        <f t="shared" si="611"/>
        <v>3.142074772463023E-2</v>
      </c>
      <c r="AA300" s="51">
        <f t="shared" si="612"/>
        <v>1.39892509064726E-2</v>
      </c>
      <c r="AB300" s="51">
        <f t="shared" si="613"/>
        <v>9.7742023951001011E-2</v>
      </c>
      <c r="AC300" s="51">
        <f t="shared" si="614"/>
        <v>4.5675135598058808E-4</v>
      </c>
      <c r="AD300" s="62">
        <f t="shared" si="615"/>
        <v>0</v>
      </c>
      <c r="AF300" s="701">
        <f t="shared" si="596"/>
        <v>-0.11497898601178327</v>
      </c>
      <c r="AI300" s="701">
        <f t="shared" si="597"/>
        <v>-1.816558714865335E-2</v>
      </c>
      <c r="AJ300" s="699"/>
      <c r="AK300" s="678" t="e">
        <f t="shared" si="616"/>
        <v>#DIV/0!</v>
      </c>
      <c r="AL300" s="51">
        <f t="shared" si="617"/>
        <v>-0.49027298691362592</v>
      </c>
      <c r="AM300" s="827">
        <f t="shared" ref="AM300:AV300" si="621">AM117</f>
        <v>211204</v>
      </c>
      <c r="AN300" s="827">
        <f t="shared" si="621"/>
        <v>116479</v>
      </c>
      <c r="AO300" s="827">
        <f t="shared" si="621"/>
        <v>50565</v>
      </c>
      <c r="AP300" s="827">
        <f t="shared" si="621"/>
        <v>6835</v>
      </c>
      <c r="AQ300" s="827">
        <f t="shared" si="621"/>
        <v>7515</v>
      </c>
      <c r="AR300" s="827">
        <f t="shared" si="621"/>
        <v>174494</v>
      </c>
      <c r="AS300" s="827">
        <f t="shared" si="621"/>
        <v>0</v>
      </c>
      <c r="AT300" s="827">
        <f t="shared" si="621"/>
        <v>1425</v>
      </c>
      <c r="AU300" s="827">
        <f t="shared" si="621"/>
        <v>9455</v>
      </c>
      <c r="AV300" s="827">
        <f t="shared" si="621"/>
        <v>8513</v>
      </c>
      <c r="AW300" s="829">
        <f t="shared" ref="AW300:BB300" si="622">AW117</f>
        <v>-0.1767884412075649</v>
      </c>
      <c r="AX300" s="829">
        <f t="shared" si="622"/>
        <v>-8.6620835536753038E-2</v>
      </c>
      <c r="AY300" s="829">
        <f t="shared" si="622"/>
        <v>-7.7508771929824558</v>
      </c>
      <c r="AZ300" s="829">
        <f t="shared" si="622"/>
        <v>-0.18698286336768216</v>
      </c>
      <c r="BA300" s="829">
        <f t="shared" si="622"/>
        <v>-9.9577366086324448E-2</v>
      </c>
      <c r="BB300" s="829">
        <f t="shared" si="622"/>
        <v>-0.78720400049396733</v>
      </c>
    </row>
    <row r="301" spans="1:54" s="684" customFormat="1" ht="15" customHeight="1">
      <c r="A301" s="535">
        <v>2016</v>
      </c>
      <c r="B301" s="449"/>
      <c r="C301" s="51"/>
      <c r="D301" s="51"/>
      <c r="E301" s="51"/>
      <c r="F301" s="51"/>
      <c r="G301" s="51"/>
      <c r="H301" s="51"/>
      <c r="I301" s="536" t="s">
        <v>147</v>
      </c>
      <c r="J301" s="677" t="s">
        <v>1083</v>
      </c>
      <c r="K301" s="543">
        <f t="shared" ref="K301:O301" si="623">LN(K118)</f>
        <v>11.081397387452409</v>
      </c>
      <c r="L301" s="543">
        <f t="shared" si="623"/>
        <v>11.1151294851957</v>
      </c>
      <c r="M301" s="543">
        <f t="shared" si="623"/>
        <v>11.08626475765784</v>
      </c>
      <c r="N301" s="543">
        <f t="shared" si="623"/>
        <v>11.315014666600419</v>
      </c>
      <c r="O301" s="543">
        <f t="shared" si="623"/>
        <v>11.402476679708126</v>
      </c>
      <c r="P301" s="149">
        <f t="shared" si="601"/>
        <v>0.133220364499544</v>
      </c>
      <c r="Q301" s="149">
        <f t="shared" si="602"/>
        <v>0.34147118140324806</v>
      </c>
      <c r="R301" s="149">
        <f t="shared" si="603"/>
        <v>0.24254936330838506</v>
      </c>
      <c r="S301" s="149">
        <f t="shared" si="604"/>
        <v>0.39407175019335666</v>
      </c>
      <c r="T301" s="149">
        <f t="shared" si="605"/>
        <v>0.31361567350019215</v>
      </c>
      <c r="U301" s="51">
        <f t="shared" si="606"/>
        <v>0.8642477180382141</v>
      </c>
      <c r="V301" s="51">
        <f t="shared" si="607"/>
        <v>0.81944027285530252</v>
      </c>
      <c r="W301" s="51">
        <f t="shared" si="608"/>
        <v>0.89776612591393423</v>
      </c>
      <c r="X301" s="51">
        <f t="shared" si="609"/>
        <v>0.41503084013159958</v>
      </c>
      <c r="Y301" s="51">
        <f t="shared" si="610"/>
        <v>0.59793624623751507</v>
      </c>
      <c r="Z301" s="51">
        <f t="shared" si="611"/>
        <v>1.1283863996855328</v>
      </c>
      <c r="AA301" s="51">
        <f t="shared" si="612"/>
        <v>1.2156967443805913</v>
      </c>
      <c r="AB301" s="51">
        <f t="shared" si="613"/>
        <v>0.86498242326322428</v>
      </c>
      <c r="AC301" s="51">
        <f t="shared" si="614"/>
        <v>0.55339667050244401</v>
      </c>
      <c r="AD301" s="62">
        <f t="shared" si="615"/>
        <v>0.60050552469848051</v>
      </c>
      <c r="AF301" s="701">
        <f t="shared" si="596"/>
        <v>2.1472991466538832E-2</v>
      </c>
      <c r="AI301" s="701">
        <f t="shared" si="597"/>
        <v>1.5837643249760833</v>
      </c>
      <c r="AJ301" s="699"/>
      <c r="AK301" s="678">
        <f t="shared" si="616"/>
        <v>-0.31621192205028603</v>
      </c>
      <c r="AL301" s="51">
        <f t="shared" si="617"/>
        <v>0.29982987967641916</v>
      </c>
      <c r="AM301" s="827">
        <f t="shared" ref="AM301:AV301" si="624">AM118</f>
        <v>7814.1012249999994</v>
      </c>
      <c r="AN301" s="827">
        <f t="shared" si="624"/>
        <v>9977.8055760000007</v>
      </c>
      <c r="AO301" s="827">
        <f t="shared" si="624"/>
        <v>7714.2044540000006</v>
      </c>
      <c r="AP301" s="827">
        <f t="shared" si="624"/>
        <v>86725.110274000006</v>
      </c>
      <c r="AQ301" s="827">
        <f t="shared" si="624"/>
        <v>59953.082538000002</v>
      </c>
      <c r="AR301" s="827">
        <f t="shared" si="624"/>
        <v>2036.839714</v>
      </c>
      <c r="AS301" s="827">
        <f t="shared" si="624"/>
        <v>2575.8416459999999</v>
      </c>
      <c r="AT301" s="827">
        <f t="shared" si="624"/>
        <v>11830.448454000001</v>
      </c>
      <c r="AU301" s="827">
        <f t="shared" si="624"/>
        <v>8149.0587970000006</v>
      </c>
      <c r="AV301" s="827">
        <f t="shared" si="624"/>
        <v>10123.300966000001</v>
      </c>
      <c r="AW301" s="829">
        <f t="shared" ref="AW301:BB301" si="625">AW118</f>
        <v>2.7740118540697742</v>
      </c>
      <c r="AX301" s="829">
        <f t="shared" si="625"/>
        <v>3.9674940466624786</v>
      </c>
      <c r="AY301" s="829">
        <f t="shared" si="625"/>
        <v>1.3381430428064143</v>
      </c>
      <c r="AZ301" s="829">
        <f t="shared" si="625"/>
        <v>1.8470086408680126</v>
      </c>
      <c r="BA301" s="829">
        <f t="shared" si="625"/>
        <v>1.8647103818995228</v>
      </c>
      <c r="BB301" s="829">
        <f t="shared" si="625"/>
        <v>1.4111404314944371</v>
      </c>
    </row>
    <row r="302" spans="1:54" ht="15" customHeight="1">
      <c r="A302" s="535">
        <v>2016</v>
      </c>
      <c r="B302" s="449"/>
      <c r="C302" s="51"/>
      <c r="D302" s="51"/>
      <c r="E302" s="51"/>
      <c r="F302" s="51"/>
      <c r="G302" s="51"/>
      <c r="H302" s="51"/>
      <c r="I302" s="536" t="s">
        <v>147</v>
      </c>
      <c r="J302" s="677" t="s">
        <v>644</v>
      </c>
      <c r="K302" s="543">
        <f t="shared" ref="K302:O302" si="626">LN(K119)</f>
        <v>10.79347537598923</v>
      </c>
      <c r="L302" s="543">
        <f t="shared" si="626"/>
        <v>10.690853408335055</v>
      </c>
      <c r="M302" s="543">
        <f t="shared" si="626"/>
        <v>9.9251022625085366</v>
      </c>
      <c r="N302" s="543">
        <f t="shared" si="626"/>
        <v>10.456481464162664</v>
      </c>
      <c r="O302" s="543">
        <f t="shared" si="626"/>
        <v>10.528195279873552</v>
      </c>
      <c r="P302" s="149">
        <f t="shared" si="601"/>
        <v>-0.16976715535296291</v>
      </c>
      <c r="Q302" s="149">
        <f t="shared" si="602"/>
        <v>-0.26017018565708044</v>
      </c>
      <c r="R302" s="149">
        <f t="shared" si="603"/>
        <v>-1.5561481626461811</v>
      </c>
      <c r="S302" s="149">
        <f t="shared" si="604"/>
        <v>-0.65569904225028042</v>
      </c>
      <c r="T302" s="149">
        <f t="shared" si="605"/>
        <v>-0.97103389195266909</v>
      </c>
      <c r="U302" s="51">
        <f t="shared" si="606"/>
        <v>0.71559027658159247</v>
      </c>
      <c r="V302" s="51">
        <f t="shared" si="607"/>
        <v>7.0629128976522004</v>
      </c>
      <c r="W302" s="51">
        <f t="shared" si="608"/>
        <v>8.2593397133018345E-2</v>
      </c>
      <c r="X302" s="51">
        <f t="shared" si="609"/>
        <v>0.67489366287028218</v>
      </c>
      <c r="Y302" s="51">
        <f t="shared" si="610"/>
        <v>0.65077651115491164</v>
      </c>
      <c r="Z302" s="51">
        <f t="shared" si="611"/>
        <v>0.12906080979019868</v>
      </c>
      <c r="AA302" s="51">
        <f t="shared" si="612"/>
        <v>1.1167801605854253</v>
      </c>
      <c r="AB302" s="51">
        <f t="shared" si="613"/>
        <v>5.1145691519179949E-2</v>
      </c>
      <c r="AC302" s="51">
        <f t="shared" si="614"/>
        <v>8.5140717631761315E-2</v>
      </c>
      <c r="AD302" s="62">
        <f t="shared" si="615"/>
        <v>8.3856021048189039E-2</v>
      </c>
      <c r="AF302" s="701">
        <f t="shared" si="596"/>
        <v>1.8367645972477004E-3</v>
      </c>
      <c r="AI302" s="701">
        <f t="shared" si="597"/>
        <v>-1.7196140686524308E-2</v>
      </c>
      <c r="AJ302" s="699"/>
      <c r="AK302" s="678">
        <f t="shared" si="616"/>
        <v>-0.6030930173650163</v>
      </c>
      <c r="AL302" s="51">
        <f t="shared" si="617"/>
        <v>-0.56818311402189325</v>
      </c>
      <c r="AM302" s="827">
        <f t="shared" ref="AM302:AV302" si="627">AM119</f>
        <v>107324</v>
      </c>
      <c r="AN302" s="827">
        <f t="shared" si="627"/>
        <v>115592</v>
      </c>
      <c r="AO302" s="827">
        <f t="shared" si="627"/>
        <v>127028</v>
      </c>
      <c r="AP302" s="827">
        <f t="shared" si="627"/>
        <v>132764</v>
      </c>
      <c r="AQ302" s="827">
        <f t="shared" si="627"/>
        <v>155563</v>
      </c>
      <c r="AR302" s="827">
        <f t="shared" si="627"/>
        <v>397</v>
      </c>
      <c r="AS302" s="827">
        <f t="shared" si="627"/>
        <v>322</v>
      </c>
      <c r="AT302" s="827">
        <f t="shared" si="627"/>
        <v>26617</v>
      </c>
      <c r="AU302" s="827">
        <f t="shared" si="627"/>
        <v>259285</v>
      </c>
      <c r="AV302" s="827">
        <f t="shared" si="627"/>
        <v>273019</v>
      </c>
      <c r="AW302" s="829">
        <f t="shared" ref="AW302:BB302" si="628">AW119</f>
        <v>-0.13285522253030008</v>
      </c>
      <c r="AX302" s="829">
        <f t="shared" si="628"/>
        <v>-8.7926413020421548E-2</v>
      </c>
      <c r="AY302" s="829">
        <f t="shared" si="628"/>
        <v>-1.1948378855618589</v>
      </c>
      <c r="AZ302" s="829">
        <f t="shared" si="628"/>
        <v>-0.16788609668906601</v>
      </c>
      <c r="BA302" s="829">
        <f t="shared" si="628"/>
        <v>-0.11516766595404503</v>
      </c>
      <c r="BB302" s="829">
        <f t="shared" si="628"/>
        <v>-0.44514022118963215</v>
      </c>
    </row>
    <row r="303" spans="1:54" ht="15" customHeight="1">
      <c r="A303" s="535">
        <v>2017</v>
      </c>
      <c r="B303" s="449"/>
      <c r="C303" s="51"/>
      <c r="D303" s="51"/>
      <c r="E303" s="51"/>
      <c r="F303" s="51"/>
      <c r="G303" s="51"/>
      <c r="H303" s="51"/>
      <c r="I303" s="536" t="s">
        <v>150</v>
      </c>
      <c r="J303" s="677" t="s">
        <v>649</v>
      </c>
      <c r="K303" s="543">
        <f t="shared" ref="K303:O303" si="629">LN(K120)</f>
        <v>13.742659180579926</v>
      </c>
      <c r="L303" s="543">
        <f t="shared" si="629"/>
        <v>13.620948389625417</v>
      </c>
      <c r="M303" s="543">
        <f t="shared" si="629"/>
        <v>13.456656097747413</v>
      </c>
      <c r="N303" s="543">
        <f t="shared" si="629"/>
        <v>13.40325947713669</v>
      </c>
      <c r="O303" s="543">
        <f t="shared" si="629"/>
        <v>13.396035770987009</v>
      </c>
      <c r="P303" s="149">
        <f t="shared" si="601"/>
        <v>0.15664933922315832</v>
      </c>
      <c r="Q303" s="149">
        <f t="shared" si="602"/>
        <v>5.3213394153268666E-2</v>
      </c>
      <c r="R303" s="149">
        <f t="shared" si="603"/>
        <v>4.4581345672578584E-2</v>
      </c>
      <c r="S303" s="149">
        <f t="shared" si="604"/>
        <v>5.540671561772266E-2</v>
      </c>
      <c r="T303" s="149">
        <f t="shared" si="605"/>
        <v>-5.8645374449339205E-2</v>
      </c>
      <c r="U303" s="51">
        <f t="shared" si="606"/>
        <v>0.54610562959691966</v>
      </c>
      <c r="V303" s="51">
        <f t="shared" si="607"/>
        <v>0.60453410442838662</v>
      </c>
      <c r="W303" s="51">
        <f t="shared" si="608"/>
        <v>0.55029971291697877</v>
      </c>
      <c r="X303" s="51">
        <f t="shared" si="609"/>
        <v>0.64126510362786382</v>
      </c>
      <c r="Y303" s="51">
        <f t="shared" si="610"/>
        <v>0.68099993285008964</v>
      </c>
      <c r="Z303" s="51">
        <f t="shared" si="611"/>
        <v>0.3521083768132518</v>
      </c>
      <c r="AA303" s="51">
        <f t="shared" si="612"/>
        <v>0.30643099528141049</v>
      </c>
      <c r="AB303" s="51">
        <f t="shared" si="613"/>
        <v>0.30684101047951873</v>
      </c>
      <c r="AC303" s="51">
        <f t="shared" si="614"/>
        <v>0.30967604951389655</v>
      </c>
      <c r="AD303" s="62">
        <f t="shared" si="615"/>
        <v>0.29041982830828172</v>
      </c>
      <c r="AF303" s="701">
        <f t="shared" si="596"/>
        <v>3.0711164733362717E-2</v>
      </c>
      <c r="AI303" s="701">
        <f t="shared" si="597"/>
        <v>8.3810040848246975E-2</v>
      </c>
      <c r="AJ303" s="699"/>
      <c r="AK303" s="678">
        <f t="shared" si="616"/>
        <v>6.0620326760402327E-2</v>
      </c>
      <c r="AL303" s="51">
        <f t="shared" si="617"/>
        <v>-0.13070021993311087</v>
      </c>
      <c r="AM303" s="827">
        <f t="shared" ref="AM303:AV303" si="630">AM120</f>
        <v>1198504</v>
      </c>
      <c r="AN303" s="827">
        <f t="shared" si="630"/>
        <v>1062378</v>
      </c>
      <c r="AO303" s="827">
        <f t="shared" si="630"/>
        <v>1023673</v>
      </c>
      <c r="AP303" s="827">
        <f t="shared" si="630"/>
        <v>767057</v>
      </c>
      <c r="AQ303" s="827">
        <f t="shared" si="630"/>
        <v>722086</v>
      </c>
      <c r="AR303" s="827">
        <f t="shared" si="630"/>
        <v>759924</v>
      </c>
      <c r="AS303" s="827">
        <f t="shared" si="630"/>
        <v>1231730</v>
      </c>
      <c r="AT303" s="827">
        <f t="shared" si="630"/>
        <v>322122</v>
      </c>
      <c r="AU303" s="827">
        <f t="shared" si="630"/>
        <v>1099519</v>
      </c>
      <c r="AV303" s="827">
        <f t="shared" si="630"/>
        <v>1227358</v>
      </c>
      <c r="AW303" s="829">
        <f t="shared" ref="AW303:BB303" si="631">AW120</f>
        <v>-3.1411373046820894E-2</v>
      </c>
      <c r="AX303" s="829">
        <f t="shared" si="631"/>
        <v>3.3367317890823166E-2</v>
      </c>
      <c r="AY303" s="829">
        <f t="shared" si="631"/>
        <v>9.6668343050148695E-2</v>
      </c>
      <c r="AZ303" s="829">
        <f t="shared" si="631"/>
        <v>-3.8422922514266128E-2</v>
      </c>
      <c r="BA303" s="829">
        <f t="shared" si="631"/>
        <v>3.855542937407886E-2</v>
      </c>
      <c r="BB303" s="829">
        <f t="shared" si="631"/>
        <v>6.6875946583367582E-2</v>
      </c>
    </row>
    <row r="304" spans="1:54" ht="15" customHeight="1">
      <c r="A304" s="535">
        <v>2017</v>
      </c>
      <c r="B304" s="449"/>
      <c r="C304" s="51"/>
      <c r="D304" s="51"/>
      <c r="E304" s="51"/>
      <c r="F304" s="51"/>
      <c r="G304" s="51"/>
      <c r="H304" s="51"/>
      <c r="I304" s="536" t="s">
        <v>150</v>
      </c>
      <c r="J304" s="677" t="s">
        <v>650</v>
      </c>
      <c r="K304" s="543">
        <f t="shared" ref="K304:O304" si="632">LN(K121)</f>
        <v>13.00229432572951</v>
      </c>
      <c r="L304" s="543">
        <f t="shared" si="632"/>
        <v>12.912386614301747</v>
      </c>
      <c r="M304" s="543">
        <f t="shared" si="632"/>
        <v>12.626633844134133</v>
      </c>
      <c r="N304" s="543">
        <f t="shared" si="632"/>
        <v>12.365951957378551</v>
      </c>
      <c r="O304" s="543">
        <f t="shared" si="632"/>
        <v>12.199302410204753</v>
      </c>
      <c r="P304" s="149">
        <f t="shared" si="601"/>
        <v>4.4928237799896929E-2</v>
      </c>
      <c r="Q304" s="149">
        <f t="shared" si="602"/>
        <v>1.6077984057794561E-2</v>
      </c>
      <c r="R304" s="149">
        <f t="shared" si="603"/>
        <v>-7.5201506855895606E-3</v>
      </c>
      <c r="S304" s="149">
        <f t="shared" si="604"/>
        <v>-4.4663732281742217E-2</v>
      </c>
      <c r="T304" s="149">
        <f t="shared" si="605"/>
        <v>-3.0833836253265485E-2</v>
      </c>
      <c r="U304" s="51">
        <f t="shared" si="606"/>
        <v>0.72993995423622093</v>
      </c>
      <c r="V304" s="51">
        <f t="shared" si="607"/>
        <v>0.88952210924763697</v>
      </c>
      <c r="W304" s="51">
        <f t="shared" si="608"/>
        <v>0.93347338935574231</v>
      </c>
      <c r="X304" s="51">
        <f t="shared" si="609"/>
        <v>0.89414616325346152</v>
      </c>
      <c r="Y304" s="51">
        <f t="shared" si="610"/>
        <v>0.85029617135660274</v>
      </c>
      <c r="Z304" s="51">
        <f t="shared" si="611"/>
        <v>3.991264761890136</v>
      </c>
      <c r="AA304" s="51">
        <f t="shared" si="612"/>
        <v>3.2702420783490931</v>
      </c>
      <c r="AB304" s="51">
        <f t="shared" si="613"/>
        <v>2.6125626455401436</v>
      </c>
      <c r="AC304" s="51">
        <f t="shared" si="614"/>
        <v>2.5111879197413152</v>
      </c>
      <c r="AD304" s="62">
        <f t="shared" si="615"/>
        <v>1.4851638399473075</v>
      </c>
      <c r="AF304" s="701">
        <f t="shared" si="596"/>
        <v>2.6146433880201887E-2</v>
      </c>
      <c r="AI304" s="701">
        <f t="shared" si="597"/>
        <v>1.0573918041549779E-2</v>
      </c>
      <c r="AJ304" s="699"/>
      <c r="AK304" s="678">
        <f t="shared" si="616"/>
        <v>0.42733143392937917</v>
      </c>
      <c r="AL304" s="51">
        <f t="shared" si="617"/>
        <v>8.3177217999139574E-2</v>
      </c>
      <c r="AM304" s="827">
        <f t="shared" ref="AM304:AV304" si="633">AM121</f>
        <v>30003.676679999997</v>
      </c>
      <c r="AN304" s="827">
        <f t="shared" si="633"/>
        <v>13692.215522999999</v>
      </c>
      <c r="AO304" s="827">
        <f t="shared" si="633"/>
        <v>7755.5566259999996</v>
      </c>
      <c r="AP304" s="827">
        <f t="shared" si="633"/>
        <v>9892.1817940000001</v>
      </c>
      <c r="AQ304" s="827">
        <f t="shared" si="633"/>
        <v>20023.881229000002</v>
      </c>
      <c r="AR304" s="827">
        <f t="shared" si="633"/>
        <v>1760.97039</v>
      </c>
      <c r="AS304" s="827">
        <f t="shared" si="633"/>
        <v>7505.2893089999998</v>
      </c>
      <c r="AT304" s="827">
        <f t="shared" si="633"/>
        <v>14178.624503999999</v>
      </c>
      <c r="AU304" s="827">
        <f t="shared" si="633"/>
        <v>17843.554542000002</v>
      </c>
      <c r="AV304" s="827">
        <f t="shared" si="633"/>
        <v>31527.139248000003</v>
      </c>
      <c r="AW304" s="829">
        <f t="shared" ref="AW304:BB304" si="634">AW121</f>
        <v>-0.1942820675487886</v>
      </c>
      <c r="AX304" s="829">
        <f t="shared" si="634"/>
        <v>-0.58740594489337583</v>
      </c>
      <c r="AY304" s="829">
        <f t="shared" si="634"/>
        <v>-0.16153619368041344</v>
      </c>
      <c r="AZ304" s="829">
        <f t="shared" si="634"/>
        <v>-0.21099059685018612</v>
      </c>
      <c r="BA304" s="829">
        <f t="shared" si="634"/>
        <v>-0.6373857968551575</v>
      </c>
      <c r="BB304" s="829">
        <f t="shared" si="634"/>
        <v>-0.17043642323963382</v>
      </c>
    </row>
    <row r="305" spans="1:54" ht="15" customHeight="1">
      <c r="A305" s="535">
        <v>2019</v>
      </c>
      <c r="B305" s="449"/>
      <c r="C305" s="51"/>
      <c r="D305" s="51"/>
      <c r="E305" s="51"/>
      <c r="F305" s="51"/>
      <c r="G305" s="51"/>
      <c r="H305" s="51"/>
      <c r="I305" s="536" t="s">
        <v>157</v>
      </c>
      <c r="J305" s="677" t="s">
        <v>1028</v>
      </c>
      <c r="K305" s="543">
        <f t="shared" ref="K305:O305" si="635">LN(K122)</f>
        <v>11.849444239865662</v>
      </c>
      <c r="L305" s="543">
        <f t="shared" si="635"/>
        <v>11.703472266253696</v>
      </c>
      <c r="M305" s="543">
        <f t="shared" si="635"/>
        <v>11.54009947425023</v>
      </c>
      <c r="N305" s="543">
        <f t="shared" si="635"/>
        <v>11.477897542204323</v>
      </c>
      <c r="O305" s="543">
        <f t="shared" si="635"/>
        <v>11.496968025513487</v>
      </c>
      <c r="P305" s="149">
        <f t="shared" si="601"/>
        <v>3.6742690840217168E-2</v>
      </c>
      <c r="Q305" s="149">
        <f t="shared" si="602"/>
        <v>5.0988332387484007E-2</v>
      </c>
      <c r="R305" s="149">
        <f t="shared" si="603"/>
        <v>4.8244571720331135E-2</v>
      </c>
      <c r="S305" s="149">
        <f t="shared" si="604"/>
        <v>4.804492561461849E-2</v>
      </c>
      <c r="T305" s="149">
        <f t="shared" si="605"/>
        <v>3.9580806232190575E-2</v>
      </c>
      <c r="U305" s="51">
        <f t="shared" si="606"/>
        <v>0.695566788018251</v>
      </c>
      <c r="V305" s="51">
        <f t="shared" si="607"/>
        <v>0.64025554553399577</v>
      </c>
      <c r="W305" s="51">
        <f t="shared" si="608"/>
        <v>0.40500456180417899</v>
      </c>
      <c r="X305" s="51">
        <f t="shared" si="609"/>
        <v>0.37402563545513795</v>
      </c>
      <c r="Y305" s="51">
        <f t="shared" si="610"/>
        <v>0.39034918774074695</v>
      </c>
      <c r="Z305" s="51">
        <f t="shared" si="611"/>
        <v>1.0906693952475266</v>
      </c>
      <c r="AA305" s="51">
        <f t="shared" si="612"/>
        <v>1.3225448203306776</v>
      </c>
      <c r="AB305" s="51">
        <f t="shared" si="613"/>
        <v>1.8745435764155696</v>
      </c>
      <c r="AC305" s="51">
        <f t="shared" si="614"/>
        <v>1.8449402563545514</v>
      </c>
      <c r="AD305" s="62">
        <f t="shared" si="615"/>
        <v>1.6757850443811755</v>
      </c>
      <c r="AF305" s="701">
        <f t="shared" si="596"/>
        <v>2.4107628886812782E-2</v>
      </c>
      <c r="AI305" s="701">
        <f t="shared" si="597"/>
        <v>4.3197647459520538E-2</v>
      </c>
      <c r="AJ305" s="699"/>
      <c r="AK305" s="678">
        <f t="shared" si="616"/>
        <v>4.3131448736741893E-2</v>
      </c>
      <c r="AL305" s="51">
        <f t="shared" si="617"/>
        <v>1.4655374063432036E-2</v>
      </c>
      <c r="AM305" s="827">
        <f t="shared" ref="AM305:AV305" si="636">AM122</f>
        <v>39079.22092</v>
      </c>
      <c r="AN305" s="827">
        <f t="shared" si="636"/>
        <v>32910.701030999997</v>
      </c>
      <c r="AO305" s="827">
        <f t="shared" si="636"/>
        <v>32615.061194999998</v>
      </c>
      <c r="AP305" s="827">
        <f t="shared" si="636"/>
        <v>32761.351336</v>
      </c>
      <c r="AQ305" s="827">
        <f t="shared" si="636"/>
        <v>35804.088228000001</v>
      </c>
      <c r="AR305" s="827">
        <f t="shared" si="636"/>
        <v>43687.109069999999</v>
      </c>
      <c r="AS305" s="827">
        <f t="shared" si="636"/>
        <v>24137.586495</v>
      </c>
      <c r="AT305" s="827">
        <f t="shared" si="636"/>
        <v>693.98057999999992</v>
      </c>
      <c r="AU305" s="827">
        <f t="shared" si="636"/>
        <v>735.75917099999992</v>
      </c>
      <c r="AV305" s="827">
        <f t="shared" si="636"/>
        <v>1043.1968099999999</v>
      </c>
      <c r="AW305" s="829">
        <f t="shared" ref="AW305:BB305" si="637">AW122</f>
        <v>3.7341190335886862</v>
      </c>
      <c r="AX305" s="829">
        <f t="shared" si="637"/>
        <v>6.3052078504095199</v>
      </c>
      <c r="AY305" s="829">
        <f t="shared" si="637"/>
        <v>7.1433620159803324</v>
      </c>
      <c r="AZ305" s="829">
        <f t="shared" si="637"/>
        <v>1.5239392548170609</v>
      </c>
      <c r="BA305" s="829">
        <f t="shared" si="637"/>
        <v>2.446949390306115</v>
      </c>
      <c r="BB305" s="829">
        <f t="shared" si="637"/>
        <v>2.9835365590759522</v>
      </c>
    </row>
    <row r="306" spans="1:54" ht="15" customHeight="1">
      <c r="A306" s="535">
        <v>2018</v>
      </c>
      <c r="B306" s="449"/>
      <c r="C306" s="51"/>
      <c r="D306" s="51"/>
      <c r="E306" s="51"/>
      <c r="F306" s="51"/>
      <c r="G306" s="51"/>
      <c r="H306" s="51"/>
      <c r="I306" s="536" t="s">
        <v>202</v>
      </c>
      <c r="J306" s="677" t="s">
        <v>653</v>
      </c>
      <c r="K306" s="543">
        <f t="shared" ref="K306:O306" si="638">LN(K123)</f>
        <v>13.967792298698084</v>
      </c>
      <c r="L306" s="543">
        <f t="shared" si="638"/>
        <v>13.921181969788879</v>
      </c>
      <c r="M306" s="543">
        <f t="shared" si="638"/>
        <v>13.837662767926044</v>
      </c>
      <c r="N306" s="543">
        <f t="shared" si="638"/>
        <v>13.968157264533378</v>
      </c>
      <c r="O306" s="543">
        <f t="shared" si="638"/>
        <v>13.868448104128678</v>
      </c>
      <c r="P306" s="149">
        <f t="shared" si="601"/>
        <v>1.9388366979812111E-2</v>
      </c>
      <c r="Q306" s="149">
        <f t="shared" si="602"/>
        <v>1.208865010073875E-2</v>
      </c>
      <c r="R306" s="149">
        <f t="shared" si="603"/>
        <v>-3.6365658362989321E-2</v>
      </c>
      <c r="S306" s="149">
        <f t="shared" si="604"/>
        <v>2.5013192612137202E-2</v>
      </c>
      <c r="T306" s="149">
        <f t="shared" si="605"/>
        <v>5.8789757721896888E-2</v>
      </c>
      <c r="U306" s="51">
        <f t="shared" si="606"/>
        <v>0.58369384359400989</v>
      </c>
      <c r="V306" s="51">
        <f t="shared" si="607"/>
        <v>0.55348192385624406</v>
      </c>
      <c r="W306" s="51">
        <f t="shared" si="608"/>
        <v>0.62644014840851392</v>
      </c>
      <c r="X306" s="51">
        <f t="shared" si="609"/>
        <v>0.51599007962406995</v>
      </c>
      <c r="Y306" s="51">
        <f t="shared" si="610"/>
        <v>0.50019493177387919</v>
      </c>
      <c r="Z306" s="51">
        <f t="shared" si="611"/>
        <v>1.1099278979478646</v>
      </c>
      <c r="AA306" s="51">
        <f t="shared" si="612"/>
        <v>1.1115495360989656</v>
      </c>
      <c r="AB306" s="51">
        <f t="shared" si="613"/>
        <v>0.87795352470220656</v>
      </c>
      <c r="AC306" s="51">
        <f t="shared" si="614"/>
        <v>1.2367837096984728</v>
      </c>
      <c r="AD306" s="62">
        <f t="shared" si="615"/>
        <v>1.1317738791423002</v>
      </c>
      <c r="AF306" s="701">
        <f t="shared" si="596"/>
        <v>-9.8464070088649991E-2</v>
      </c>
      <c r="AI306" s="701">
        <f t="shared" si="597"/>
        <v>-0.21859317655508101</v>
      </c>
      <c r="AJ306" s="699"/>
      <c r="AK306" s="678">
        <f t="shared" si="616"/>
        <v>-3.0785336202632789E-2</v>
      </c>
      <c r="AL306" s="51">
        <f t="shared" si="617"/>
        <v>0.12624521663463473</v>
      </c>
      <c r="AM306" s="827">
        <f t="shared" ref="AM306:AV306" si="639">AM123</f>
        <v>436770.38699999999</v>
      </c>
      <c r="AN306" s="827">
        <f t="shared" si="639"/>
        <v>446267.47499999998</v>
      </c>
      <c r="AO306" s="827">
        <f t="shared" si="639"/>
        <v>435020.02600000001</v>
      </c>
      <c r="AP306" s="827">
        <f t="shared" si="639"/>
        <v>456129.66</v>
      </c>
      <c r="AQ306" s="827">
        <f t="shared" si="639"/>
        <v>465619.83600000001</v>
      </c>
      <c r="AR306" s="827">
        <f t="shared" si="639"/>
        <v>280473.39</v>
      </c>
      <c r="AS306" s="827">
        <f t="shared" si="639"/>
        <v>284288.90999999997</v>
      </c>
      <c r="AT306" s="827">
        <f t="shared" si="639"/>
        <v>364298.00400000002</v>
      </c>
      <c r="AU306" s="827">
        <f t="shared" si="639"/>
        <v>137945.41200000001</v>
      </c>
      <c r="AV306" s="827">
        <f t="shared" si="639"/>
        <v>136925.64600000001</v>
      </c>
      <c r="AW306" s="829">
        <f t="shared" ref="AW306:BB306" si="640">AW123</f>
        <v>0.4526967285587975</v>
      </c>
      <c r="AX306" s="829">
        <f t="shared" si="640"/>
        <v>0.21122994652406415</v>
      </c>
      <c r="AY306" s="829">
        <f t="shared" si="640"/>
        <v>-0.10205992509363296</v>
      </c>
      <c r="AZ306" s="829">
        <f t="shared" si="640"/>
        <v>0.2929733214064732</v>
      </c>
      <c r="BA306" s="829">
        <f t="shared" si="640"/>
        <v>0.13989194553172724</v>
      </c>
      <c r="BB306" s="829">
        <f t="shared" si="640"/>
        <v>-9.5861792560120007E-2</v>
      </c>
    </row>
    <row r="307" spans="1:54" ht="15" customHeight="1">
      <c r="A307" s="680">
        <v>2018</v>
      </c>
      <c r="B307" s="449"/>
      <c r="C307" s="51"/>
      <c r="D307" s="51"/>
      <c r="E307" s="51"/>
      <c r="F307" s="51"/>
      <c r="G307" s="51"/>
      <c r="H307" s="51"/>
      <c r="I307" s="536" t="s">
        <v>203</v>
      </c>
      <c r="J307" s="677" t="s">
        <v>654</v>
      </c>
      <c r="K307" s="543">
        <f t="shared" ref="K307:O307" si="641">LN(K124)</f>
        <v>12.667393532747413</v>
      </c>
      <c r="L307" s="543">
        <f t="shared" si="641"/>
        <v>12.686789466214849</v>
      </c>
      <c r="M307" s="543">
        <f t="shared" si="641"/>
        <v>12.631459468476711</v>
      </c>
      <c r="N307" s="543">
        <f t="shared" si="641"/>
        <v>12.530055574100203</v>
      </c>
      <c r="O307" s="543">
        <f t="shared" si="641"/>
        <v>12.509465015284114</v>
      </c>
      <c r="P307" s="149">
        <f t="shared" si="601"/>
        <v>1.0407433881343811</v>
      </c>
      <c r="Q307" s="149">
        <f t="shared" si="602"/>
        <v>0.71728887277999265</v>
      </c>
      <c r="R307" s="149">
        <f t="shared" si="603"/>
        <v>0.95385187941942406</v>
      </c>
      <c r="S307" s="149">
        <f t="shared" si="604"/>
        <v>0.86974615064502581</v>
      </c>
      <c r="T307" s="149">
        <f t="shared" si="605"/>
        <v>0.82149280575539563</v>
      </c>
      <c r="U307" s="51">
        <f t="shared" si="606"/>
        <v>0.88312001810455354</v>
      </c>
      <c r="V307" s="51">
        <f t="shared" si="607"/>
        <v>0.88659585337817681</v>
      </c>
      <c r="W307" s="51">
        <f t="shared" si="608"/>
        <v>0.87747656934394125</v>
      </c>
      <c r="X307" s="51">
        <f t="shared" si="609"/>
        <v>0.88372411389884475</v>
      </c>
      <c r="Y307" s="51">
        <f t="shared" si="610"/>
        <v>0.88574523340336941</v>
      </c>
      <c r="Z307" s="51">
        <f t="shared" si="611"/>
        <v>1.4071261535366782E-2</v>
      </c>
      <c r="AA307" s="51">
        <f t="shared" si="612"/>
        <v>1.4682404529779921E-2</v>
      </c>
      <c r="AB307" s="51">
        <f t="shared" si="613"/>
        <v>1.6122451428640064E-2</v>
      </c>
      <c r="AC307" s="51">
        <f t="shared" si="614"/>
        <v>1.4952956989247349E-2</v>
      </c>
      <c r="AD307" s="62">
        <f t="shared" si="615"/>
        <v>1.4511856134260736E-2</v>
      </c>
      <c r="AF307" s="701">
        <f t="shared" si="596"/>
        <v>3.4570451836042036E-3</v>
      </c>
      <c r="AI307" s="701">
        <f t="shared" si="597"/>
        <v>2.0764417075854219E-2</v>
      </c>
      <c r="AJ307" s="699"/>
      <c r="AK307" s="678">
        <f t="shared" si="616"/>
        <v>0.12199445319259639</v>
      </c>
      <c r="AL307" s="51">
        <f t="shared" si="617"/>
        <v>-8.2686640594281657E-3</v>
      </c>
      <c r="AM307" s="827">
        <f t="shared" ref="AM307:AV307" si="642">AM124</f>
        <v>2704764.3389999997</v>
      </c>
      <c r="AN307" s="827">
        <f t="shared" si="642"/>
        <v>2272391.85</v>
      </c>
      <c r="AO307" s="827">
        <f t="shared" si="642"/>
        <v>2321547.0180000002</v>
      </c>
      <c r="AP307" s="827">
        <f t="shared" si="642"/>
        <v>2297368.9559999998</v>
      </c>
      <c r="AQ307" s="827">
        <f t="shared" si="642"/>
        <v>2119841.2046680003</v>
      </c>
      <c r="AR307" s="827">
        <f t="shared" si="642"/>
        <v>4830272</v>
      </c>
      <c r="AS307" s="827">
        <f t="shared" si="642"/>
        <v>5415357</v>
      </c>
      <c r="AT307" s="827">
        <f t="shared" si="642"/>
        <v>5194647</v>
      </c>
      <c r="AU307" s="827">
        <f t="shared" si="642"/>
        <v>5355121</v>
      </c>
      <c r="AV307" s="827">
        <f t="shared" si="642"/>
        <v>5407430</v>
      </c>
      <c r="AW307" s="829">
        <f t="shared" ref="AW307:BB307" si="643">AW124</f>
        <v>4.1153282930177185E-2</v>
      </c>
      <c r="AX307" s="829">
        <f t="shared" si="643"/>
        <v>4.4911464893394565E-2</v>
      </c>
      <c r="AY307" s="829">
        <f t="shared" si="643"/>
        <v>5.6195047764776122E-2</v>
      </c>
      <c r="AZ307" s="829">
        <f t="shared" si="643"/>
        <v>4.8406223143436289E-2</v>
      </c>
      <c r="BA307" s="829">
        <f t="shared" si="643"/>
        <v>5.2278829116870297E-2</v>
      </c>
      <c r="BB307" s="829">
        <f t="shared" si="643"/>
        <v>6.4702561628138699E-2</v>
      </c>
    </row>
    <row r="308" spans="1:54" ht="15" customHeight="1">
      <c r="A308" s="680">
        <v>2018</v>
      </c>
      <c r="B308" s="449"/>
      <c r="C308" s="51"/>
      <c r="D308" s="51"/>
      <c r="E308" s="51"/>
      <c r="F308" s="51"/>
      <c r="G308" s="51"/>
      <c r="H308" s="51"/>
      <c r="I308" s="536" t="s">
        <v>203</v>
      </c>
      <c r="J308" s="677" t="s">
        <v>655</v>
      </c>
      <c r="K308" s="543">
        <f t="shared" ref="K308:O308" si="644">LN(K125)</f>
        <v>12.338611450800492</v>
      </c>
      <c r="L308" s="543">
        <f t="shared" si="644"/>
        <v>12.398503127625883</v>
      </c>
      <c r="M308" s="543">
        <f t="shared" si="644"/>
        <v>12.383541890763139</v>
      </c>
      <c r="N308" s="543">
        <f t="shared" si="644"/>
        <v>12.293084021178702</v>
      </c>
      <c r="O308" s="543">
        <f t="shared" si="644"/>
        <v>12.281137185481517</v>
      </c>
      <c r="P308" s="149">
        <f t="shared" si="601"/>
        <v>1.139523336643496</v>
      </c>
      <c r="Q308" s="149">
        <f t="shared" si="602"/>
        <v>0.84235976789168132</v>
      </c>
      <c r="R308" s="149">
        <f t="shared" si="603"/>
        <v>0.98330948974725862</v>
      </c>
      <c r="S308" s="149">
        <f t="shared" si="604"/>
        <v>0.81329113924050389</v>
      </c>
      <c r="T308" s="149">
        <f t="shared" si="605"/>
        <v>0.81355932203389703</v>
      </c>
      <c r="U308" s="51">
        <f t="shared" si="606"/>
        <v>0.8602701795603287</v>
      </c>
      <c r="V308" s="51">
        <f t="shared" si="607"/>
        <v>0.87193302528602423</v>
      </c>
      <c r="W308" s="51">
        <f t="shared" si="608"/>
        <v>0.87292421362217931</v>
      </c>
      <c r="X308" s="51">
        <f t="shared" si="609"/>
        <v>0.87699235087983785</v>
      </c>
      <c r="Y308" s="51">
        <f t="shared" si="610"/>
        <v>0.87344885065750233</v>
      </c>
      <c r="Z308" s="51">
        <f t="shared" si="611"/>
        <v>1.6898808524920247E-2</v>
      </c>
      <c r="AA308" s="51">
        <f t="shared" si="612"/>
        <v>1.7630309127180291E-2</v>
      </c>
      <c r="AB308" s="51">
        <f t="shared" si="613"/>
        <v>1.8803127577920527E-2</v>
      </c>
      <c r="AC308" s="51">
        <f t="shared" si="614"/>
        <v>1.7860507178115211E-2</v>
      </c>
      <c r="AD308" s="62">
        <f t="shared" si="615"/>
        <v>1.8212499742761332E-2</v>
      </c>
      <c r="AF308" s="701">
        <f t="shared" si="596"/>
        <v>3.6723448410342086E-3</v>
      </c>
      <c r="AI308" s="701">
        <f t="shared" si="597"/>
        <v>2.795156229295917E-2</v>
      </c>
      <c r="AJ308" s="699"/>
      <c r="AK308" s="678">
        <f t="shared" si="616"/>
        <v>0.10240470528162066</v>
      </c>
      <c r="AL308" s="51">
        <f t="shared" si="617"/>
        <v>-5.2463703532301675E-4</v>
      </c>
      <c r="AM308" s="827">
        <f t="shared" ref="AM308:AV308" si="645">AM125</f>
        <v>1938059.487</v>
      </c>
      <c r="AN308" s="827">
        <f t="shared" si="645"/>
        <v>1601870.97</v>
      </c>
      <c r="AO308" s="827">
        <f t="shared" si="645"/>
        <v>1611370.5719999999</v>
      </c>
      <c r="AP308" s="827">
        <f t="shared" si="645"/>
        <v>1605428.868</v>
      </c>
      <c r="AQ308" s="827">
        <f t="shared" si="645"/>
        <v>1488990.7340000002</v>
      </c>
      <c r="AR308" s="827">
        <f t="shared" si="645"/>
        <v>2549206</v>
      </c>
      <c r="AS308" s="827">
        <f t="shared" si="645"/>
        <v>2890973</v>
      </c>
      <c r="AT308" s="827">
        <f t="shared" si="645"/>
        <v>2942597</v>
      </c>
      <c r="AU308" s="827">
        <f t="shared" si="645"/>
        <v>3030495</v>
      </c>
      <c r="AV308" s="827">
        <f t="shared" si="645"/>
        <v>2339829</v>
      </c>
      <c r="AW308" s="829">
        <f t="shared" ref="AW308:BB308" si="646">AW125</f>
        <v>7.4960973421520971E-2</v>
      </c>
      <c r="AX308" s="829">
        <f t="shared" si="646"/>
        <v>5.8553252598233296E-2</v>
      </c>
      <c r="AY308" s="829">
        <f t="shared" si="646"/>
        <v>7.9811110228146437E-2</v>
      </c>
      <c r="AZ308" s="829">
        <f t="shared" si="646"/>
        <v>8.0353027199048424E-2</v>
      </c>
      <c r="BA308" s="829">
        <f t="shared" si="646"/>
        <v>6.5326898478846457E-2</v>
      </c>
      <c r="BB308" s="829">
        <f t="shared" si="646"/>
        <v>8.8177451653726924E-2</v>
      </c>
    </row>
    <row r="309" spans="1:54" s="684" customFormat="1" ht="15" customHeight="1">
      <c r="A309" s="535">
        <v>2012</v>
      </c>
      <c r="B309" s="449"/>
      <c r="C309" s="51"/>
      <c r="D309" s="51"/>
      <c r="E309" s="51"/>
      <c r="F309" s="51"/>
      <c r="G309" s="51"/>
      <c r="H309" s="51"/>
      <c r="I309" s="536" t="s">
        <v>1029</v>
      </c>
      <c r="J309" s="677" t="s">
        <v>1082</v>
      </c>
      <c r="K309" s="543">
        <f t="shared" ref="K309:O309" si="647">LN(K126)</f>
        <v>11.438518347283097</v>
      </c>
      <c r="L309" s="543">
        <f t="shared" si="647"/>
        <v>11.668149674030152</v>
      </c>
      <c r="M309" s="543">
        <f t="shared" si="647"/>
        <v>11.705712522947131</v>
      </c>
      <c r="N309" s="543">
        <f t="shared" si="647"/>
        <v>7.4826854657394817</v>
      </c>
      <c r="O309" s="543">
        <f t="shared" si="647"/>
        <v>7.5424836006160474</v>
      </c>
      <c r="P309" s="149">
        <f t="shared" si="601"/>
        <v>-2.336663713664016E-2</v>
      </c>
      <c r="Q309" s="149">
        <f t="shared" si="602"/>
        <v>-3.2375507911907873E-2</v>
      </c>
      <c r="R309" s="149">
        <f t="shared" si="603"/>
        <v>1.858352405959084E-2</v>
      </c>
      <c r="S309" s="149">
        <f t="shared" si="604"/>
        <v>-1.940499226006192</v>
      </c>
      <c r="T309" s="149">
        <f t="shared" si="605"/>
        <v>-4.0098456877780935</v>
      </c>
      <c r="U309" s="51">
        <f t="shared" si="606"/>
        <v>0.70049682597132457</v>
      </c>
      <c r="V309" s="51">
        <f t="shared" si="607"/>
        <v>0.69086640212502659</v>
      </c>
      <c r="W309" s="51">
        <f t="shared" si="608"/>
        <v>0.67625669818094214</v>
      </c>
      <c r="X309" s="51">
        <f t="shared" si="609"/>
        <v>0.51336373334843899</v>
      </c>
      <c r="Y309" s="51">
        <f t="shared" si="610"/>
        <v>0.47626866751643404</v>
      </c>
      <c r="Z309" s="51">
        <f t="shared" si="611"/>
        <v>0.46153551589237829</v>
      </c>
      <c r="AA309" s="51">
        <f t="shared" si="612"/>
        <v>0.47834027287865727</v>
      </c>
      <c r="AB309" s="51">
        <f t="shared" si="613"/>
        <v>0.48745714498871001</v>
      </c>
      <c r="AC309" s="51">
        <f t="shared" si="614"/>
        <v>1.951643205785444E-2</v>
      </c>
      <c r="AD309" s="62">
        <f t="shared" si="615"/>
        <v>1.9598457059841808E-2</v>
      </c>
      <c r="AF309" s="701">
        <f t="shared" si="596"/>
        <v>8.7645460110427967E-2</v>
      </c>
      <c r="AI309" s="701">
        <f t="shared" si="597"/>
        <v>0.17803275410006628</v>
      </c>
      <c r="AJ309" s="209"/>
      <c r="AK309" s="678">
        <f t="shared" si="616"/>
        <v>4.1632289223310845</v>
      </c>
      <c r="AL309" s="51">
        <f t="shared" si="617"/>
        <v>0.1999880306645081</v>
      </c>
      <c r="AM309" s="827">
        <f t="shared" ref="AM309:AV309" si="648">AM126</f>
        <v>60239.547694000001</v>
      </c>
      <c r="AN309" s="827">
        <f t="shared" si="648"/>
        <v>75478.329375000001</v>
      </c>
      <c r="AO309" s="827">
        <f t="shared" si="648"/>
        <v>80536.120733000003</v>
      </c>
      <c r="AP309" s="827">
        <f t="shared" si="648"/>
        <v>44309.1129</v>
      </c>
      <c r="AQ309" s="827">
        <f t="shared" si="648"/>
        <v>50413.364496000002</v>
      </c>
      <c r="AR309" s="827">
        <f t="shared" si="648"/>
        <v>366322</v>
      </c>
      <c r="AS309" s="827">
        <f t="shared" si="648"/>
        <v>827959</v>
      </c>
      <c r="AT309" s="827">
        <f t="shared" si="648"/>
        <v>622526</v>
      </c>
      <c r="AU309" s="827">
        <f t="shared" si="648"/>
        <v>221087</v>
      </c>
      <c r="AV309" s="827">
        <f t="shared" si="648"/>
        <v>149905</v>
      </c>
      <c r="AW309" s="829">
        <f t="shared" ref="AW309:BB309" si="649">AW126</f>
        <v>-5.04627075547847E-2</v>
      </c>
      <c r="AX309" s="829">
        <f t="shared" si="649"/>
        <v>-1.5596935450750155E-2</v>
      </c>
      <c r="AY309" s="829">
        <f t="shared" si="649"/>
        <v>3.6199030160989258E-3</v>
      </c>
      <c r="AZ309" s="829">
        <f t="shared" si="649"/>
        <v>-0.10262059501489962</v>
      </c>
      <c r="BA309" s="829">
        <f t="shared" si="649"/>
        <v>-4.5878522314460685E-2</v>
      </c>
      <c r="BB309" s="829">
        <f t="shared" si="649"/>
        <v>1.1506655243319446E-2</v>
      </c>
    </row>
    <row r="310" spans="1:54" s="684" customFormat="1" ht="15" customHeight="1">
      <c r="A310" s="535">
        <v>2012</v>
      </c>
      <c r="B310" s="449"/>
      <c r="C310" s="51"/>
      <c r="D310" s="51"/>
      <c r="E310" s="51"/>
      <c r="F310" s="51"/>
      <c r="G310" s="51"/>
      <c r="H310" s="51"/>
      <c r="I310" s="536" t="s">
        <v>1029</v>
      </c>
      <c r="J310" s="677" t="s">
        <v>919</v>
      </c>
      <c r="K310" s="543">
        <f t="shared" ref="K310:O310" si="650">LN(K127)</f>
        <v>12.084266744924822</v>
      </c>
      <c r="L310" s="543">
        <f t="shared" si="650"/>
        <v>12.197870915633125</v>
      </c>
      <c r="M310" s="543">
        <f t="shared" si="650"/>
        <v>11.96029476510763</v>
      </c>
      <c r="N310" s="543">
        <f t="shared" si="650"/>
        <v>11.870319896055998</v>
      </c>
      <c r="O310" s="543">
        <f t="shared" si="650"/>
        <v>11.980330802778431</v>
      </c>
      <c r="P310" s="149">
        <f t="shared" si="601"/>
        <v>3.9869841399022547E-2</v>
      </c>
      <c r="Q310" s="149">
        <f t="shared" si="602"/>
        <v>4.3737896841160813E-2</v>
      </c>
      <c r="R310" s="149">
        <f t="shared" si="603"/>
        <v>2.5863476547617753E-3</v>
      </c>
      <c r="S310" s="149">
        <f t="shared" si="604"/>
        <v>1.2355537382896587E-2</v>
      </c>
      <c r="T310" s="149">
        <f t="shared" si="605"/>
        <v>1.285431625691622E-2</v>
      </c>
      <c r="U310" s="51">
        <f t="shared" si="606"/>
        <v>0.6044489704346766</v>
      </c>
      <c r="V310" s="51">
        <f t="shared" si="607"/>
        <v>0.56932559729681287</v>
      </c>
      <c r="W310" s="51">
        <f t="shared" si="608"/>
        <v>0.53065735892961019</v>
      </c>
      <c r="X310" s="51">
        <f t="shared" si="609"/>
        <v>0.51637435769340567</v>
      </c>
      <c r="Y310" s="51">
        <f t="shared" si="610"/>
        <v>0.55135783787978299</v>
      </c>
      <c r="Z310" s="51">
        <f t="shared" si="611"/>
        <v>1.3159472527229032</v>
      </c>
      <c r="AA310" s="51">
        <f t="shared" si="612"/>
        <v>1.3786553104482964</v>
      </c>
      <c r="AB310" s="51">
        <f t="shared" si="613"/>
        <v>1.272431369290008</v>
      </c>
      <c r="AC310" s="51">
        <f t="shared" si="614"/>
        <v>1.2363361166619089</v>
      </c>
      <c r="AD310" s="62">
        <f t="shared" si="615"/>
        <v>1.2381862977404934</v>
      </c>
      <c r="AF310" s="701">
        <f t="shared" si="596"/>
        <v>-1.2625088368328003E-2</v>
      </c>
      <c r="AI310" s="701">
        <f t="shared" si="597"/>
        <v>-2.8463972689588453E-2</v>
      </c>
      <c r="AJ310" s="209"/>
      <c r="AK310" s="678">
        <f t="shared" si="616"/>
        <v>-2.0036037670800436E-2</v>
      </c>
      <c r="AL310" s="51">
        <f t="shared" si="617"/>
        <v>-2.0700478950172796E-2</v>
      </c>
      <c r="AM310" s="827">
        <f t="shared" ref="AM310:AV310" si="651">AM127</f>
        <v>53222.393631999999</v>
      </c>
      <c r="AN310" s="827">
        <f t="shared" si="651"/>
        <v>61967.131334999998</v>
      </c>
      <c r="AO310" s="827">
        <f t="shared" si="651"/>
        <v>57695.994552000004</v>
      </c>
      <c r="AP310" s="827">
        <f t="shared" si="651"/>
        <v>55922.407176000001</v>
      </c>
      <c r="AQ310" s="827">
        <f t="shared" si="651"/>
        <v>57824.026920000004</v>
      </c>
      <c r="AR310" s="827">
        <f t="shared" si="651"/>
        <v>221977</v>
      </c>
      <c r="AS310" s="827">
        <f t="shared" si="651"/>
        <v>131344</v>
      </c>
      <c r="AT310" s="827">
        <f t="shared" si="651"/>
        <v>55933</v>
      </c>
      <c r="AU310" s="827">
        <f t="shared" si="651"/>
        <v>69764</v>
      </c>
      <c r="AV310" s="827">
        <f t="shared" si="651"/>
        <v>112209</v>
      </c>
      <c r="AW310" s="829">
        <f t="shared" ref="AW310:BB310" si="652">AW127</f>
        <v>1.8281542977836004E-2</v>
      </c>
      <c r="AX310" s="829">
        <f t="shared" si="652"/>
        <v>2.5318891921334786E-2</v>
      </c>
      <c r="AY310" s="829">
        <f t="shared" si="652"/>
        <v>7.2328391468363933E-3</v>
      </c>
      <c r="AZ310" s="829">
        <f t="shared" si="652"/>
        <v>2.5995638221697467E-2</v>
      </c>
      <c r="BA310" s="829">
        <f t="shared" si="652"/>
        <v>2.8349665811502792E-2</v>
      </c>
      <c r="BB310" s="829">
        <f t="shared" si="652"/>
        <v>7.1291092070314213E-3</v>
      </c>
    </row>
    <row r="311" spans="1:54" ht="15" customHeight="1">
      <c r="A311" s="535">
        <v>2012</v>
      </c>
      <c r="B311" s="449"/>
      <c r="C311" s="51"/>
      <c r="D311" s="51"/>
      <c r="E311" s="51"/>
      <c r="F311" s="51"/>
      <c r="G311" s="51"/>
      <c r="H311" s="51"/>
      <c r="I311" s="536" t="s">
        <v>1029</v>
      </c>
      <c r="J311" s="677" t="s">
        <v>548</v>
      </c>
      <c r="K311" s="543">
        <f t="shared" ref="K311:O311" si="653">LN(K128)</f>
        <v>13.54517098852935</v>
      </c>
      <c r="L311" s="543">
        <f t="shared" si="653"/>
        <v>13.535819214431017</v>
      </c>
      <c r="M311" s="543">
        <f t="shared" si="653"/>
        <v>13.573068893762585</v>
      </c>
      <c r="N311" s="543">
        <f t="shared" si="653"/>
        <v>13.459212177973582</v>
      </c>
      <c r="O311" s="543">
        <f t="shared" si="653"/>
        <v>13.398453806798686</v>
      </c>
      <c r="P311" s="149">
        <f t="shared" si="601"/>
        <v>0.10548591893211787</v>
      </c>
      <c r="Q311" s="149">
        <f t="shared" si="602"/>
        <v>8.3028005895978099E-2</v>
      </c>
      <c r="R311" s="149">
        <f t="shared" si="603"/>
        <v>8.9482934450061835E-2</v>
      </c>
      <c r="S311" s="149">
        <f t="shared" si="604"/>
        <v>0.11728167734649284</v>
      </c>
      <c r="T311" s="149">
        <f t="shared" si="605"/>
        <v>0.1035557482790395</v>
      </c>
      <c r="U311" s="51">
        <f t="shared" si="606"/>
        <v>0.43884105507721743</v>
      </c>
      <c r="V311" s="51">
        <f t="shared" si="607"/>
        <v>0.49289779159811009</v>
      </c>
      <c r="W311" s="51">
        <f t="shared" si="608"/>
        <v>0.49788376724996447</v>
      </c>
      <c r="X311" s="51">
        <f t="shared" si="609"/>
        <v>0.54314789687924014</v>
      </c>
      <c r="Y311" s="51">
        <f t="shared" si="610"/>
        <v>0.44569185377806675</v>
      </c>
      <c r="Z311" s="51">
        <f t="shared" si="611"/>
        <v>0.83955172885062179</v>
      </c>
      <c r="AA311" s="51">
        <f t="shared" si="612"/>
        <v>0.71686265038416841</v>
      </c>
      <c r="AB311" s="51">
        <f t="shared" si="613"/>
        <v>0.81958671219234602</v>
      </c>
      <c r="AC311" s="51">
        <f t="shared" si="614"/>
        <v>0.78951347160302388</v>
      </c>
      <c r="AD311" s="62">
        <f t="shared" si="615"/>
        <v>0.92258838825823886</v>
      </c>
      <c r="AF311" s="701">
        <f t="shared" si="596"/>
        <v>-2.2200306856385563E-2</v>
      </c>
      <c r="AI311" s="701">
        <f t="shared" si="597"/>
        <v>-2.6297942133478025E-2</v>
      </c>
      <c r="AJ311" s="209"/>
      <c r="AK311" s="678">
        <f t="shared" si="616"/>
        <v>0.17461508696389796</v>
      </c>
      <c r="AL311" s="51">
        <f t="shared" si="617"/>
        <v>5.2191913471897722E-2</v>
      </c>
      <c r="AM311" s="827">
        <f t="shared" ref="AM311:AV311" si="654">AM128</f>
        <v>510071.95600000001</v>
      </c>
      <c r="AN311" s="827">
        <f t="shared" si="654"/>
        <v>534799.68299999996</v>
      </c>
      <c r="AO311" s="827">
        <f t="shared" si="654"/>
        <v>480748.87449999998</v>
      </c>
      <c r="AP311" s="827">
        <f t="shared" si="654"/>
        <v>405207.67559999996</v>
      </c>
      <c r="AQ311" s="827">
        <f t="shared" si="654"/>
        <v>395929.47240000003</v>
      </c>
      <c r="AR311" s="827">
        <f t="shared" si="654"/>
        <v>183854.48</v>
      </c>
      <c r="AS311" s="827">
        <f t="shared" si="654"/>
        <v>289177.71750000003</v>
      </c>
      <c r="AT311" s="827">
        <f t="shared" si="654"/>
        <v>199450.76380000002</v>
      </c>
      <c r="AU311" s="827">
        <f t="shared" si="654"/>
        <v>292305.18479999999</v>
      </c>
      <c r="AV311" s="827">
        <f t="shared" si="654"/>
        <v>104996.58840000001</v>
      </c>
      <c r="AW311" s="829">
        <f t="shared" ref="AW311:BB311" si="655">AW128</f>
        <v>0.64994046606565736</v>
      </c>
      <c r="AX311" s="829">
        <f t="shared" si="655"/>
        <v>0.28096694506528641</v>
      </c>
      <c r="AY311" s="829">
        <f t="shared" si="655"/>
        <v>0.3520573672528598</v>
      </c>
      <c r="AZ311" s="829">
        <f t="shared" si="655"/>
        <v>0.38521250206581847</v>
      </c>
      <c r="BA311" s="829">
        <f t="shared" si="655"/>
        <v>0.24520206954205059</v>
      </c>
      <c r="BB311" s="829">
        <f t="shared" si="655"/>
        <v>0.24862267233920751</v>
      </c>
    </row>
    <row r="312" spans="1:54" ht="15" customHeight="1">
      <c r="A312" s="535">
        <v>2012</v>
      </c>
      <c r="B312" s="449"/>
      <c r="C312" s="51"/>
      <c r="D312" s="51"/>
      <c r="E312" s="51"/>
      <c r="F312" s="51"/>
      <c r="G312" s="51"/>
      <c r="H312" s="51"/>
      <c r="I312" s="536" t="s">
        <v>1029</v>
      </c>
      <c r="J312" s="677" t="s">
        <v>657</v>
      </c>
      <c r="K312" s="543">
        <f t="shared" ref="K312:O312" si="656">LN(K129)</f>
        <v>12.845406814928216</v>
      </c>
      <c r="L312" s="543">
        <f t="shared" si="656"/>
        <v>12.875465117137466</v>
      </c>
      <c r="M312" s="543">
        <f t="shared" si="656"/>
        <v>13.035840896715969</v>
      </c>
      <c r="N312" s="543">
        <f t="shared" si="656"/>
        <v>12.91765808959458</v>
      </c>
      <c r="O312" s="543">
        <f t="shared" si="656"/>
        <v>13.358690196018586</v>
      </c>
      <c r="P312" s="149">
        <f t="shared" si="601"/>
        <v>-1.3162832327677607E-2</v>
      </c>
      <c r="Q312" s="149">
        <f t="shared" si="602"/>
        <v>-8.8924373323421603E-3</v>
      </c>
      <c r="R312" s="149">
        <f t="shared" si="603"/>
        <v>-8.4422169141386325E-2</v>
      </c>
      <c r="S312" s="149">
        <f t="shared" si="604"/>
        <v>0.19005859304124298</v>
      </c>
      <c r="T312" s="149">
        <f t="shared" si="605"/>
        <v>6.4569274489637363E-3</v>
      </c>
      <c r="U312" s="51">
        <f t="shared" si="606"/>
        <v>0.71754580973808324</v>
      </c>
      <c r="V312" s="51">
        <f t="shared" si="607"/>
        <v>0.74689246465962555</v>
      </c>
      <c r="W312" s="51">
        <f t="shared" si="608"/>
        <v>0.74527403707409701</v>
      </c>
      <c r="X312" s="51">
        <f t="shared" si="609"/>
        <v>0.63571518223920309</v>
      </c>
      <c r="Y312" s="51">
        <f t="shared" si="610"/>
        <v>0.76185243110116008</v>
      </c>
      <c r="Z312" s="51">
        <f t="shared" si="611"/>
        <v>1.0085076762442478</v>
      </c>
      <c r="AA312" s="51">
        <f t="shared" si="612"/>
        <v>1.0174917695669501</v>
      </c>
      <c r="AB312" s="51">
        <f t="shared" si="613"/>
        <v>1.2106156270761919</v>
      </c>
      <c r="AC312" s="51">
        <f t="shared" si="614"/>
        <v>1.0083226079575551</v>
      </c>
      <c r="AD312" s="62">
        <f t="shared" si="615"/>
        <v>1.0048531625044312</v>
      </c>
      <c r="AF312" s="701">
        <f t="shared" si="596"/>
        <v>-0.10869106120138461</v>
      </c>
      <c r="AI312" s="701">
        <f t="shared" si="597"/>
        <v>-0.42847118393567912</v>
      </c>
      <c r="AJ312" s="209"/>
      <c r="AK312" s="678">
        <f t="shared" si="616"/>
        <v>-0.32284929930261635</v>
      </c>
      <c r="AL312" s="51">
        <f t="shared" si="617"/>
        <v>-1.657839402706307E-2</v>
      </c>
      <c r="AM312" s="827">
        <f t="shared" ref="AM312:AV312" si="657">AM129</f>
        <v>106159.31591600001</v>
      </c>
      <c r="AN312" s="827">
        <f t="shared" si="657"/>
        <v>97166.737785000005</v>
      </c>
      <c r="AO312" s="827">
        <f t="shared" si="657"/>
        <v>96485.200890000007</v>
      </c>
      <c r="AP312" s="827">
        <f t="shared" si="657"/>
        <v>147200.46917999999</v>
      </c>
      <c r="AQ312" s="827">
        <f t="shared" si="657"/>
        <v>150089.04226799999</v>
      </c>
      <c r="AR312" s="827">
        <f t="shared" si="657"/>
        <v>6407.7013059999999</v>
      </c>
      <c r="AS312" s="827">
        <f t="shared" si="657"/>
        <v>19020.459405000001</v>
      </c>
      <c r="AT312" s="827">
        <f t="shared" si="657"/>
        <v>49342.354998000003</v>
      </c>
      <c r="AU312" s="827">
        <f t="shared" si="657"/>
        <v>19605.869112</v>
      </c>
      <c r="AV312" s="827">
        <f t="shared" si="657"/>
        <v>109737.955008</v>
      </c>
      <c r="AW312" s="829">
        <f t="shared" ref="AW312:BB312" si="658">AW129</f>
        <v>3.7262713850480432E-2</v>
      </c>
      <c r="AX312" s="829">
        <f t="shared" si="658"/>
        <v>3.9497448219014712</v>
      </c>
      <c r="AY312" s="829">
        <f t="shared" si="658"/>
        <v>-0.78456765840562603</v>
      </c>
      <c r="AZ312" s="829">
        <f t="shared" si="658"/>
        <v>3.4876953103568267E-2</v>
      </c>
      <c r="BA312" s="829">
        <f t="shared" si="658"/>
        <v>2.7025531254535324</v>
      </c>
      <c r="BB312" s="829">
        <f t="shared" si="658"/>
        <v>-0.68692070337196365</v>
      </c>
    </row>
    <row r="313" spans="1:54" ht="15" customHeight="1">
      <c r="A313" s="535">
        <v>2013</v>
      </c>
      <c r="B313" s="449"/>
      <c r="C313" s="51"/>
      <c r="D313" s="51"/>
      <c r="E313" s="51"/>
      <c r="F313" s="51"/>
      <c r="G313" s="51"/>
      <c r="H313" s="51"/>
      <c r="I313" s="536" t="s">
        <v>1030</v>
      </c>
      <c r="J313" s="677" t="s">
        <v>650</v>
      </c>
      <c r="K313" s="543">
        <f t="shared" ref="K313:O313" si="659">LN(K130)</f>
        <v>12.199302410204753</v>
      </c>
      <c r="L313" s="543">
        <f t="shared" si="659"/>
        <v>12.62138848335986</v>
      </c>
      <c r="M313" s="543">
        <f t="shared" si="659"/>
        <v>13.06012445825017</v>
      </c>
      <c r="N313" s="543">
        <f t="shared" si="659"/>
        <v>13.033084952424039</v>
      </c>
      <c r="O313" s="543">
        <f t="shared" si="659"/>
        <v>13.1962266702688</v>
      </c>
      <c r="P313" s="149">
        <f t="shared" si="601"/>
        <v>-3.0833836253265485E-2</v>
      </c>
      <c r="Q313" s="149">
        <f t="shared" si="602"/>
        <v>-3.4011792394807415E-2</v>
      </c>
      <c r="R313" s="149">
        <f t="shared" si="603"/>
        <v>-7.1745116781492509E-3</v>
      </c>
      <c r="S313" s="149">
        <f t="shared" si="604"/>
        <v>2.2206418679291299E-2</v>
      </c>
      <c r="T313" s="149">
        <f t="shared" si="605"/>
        <v>4.3185888641061217E-2</v>
      </c>
      <c r="U313" s="51">
        <f t="shared" si="606"/>
        <v>0.85029617135660274</v>
      </c>
      <c r="V313" s="51">
        <f t="shared" si="607"/>
        <v>0.83593130947544392</v>
      </c>
      <c r="W313" s="51">
        <f t="shared" si="608"/>
        <v>0.82486962976360023</v>
      </c>
      <c r="X313" s="51">
        <f t="shared" si="609"/>
        <v>0.80011843420443418</v>
      </c>
      <c r="Y313" s="51">
        <f t="shared" si="610"/>
        <v>0.79956837058263441</v>
      </c>
      <c r="Z313" s="51">
        <f t="shared" si="611"/>
        <v>1.4851638399473075</v>
      </c>
      <c r="AA313" s="51">
        <f t="shared" si="612"/>
        <v>2.5870432503359955</v>
      </c>
      <c r="AB313" s="51">
        <f t="shared" si="613"/>
        <v>2.7800520350567828</v>
      </c>
      <c r="AC313" s="51">
        <f t="shared" si="614"/>
        <v>2.6685004759226838</v>
      </c>
      <c r="AD313" s="62">
        <f t="shared" si="615"/>
        <v>2.043425286801237</v>
      </c>
      <c r="AF313" s="701">
        <f t="shared" si="596"/>
        <v>-0.10819265267350427</v>
      </c>
      <c r="AI313" s="701">
        <f t="shared" si="597"/>
        <v>-0.55417501492689103</v>
      </c>
      <c r="AJ313" s="209"/>
      <c r="AK313" s="678">
        <f t="shared" si="616"/>
        <v>-0.13610221201863018</v>
      </c>
      <c r="AL313" s="51">
        <f t="shared" si="617"/>
        <v>2.5301259180965818E-2</v>
      </c>
      <c r="AM313" s="827">
        <f t="shared" ref="AM313:AV313" si="660">AM130</f>
        <v>20023.881229000002</v>
      </c>
      <c r="AN313" s="827">
        <f t="shared" si="660"/>
        <v>19214.283872</v>
      </c>
      <c r="AO313" s="827">
        <f t="shared" si="660"/>
        <v>29597.056815</v>
      </c>
      <c r="AP313" s="827">
        <f t="shared" si="660"/>
        <v>34253.293458</v>
      </c>
      <c r="AQ313" s="827">
        <f t="shared" si="660"/>
        <v>52802.674271999997</v>
      </c>
      <c r="AR313" s="827">
        <f t="shared" si="660"/>
        <v>31527.139248000003</v>
      </c>
      <c r="AS313" s="827">
        <f t="shared" si="660"/>
        <v>40297.547914000002</v>
      </c>
      <c r="AT313" s="827">
        <f t="shared" si="660"/>
        <v>17499.191985000001</v>
      </c>
      <c r="AU313" s="827">
        <f t="shared" si="660"/>
        <v>17625.358772</v>
      </c>
      <c r="AV313" s="827">
        <f t="shared" si="660"/>
        <v>17929.09434</v>
      </c>
      <c r="AW313" s="829">
        <f t="shared" ref="AW313:BB313" si="661">AW130</f>
        <v>1.296677374502565</v>
      </c>
      <c r="AX313" s="829">
        <f t="shared" si="661"/>
        <v>0.57615247884385024</v>
      </c>
      <c r="AY313" s="829">
        <f t="shared" si="661"/>
        <v>-0.1926257471138888</v>
      </c>
      <c r="AZ313" s="829">
        <f t="shared" si="661"/>
        <v>1.125029352384511</v>
      </c>
      <c r="BA313" s="829">
        <f t="shared" si="661"/>
        <v>0.52024805804977203</v>
      </c>
      <c r="BB313" s="829">
        <f t="shared" si="661"/>
        <v>-0.17883664449614786</v>
      </c>
    </row>
    <row r="314" spans="1:54" ht="15" customHeight="1">
      <c r="A314" s="535">
        <v>2010</v>
      </c>
      <c r="B314" s="449"/>
      <c r="C314" s="51"/>
      <c r="D314" s="51"/>
      <c r="E314" s="51"/>
      <c r="F314" s="51"/>
      <c r="G314" s="51"/>
      <c r="H314" s="51"/>
      <c r="I314" s="536" t="s">
        <v>260</v>
      </c>
      <c r="J314" s="677" t="s">
        <v>702</v>
      </c>
      <c r="K314" s="543">
        <f t="shared" ref="K314:O314" si="662">LN(K131)</f>
        <v>2.4781077562689711</v>
      </c>
      <c r="L314" s="543">
        <f t="shared" si="662"/>
        <v>7.20820279040682</v>
      </c>
      <c r="M314" s="543">
        <f t="shared" si="662"/>
        <v>7.4685285453522932</v>
      </c>
      <c r="N314" s="543">
        <f t="shared" si="662"/>
        <v>7.5995059929363125</v>
      </c>
      <c r="O314" s="543">
        <f t="shared" si="662"/>
        <v>7.2685124213992207</v>
      </c>
      <c r="P314" s="149">
        <f t="shared" si="601"/>
        <v>-340.2</v>
      </c>
      <c r="Q314" s="149">
        <f t="shared" si="602"/>
        <v>-2.7126670910248247</v>
      </c>
      <c r="R314" s="149">
        <f t="shared" si="603"/>
        <v>-2.9801223241590216</v>
      </c>
      <c r="S314" s="149">
        <f t="shared" si="604"/>
        <v>-1.7339913735899137</v>
      </c>
      <c r="T314" s="149">
        <f t="shared" si="605"/>
        <v>-1.4179104477611941</v>
      </c>
      <c r="U314" s="51">
        <f t="shared" si="606"/>
        <v>0.38892062365837088</v>
      </c>
      <c r="V314" s="51">
        <f t="shared" si="607"/>
        <v>0.24463164653286407</v>
      </c>
      <c r="W314" s="51">
        <f t="shared" si="608"/>
        <v>0.22448817563991277</v>
      </c>
      <c r="X314" s="51">
        <f t="shared" si="609"/>
        <v>0.12628356461488263</v>
      </c>
      <c r="Y314" s="51">
        <f t="shared" si="610"/>
        <v>8.8584582801201656E-2</v>
      </c>
      <c r="Z314" s="51">
        <f t="shared" si="611"/>
        <v>4.2090325839251033E-4</v>
      </c>
      <c r="AA314" s="51">
        <f t="shared" si="612"/>
        <v>4.6698135641586605E-2</v>
      </c>
      <c r="AB314" s="51">
        <f t="shared" si="613"/>
        <v>5.1923443355281262E-2</v>
      </c>
      <c r="AC314" s="51">
        <f t="shared" si="614"/>
        <v>5.7849177558971995E-2</v>
      </c>
      <c r="AD314" s="62">
        <f t="shared" si="615"/>
        <v>4.0804083135251579E-2</v>
      </c>
      <c r="AF314" s="701">
        <f t="shared" si="596"/>
        <v>-9.6881676901490549E-2</v>
      </c>
      <c r="AI314" s="701">
        <f t="shared" si="597"/>
        <v>-0.13605056238781768</v>
      </c>
      <c r="AJ314" s="209"/>
      <c r="AK314" s="678">
        <f t="shared" si="616"/>
        <v>0.20001612395307292</v>
      </c>
      <c r="AL314" s="51">
        <f t="shared" si="617"/>
        <v>0.13590359283871112</v>
      </c>
      <c r="AM314" s="827">
        <f t="shared" ref="AM314:AV314" si="663">AM131</f>
        <v>17303.894676</v>
      </c>
      <c r="AN314" s="827">
        <f t="shared" si="663"/>
        <v>21844.491515999998</v>
      </c>
      <c r="AO314" s="827">
        <f t="shared" si="663"/>
        <v>26167.707323999999</v>
      </c>
      <c r="AP314" s="827">
        <f t="shared" si="663"/>
        <v>30164.714507000001</v>
      </c>
      <c r="AQ314" s="827">
        <f t="shared" si="663"/>
        <v>32039.636719999999</v>
      </c>
      <c r="AR314" s="827">
        <f t="shared" si="663"/>
        <v>9180.7966400000005</v>
      </c>
      <c r="AS314" s="827">
        <f t="shared" si="663"/>
        <v>4126.1759999999995</v>
      </c>
      <c r="AT314" s="827">
        <f t="shared" si="663"/>
        <v>4828.164264</v>
      </c>
      <c r="AU314" s="827">
        <f t="shared" si="663"/>
        <v>2984.3829150000001</v>
      </c>
      <c r="AV314" s="827">
        <f t="shared" si="663"/>
        <v>2213.6133500000001</v>
      </c>
      <c r="AW314" s="829">
        <f t="shared" ref="AW314:BB314" si="664">AW131</f>
        <v>-0.91880187657885237</v>
      </c>
      <c r="AX314" s="829">
        <f t="shared" si="664"/>
        <v>-1.160421870663336</v>
      </c>
      <c r="AY314" s="829">
        <f t="shared" si="664"/>
        <v>-1.0814159946733743</v>
      </c>
      <c r="AZ314" s="829">
        <f t="shared" si="664"/>
        <v>-0.13924821670248838</v>
      </c>
      <c r="BA314" s="829">
        <f t="shared" si="664"/>
        <v>-0.24685100065793852</v>
      </c>
      <c r="BB314" s="829">
        <f t="shared" si="664"/>
        <v>-0.39750331644232756</v>
      </c>
    </row>
    <row r="315" spans="1:54" ht="15" customHeight="1">
      <c r="A315" s="535">
        <v>2010</v>
      </c>
      <c r="B315" s="449"/>
      <c r="C315" s="51"/>
      <c r="D315" s="51"/>
      <c r="E315" s="51"/>
      <c r="F315" s="51"/>
      <c r="G315" s="51"/>
      <c r="H315" s="51"/>
      <c r="I315" s="536" t="s">
        <v>309</v>
      </c>
      <c r="J315" s="677" t="s">
        <v>703</v>
      </c>
      <c r="K315" s="543">
        <f t="shared" ref="K315:O315" si="665">LN(K132)</f>
        <v>14.837698228355784</v>
      </c>
      <c r="L315" s="543">
        <f t="shared" si="665"/>
        <v>14.805406502029539</v>
      </c>
      <c r="M315" s="543">
        <f t="shared" si="665"/>
        <v>14.809428882113316</v>
      </c>
      <c r="N315" s="543">
        <f t="shared" si="665"/>
        <v>14.758345267399454</v>
      </c>
      <c r="O315" s="543">
        <f t="shared" si="665"/>
        <v>14.607317900865995</v>
      </c>
      <c r="P315" s="149">
        <f t="shared" si="601"/>
        <v>7.5047479017337507E-2</v>
      </c>
      <c r="Q315" s="149">
        <f t="shared" si="602"/>
        <v>8.4334270380782006E-2</v>
      </c>
      <c r="R315" s="149">
        <f t="shared" si="603"/>
        <v>9.4592808038075099E-2</v>
      </c>
      <c r="S315" s="149">
        <f t="shared" si="604"/>
        <v>9.6470284571207335E-2</v>
      </c>
      <c r="T315" s="149">
        <f t="shared" si="605"/>
        <v>5.9351476548928778E-2</v>
      </c>
      <c r="U315" s="51">
        <f t="shared" si="606"/>
        <v>0.61818181818181817</v>
      </c>
      <c r="V315" s="51">
        <f t="shared" si="607"/>
        <v>0.61447708000491585</v>
      </c>
      <c r="W315" s="51">
        <f t="shared" si="608"/>
        <v>0.64886669227814053</v>
      </c>
      <c r="X315" s="51">
        <f t="shared" si="609"/>
        <v>0.6507834299205838</v>
      </c>
      <c r="Y315" s="51">
        <f t="shared" si="610"/>
        <v>0.6986899563318778</v>
      </c>
      <c r="Z315" s="51">
        <f t="shared" si="611"/>
        <v>0.9362202466303412</v>
      </c>
      <c r="AA315" s="51">
        <f t="shared" si="612"/>
        <v>0.96177952562369418</v>
      </c>
      <c r="AB315" s="51">
        <f t="shared" si="613"/>
        <v>0.96862594442310157</v>
      </c>
      <c r="AC315" s="51">
        <f t="shared" si="614"/>
        <v>1.1087500894326392</v>
      </c>
      <c r="AD315" s="62">
        <f t="shared" si="615"/>
        <v>1.1172569949862525</v>
      </c>
      <c r="AF315" s="701">
        <f t="shared" si="596"/>
        <v>2.531419568446043E-2</v>
      </c>
      <c r="AI315" s="701">
        <f t="shared" si="597"/>
        <v>4.0865771425819652E-2</v>
      </c>
      <c r="AJ315" s="209"/>
      <c r="AK315" s="678">
        <f t="shared" si="616"/>
        <v>0.20211098124732063</v>
      </c>
      <c r="AL315" s="51">
        <f t="shared" si="617"/>
        <v>-4.9823264053737271E-2</v>
      </c>
      <c r="AM315" s="827">
        <f t="shared" ref="AM315:AV315" si="666">AM132</f>
        <v>1133467.419</v>
      </c>
      <c r="AN315" s="827">
        <f t="shared" si="666"/>
        <v>1078651.176</v>
      </c>
      <c r="AO315" s="827">
        <f t="shared" si="666"/>
        <v>979420.46400000004</v>
      </c>
      <c r="AP315" s="827">
        <f t="shared" si="666"/>
        <v>808591.34100000001</v>
      </c>
      <c r="AQ315" s="827">
        <f t="shared" si="666"/>
        <v>595303.02</v>
      </c>
      <c r="AR315" s="827">
        <f t="shared" si="666"/>
        <v>468063.98300000001</v>
      </c>
      <c r="AS315" s="827">
        <f t="shared" si="666"/>
        <v>496172.66399999999</v>
      </c>
      <c r="AT315" s="827">
        <f t="shared" si="666"/>
        <v>335046.09600000002</v>
      </c>
      <c r="AU315" s="827">
        <f t="shared" si="666"/>
        <v>318731.76400000002</v>
      </c>
      <c r="AV315" s="827">
        <f t="shared" si="666"/>
        <v>306918.17</v>
      </c>
      <c r="AW315" s="829">
        <f t="shared" ref="AW315:BB315" si="667">AW132</f>
        <v>0.42686100989068193</v>
      </c>
      <c r="AX315" s="829">
        <f t="shared" si="667"/>
        <v>0.77702702702702697</v>
      </c>
      <c r="AY315" s="829">
        <f t="shared" si="667"/>
        <v>0.76279317697228144</v>
      </c>
      <c r="AZ315" s="829">
        <f t="shared" si="667"/>
        <v>0.36455435269735498</v>
      </c>
      <c r="BA315" s="829">
        <f t="shared" si="667"/>
        <v>0.61263775043556101</v>
      </c>
      <c r="BB315" s="829">
        <f t="shared" si="667"/>
        <v>0.58657613365585215</v>
      </c>
    </row>
    <row r="316" spans="1:54" ht="15" customHeight="1">
      <c r="A316" s="535">
        <v>2010</v>
      </c>
      <c r="B316" s="449"/>
      <c r="C316" s="51"/>
      <c r="D316" s="51"/>
      <c r="E316" s="51"/>
      <c r="F316" s="51"/>
      <c r="G316" s="51"/>
      <c r="H316" s="51"/>
      <c r="I316" s="536" t="s">
        <v>309</v>
      </c>
      <c r="J316" s="677" t="s">
        <v>548</v>
      </c>
      <c r="K316" s="543">
        <f t="shared" ref="K316:O316" si="668">LN(K133)</f>
        <v>13.573068893762585</v>
      </c>
      <c r="L316" s="543">
        <f t="shared" si="668"/>
        <v>13.459212177973582</v>
      </c>
      <c r="M316" s="543">
        <f t="shared" si="668"/>
        <v>13.398453806798686</v>
      </c>
      <c r="N316" s="543">
        <f t="shared" si="668"/>
        <v>13.269375474989202</v>
      </c>
      <c r="O316" s="543">
        <f t="shared" si="668"/>
        <v>13.181846832573012</v>
      </c>
      <c r="P316" s="149">
        <f t="shared" si="601"/>
        <v>8.9482934450061835E-2</v>
      </c>
      <c r="Q316" s="149">
        <f t="shared" si="602"/>
        <v>0.11728167734649284</v>
      </c>
      <c r="R316" s="149">
        <f t="shared" si="603"/>
        <v>0.1035557482790395</v>
      </c>
      <c r="S316" s="149">
        <f t="shared" si="604"/>
        <v>2.1080029746582005E-2</v>
      </c>
      <c r="T316" s="149">
        <f t="shared" si="605"/>
        <v>7.4910426640171016E-2</v>
      </c>
      <c r="U316" s="51">
        <f t="shared" si="606"/>
        <v>0.49788376724996447</v>
      </c>
      <c r="V316" s="51">
        <f t="shared" si="607"/>
        <v>0.54314789687924014</v>
      </c>
      <c r="W316" s="51">
        <f t="shared" si="608"/>
        <v>0.44569185377806675</v>
      </c>
      <c r="X316" s="51">
        <f t="shared" si="609"/>
        <v>0.42495386197924545</v>
      </c>
      <c r="Y316" s="51">
        <f t="shared" si="610"/>
        <v>0.38849429535593766</v>
      </c>
      <c r="Z316" s="51">
        <f t="shared" si="611"/>
        <v>0.81958671219234602</v>
      </c>
      <c r="AA316" s="51">
        <f t="shared" si="612"/>
        <v>0.78951347160302388</v>
      </c>
      <c r="AB316" s="51">
        <f t="shared" si="613"/>
        <v>0.92258838825823886</v>
      </c>
      <c r="AC316" s="51">
        <f t="shared" si="614"/>
        <v>1.0577557256527395</v>
      </c>
      <c r="AD316" s="62">
        <f t="shared" si="615"/>
        <v>1.06742728587498</v>
      </c>
      <c r="AF316" s="701">
        <f t="shared" si="596"/>
        <v>1.5577897507380423E-2</v>
      </c>
      <c r="AI316" s="701">
        <f t="shared" si="597"/>
        <v>4.1596247546431292E-2</v>
      </c>
      <c r="AJ316" s="209"/>
      <c r="AK316" s="678">
        <f t="shared" si="616"/>
        <v>0.21660697422567585</v>
      </c>
      <c r="AL316" s="51">
        <f t="shared" si="617"/>
        <v>5.7197558422129091E-2</v>
      </c>
      <c r="AM316" s="827">
        <f t="shared" ref="AM316:AV316" si="669">AM133</f>
        <v>480748.87449999998</v>
      </c>
      <c r="AN316" s="827">
        <f t="shared" si="669"/>
        <v>405207.67559999996</v>
      </c>
      <c r="AO316" s="827">
        <f t="shared" si="669"/>
        <v>395929.47240000003</v>
      </c>
      <c r="AP316" s="827">
        <f t="shared" si="669"/>
        <v>314871.8627</v>
      </c>
      <c r="AQ316" s="827">
        <f t="shared" si="669"/>
        <v>303994.37900000002</v>
      </c>
      <c r="AR316" s="827">
        <f t="shared" si="669"/>
        <v>199450.76380000002</v>
      </c>
      <c r="AS316" s="827">
        <f t="shared" si="669"/>
        <v>292305.18479999999</v>
      </c>
      <c r="AT316" s="827">
        <f t="shared" si="669"/>
        <v>104996.58840000001</v>
      </c>
      <c r="AU316" s="827">
        <f t="shared" si="669"/>
        <v>48505.540800000002</v>
      </c>
      <c r="AV316" s="827">
        <f t="shared" si="669"/>
        <v>64259.493999999999</v>
      </c>
      <c r="AW316" s="829">
        <f t="shared" ref="AW316:BB316" si="670">AW133</f>
        <v>0.61859771258080554</v>
      </c>
      <c r="AX316" s="829">
        <f t="shared" si="670"/>
        <v>0.25170765027322406</v>
      </c>
      <c r="AY316" s="829">
        <f t="shared" si="670"/>
        <v>0.64994046606565736</v>
      </c>
      <c r="AZ316" s="829">
        <f t="shared" si="670"/>
        <v>0.32028311585012942</v>
      </c>
      <c r="BA316" s="829">
        <f t="shared" si="670"/>
        <v>0.12926166023470503</v>
      </c>
      <c r="BB316" s="829">
        <f t="shared" si="670"/>
        <v>0.38521250206581847</v>
      </c>
    </row>
    <row r="317" spans="1:54" ht="15" customHeight="1">
      <c r="A317" s="535">
        <v>2010</v>
      </c>
      <c r="B317" s="449"/>
      <c r="C317" s="51"/>
      <c r="D317" s="51"/>
      <c r="E317" s="51"/>
      <c r="F317" s="51"/>
      <c r="G317" s="51"/>
      <c r="H317" s="51"/>
      <c r="I317" s="536" t="s">
        <v>309</v>
      </c>
      <c r="J317" s="677" t="s">
        <v>704</v>
      </c>
      <c r="K317" s="543">
        <f t="shared" ref="K317:O317" si="671">LN(K134)</f>
        <v>12.294360790038077</v>
      </c>
      <c r="L317" s="543">
        <f t="shared" si="671"/>
        <v>12.087259498831544</v>
      </c>
      <c r="M317" s="543">
        <f t="shared" si="671"/>
        <v>12.08463867137872</v>
      </c>
      <c r="N317" s="543">
        <f t="shared" si="671"/>
        <v>11.850432157885558</v>
      </c>
      <c r="O317" s="543">
        <f t="shared" si="671"/>
        <v>11.839399206674118</v>
      </c>
      <c r="P317" s="149">
        <f t="shared" si="601"/>
        <v>6.9867276880737808E-2</v>
      </c>
      <c r="Q317" s="149">
        <f t="shared" si="602"/>
        <v>5.2721048922345359E-3</v>
      </c>
      <c r="R317" s="149">
        <f t="shared" si="603"/>
        <v>1.9221791687966516E-2</v>
      </c>
      <c r="S317" s="149">
        <f t="shared" si="604"/>
        <v>2.1628324274741303E-2</v>
      </c>
      <c r="T317" s="149">
        <f t="shared" si="605"/>
        <v>7.0819626023869736E-2</v>
      </c>
      <c r="U317" s="51">
        <f t="shared" si="606"/>
        <v>0.69608956082760065</v>
      </c>
      <c r="V317" s="51">
        <f t="shared" si="607"/>
        <v>0.7077756956300425</v>
      </c>
      <c r="W317" s="51">
        <f t="shared" si="608"/>
        <v>0.6674658897047101</v>
      </c>
      <c r="X317" s="51">
        <f t="shared" si="609"/>
        <v>0.72076000691556075</v>
      </c>
      <c r="Y317" s="51">
        <f t="shared" si="610"/>
        <v>0.66005488725967054</v>
      </c>
      <c r="Z317" s="51">
        <f t="shared" si="611"/>
        <v>1.1186794311771426</v>
      </c>
      <c r="AA317" s="51">
        <f t="shared" si="612"/>
        <v>1.1633069511200804</v>
      </c>
      <c r="AB317" s="51">
        <f t="shared" si="613"/>
        <v>1.2450191876295338</v>
      </c>
      <c r="AC317" s="51">
        <f t="shared" si="614"/>
        <v>0.93158990724559165</v>
      </c>
      <c r="AD317" s="62">
        <f t="shared" si="615"/>
        <v>1.1435399382584235</v>
      </c>
      <c r="AF317" s="701">
        <f t="shared" si="596"/>
        <v>-5.705357129868445E-2</v>
      </c>
      <c r="AI317" s="701">
        <f t="shared" si="597"/>
        <v>-0.16626159580137156</v>
      </c>
      <c r="AJ317" s="209"/>
      <c r="AK317" s="678">
        <f t="shared" si="616"/>
        <v>0.24523946470460162</v>
      </c>
      <c r="AL317" s="51">
        <f t="shared" si="617"/>
        <v>7.4110024450395606E-3</v>
      </c>
      <c r="AM317" s="827">
        <f t="shared" ref="AM317:AV317" si="672">AM134</f>
        <v>59348.606054000003</v>
      </c>
      <c r="AN317" s="827">
        <f t="shared" si="672"/>
        <v>44612.042988000001</v>
      </c>
      <c r="AO317" s="827">
        <f t="shared" si="672"/>
        <v>47309.723208000003</v>
      </c>
      <c r="AP317" s="827">
        <f t="shared" si="672"/>
        <v>42007.985057999998</v>
      </c>
      <c r="AQ317" s="827">
        <f t="shared" si="672"/>
        <v>41204.523229999999</v>
      </c>
      <c r="AR317" s="827">
        <f t="shared" si="672"/>
        <v>79842.282707999999</v>
      </c>
      <c r="AS317" s="827">
        <f t="shared" si="672"/>
        <v>60159.989927999995</v>
      </c>
      <c r="AT317" s="827">
        <f t="shared" si="672"/>
        <v>57390.574428</v>
      </c>
      <c r="AU317" s="827">
        <f t="shared" si="672"/>
        <v>53908.077332000001</v>
      </c>
      <c r="AV317" s="827">
        <f t="shared" si="672"/>
        <v>53354.712189999998</v>
      </c>
      <c r="AW317" s="829">
        <f t="shared" ref="AW317:BB317" si="673">AW134</f>
        <v>0.18397829595714291</v>
      </c>
      <c r="AX317" s="829">
        <f t="shared" si="673"/>
        <v>5.6227182771379051E-2</v>
      </c>
      <c r="AY317" s="829">
        <f t="shared" si="673"/>
        <v>5.9326016126070899E-2</v>
      </c>
      <c r="AZ317" s="829">
        <f t="shared" si="673"/>
        <v>0.20242057734881624</v>
      </c>
      <c r="BA317" s="829">
        <f t="shared" si="673"/>
        <v>6.0674966432613019E-2</v>
      </c>
      <c r="BB317" s="829">
        <f t="shared" si="673"/>
        <v>6.3529671358690365E-2</v>
      </c>
    </row>
    <row r="318" spans="1:54" s="684" customFormat="1" ht="15" customHeight="1">
      <c r="A318" s="535">
        <v>2016</v>
      </c>
      <c r="B318" s="449"/>
      <c r="C318" s="51"/>
      <c r="D318" s="51"/>
      <c r="E318" s="51"/>
      <c r="F318" s="51"/>
      <c r="G318" s="51"/>
      <c r="H318" s="51"/>
      <c r="I318" s="536" t="s">
        <v>1031</v>
      </c>
      <c r="J318" s="677" t="s">
        <v>1070</v>
      </c>
      <c r="K318" s="543">
        <f t="shared" ref="K318:O318" si="674">LN(K135)</f>
        <v>10.935293616511684</v>
      </c>
      <c r="L318" s="543">
        <f t="shared" si="674"/>
        <v>10.222556116351752</v>
      </c>
      <c r="M318" s="543">
        <f t="shared" si="674"/>
        <v>10.402512847437007</v>
      </c>
      <c r="N318" s="543">
        <f t="shared" si="674"/>
        <v>10.285371741616919</v>
      </c>
      <c r="O318" s="543">
        <f t="shared" si="674"/>
        <v>10.159621336112597</v>
      </c>
      <c r="P318" s="149">
        <f t="shared" si="601"/>
        <v>-1.9483466302537691E-2</v>
      </c>
      <c r="Q318" s="149">
        <f t="shared" si="602"/>
        <v>-0.29959832538771203</v>
      </c>
      <c r="R318" s="149">
        <f t="shared" si="603"/>
        <v>-4.2947130120322523E-2</v>
      </c>
      <c r="S318" s="149">
        <f t="shared" si="604"/>
        <v>-3.0473435290675942E-2</v>
      </c>
      <c r="T318" s="149">
        <f t="shared" si="605"/>
        <v>-0.48983634300659623</v>
      </c>
      <c r="U318" s="51">
        <f t="shared" si="606"/>
        <v>0.66556691630999765</v>
      </c>
      <c r="V318" s="51">
        <f t="shared" si="607"/>
        <v>0.47928094011830014</v>
      </c>
      <c r="W318" s="51">
        <f t="shared" si="608"/>
        <v>0.27410945066698356</v>
      </c>
      <c r="X318" s="51">
        <f t="shared" si="609"/>
        <v>0.41569879726687886</v>
      </c>
      <c r="Y318" s="51">
        <f t="shared" si="610"/>
        <v>0.84653993897921276</v>
      </c>
      <c r="Z318" s="51">
        <f t="shared" si="611"/>
        <v>1.4804579360485168</v>
      </c>
      <c r="AA318" s="51">
        <f t="shared" si="612"/>
        <v>0.9251261744245165</v>
      </c>
      <c r="AB318" s="51">
        <f t="shared" si="613"/>
        <v>1.0105098190677084</v>
      </c>
      <c r="AC318" s="51">
        <f t="shared" si="614"/>
        <v>0.81952343531480176</v>
      </c>
      <c r="AD318" s="62">
        <f t="shared" si="615"/>
        <v>0.39514569377899539</v>
      </c>
      <c r="AF318" s="701">
        <f t="shared" si="596"/>
        <v>0.15015822490814296</v>
      </c>
      <c r="AI318" s="701">
        <f t="shared" si="597"/>
        <v>1.201497761867482</v>
      </c>
      <c r="AJ318" s="209"/>
      <c r="AK318" s="678">
        <f t="shared" si="616"/>
        <v>0.24289151132441211</v>
      </c>
      <c r="AL318" s="51">
        <f t="shared" si="617"/>
        <v>-0.5724304883122292</v>
      </c>
      <c r="AM318" s="827">
        <f t="shared" ref="AM318:AV318" si="675">AM135</f>
        <v>12678.230004999999</v>
      </c>
      <c r="AN318" s="827">
        <f t="shared" si="675"/>
        <v>15488.491188</v>
      </c>
      <c r="AO318" s="827">
        <f t="shared" si="675"/>
        <v>23663.923558000002</v>
      </c>
      <c r="AP318" s="827">
        <f t="shared" si="675"/>
        <v>20890.944228</v>
      </c>
      <c r="AQ318" s="827">
        <f t="shared" si="675"/>
        <v>10034.727828000001</v>
      </c>
      <c r="AR318" s="827">
        <f t="shared" si="675"/>
        <v>4253.0996059999998</v>
      </c>
      <c r="AS318" s="827">
        <f t="shared" si="675"/>
        <v>4236.5962140000001</v>
      </c>
      <c r="AT318" s="827">
        <f t="shared" si="675"/>
        <v>2398.9227900000001</v>
      </c>
      <c r="AU318" s="827">
        <f t="shared" si="675"/>
        <v>440.257994</v>
      </c>
      <c r="AV318" s="827">
        <f t="shared" si="675"/>
        <v>470.69231400000001</v>
      </c>
      <c r="AW318" s="829">
        <f t="shared" ref="AW318:BB318" si="676">AW135</f>
        <v>-26.889416732647135</v>
      </c>
      <c r="AX318" s="829">
        <f t="shared" si="676"/>
        <v>-2.028123309897242</v>
      </c>
      <c r="AY318" s="829">
        <f t="shared" si="676"/>
        <v>-0.58975523593237444</v>
      </c>
      <c r="AZ318" s="829">
        <f t="shared" si="676"/>
        <v>-22.956521921637233</v>
      </c>
      <c r="BA318" s="829">
        <f t="shared" si="676"/>
        <v>-0.86805922452236017</v>
      </c>
      <c r="BB318" s="829">
        <f t="shared" si="676"/>
        <v>-0.20505521891971554</v>
      </c>
    </row>
    <row r="319" spans="1:54" s="684" customFormat="1" ht="15" customHeight="1">
      <c r="A319" s="535">
        <v>2016</v>
      </c>
      <c r="B319" s="449"/>
      <c r="C319" s="51"/>
      <c r="D319" s="51"/>
      <c r="E319" s="51"/>
      <c r="F319" s="51"/>
      <c r="G319" s="51"/>
      <c r="H319" s="51"/>
      <c r="I319" s="536" t="s">
        <v>1031</v>
      </c>
      <c r="J319" s="677" t="s">
        <v>1071</v>
      </c>
      <c r="K319" s="543">
        <f t="shared" ref="K319:O319" si="677">LN(K136)</f>
        <v>14.822750622592258</v>
      </c>
      <c r="L319" s="543">
        <f t="shared" si="677"/>
        <v>14.38540840446913</v>
      </c>
      <c r="M319" s="543">
        <f t="shared" si="677"/>
        <v>14.377549886750666</v>
      </c>
      <c r="N319" s="543">
        <f t="shared" si="677"/>
        <v>14.450178044236401</v>
      </c>
      <c r="O319" s="543">
        <f t="shared" si="677"/>
        <v>14.564951693938738</v>
      </c>
      <c r="P319" s="149">
        <f t="shared" si="601"/>
        <v>2.9774511025289649E-2</v>
      </c>
      <c r="Q319" s="149">
        <f t="shared" si="602"/>
        <v>4.8953480286489118E-2</v>
      </c>
      <c r="R319" s="149">
        <f t="shared" si="603"/>
        <v>3.857832988267771E-2</v>
      </c>
      <c r="S319" s="149">
        <f t="shared" si="604"/>
        <v>4.1085515935626378E-2</v>
      </c>
      <c r="T319" s="149">
        <f t="shared" si="605"/>
        <v>4.4328323156411463E-2</v>
      </c>
      <c r="U319" s="51">
        <f t="shared" si="606"/>
        <v>0.67505453807518656</v>
      </c>
      <c r="V319" s="51">
        <f t="shared" si="607"/>
        <v>0.54349555282377615</v>
      </c>
      <c r="W319" s="51">
        <f t="shared" si="608"/>
        <v>0.64664395720385737</v>
      </c>
      <c r="X319" s="51">
        <f t="shared" si="609"/>
        <v>0.68272315531232297</v>
      </c>
      <c r="Y319" s="51">
        <f t="shared" si="610"/>
        <v>0.679602510460251</v>
      </c>
      <c r="Z319" s="51">
        <f t="shared" si="611"/>
        <v>0.61085180863477251</v>
      </c>
      <c r="AA319" s="51">
        <f t="shared" si="612"/>
        <v>0.51995805915105942</v>
      </c>
      <c r="AB319" s="51">
        <f t="shared" si="613"/>
        <v>0.69519742839322551</v>
      </c>
      <c r="AC319" s="51">
        <f t="shared" si="614"/>
        <v>0.74754670692583503</v>
      </c>
      <c r="AD319" s="62">
        <f t="shared" si="615"/>
        <v>0.89079497907949778</v>
      </c>
      <c r="AF319" s="701">
        <f t="shared" si="596"/>
        <v>-1.2667891972601705E-2</v>
      </c>
      <c r="AI319" s="701">
        <f t="shared" si="597"/>
        <v>-4.7325544585743437E-2</v>
      </c>
      <c r="AJ319" s="209"/>
      <c r="AK319" s="678">
        <f t="shared" si="616"/>
        <v>-0.18740180718807206</v>
      </c>
      <c r="AL319" s="51">
        <f t="shared" si="617"/>
        <v>-3.295855325639363E-2</v>
      </c>
      <c r="AM319" s="827">
        <f t="shared" ref="AM319:AV319" si="678">AM136</f>
        <v>1456509.81</v>
      </c>
      <c r="AN319" s="827">
        <f t="shared" si="678"/>
        <v>1552316.196</v>
      </c>
      <c r="AO319" s="827">
        <f t="shared" si="678"/>
        <v>891651.09000000008</v>
      </c>
      <c r="AP319" s="827">
        <f t="shared" si="678"/>
        <v>800631.42500000005</v>
      </c>
      <c r="AQ319" s="827">
        <f t="shared" si="678"/>
        <v>761132.70200000005</v>
      </c>
      <c r="AR319" s="827">
        <f t="shared" si="678"/>
        <v>886981.50099999993</v>
      </c>
      <c r="AS319" s="827">
        <f t="shared" si="678"/>
        <v>736446.54</v>
      </c>
      <c r="AT319" s="827">
        <f t="shared" si="678"/>
        <v>656177.72000000009</v>
      </c>
      <c r="AU319" s="827">
        <f t="shared" si="678"/>
        <v>672649.45000000007</v>
      </c>
      <c r="AV319" s="827">
        <f t="shared" si="678"/>
        <v>313670.65000000002</v>
      </c>
      <c r="AW319" s="829">
        <f t="shared" ref="AW319:BB319" si="679">AW136</f>
        <v>0.299009900990099</v>
      </c>
      <c r="AX319" s="829">
        <f t="shared" si="679"/>
        <v>0.11522123893805308</v>
      </c>
      <c r="AY319" s="829">
        <f t="shared" si="679"/>
        <v>0.10313653136531364</v>
      </c>
      <c r="AZ319" s="829">
        <f t="shared" si="679"/>
        <v>0.24268263445768248</v>
      </c>
      <c r="BA319" s="829">
        <f t="shared" si="679"/>
        <v>0.10937754994680912</v>
      </c>
      <c r="BB319" s="829">
        <f t="shared" si="679"/>
        <v>9.3512170500489239E-2</v>
      </c>
    </row>
    <row r="320" spans="1:54" s="684" customFormat="1" ht="15" customHeight="1">
      <c r="A320" s="535">
        <v>2016</v>
      </c>
      <c r="B320" s="449"/>
      <c r="C320" s="51"/>
      <c r="D320" s="51"/>
      <c r="E320" s="51"/>
      <c r="F320" s="51"/>
      <c r="G320" s="51"/>
      <c r="H320" s="51"/>
      <c r="I320" s="536" t="s">
        <v>1031</v>
      </c>
      <c r="J320" s="677" t="s">
        <v>657</v>
      </c>
      <c r="K320" s="543">
        <f t="shared" ref="K320:O320" si="680">LN(K137)</f>
        <v>10.319374115286696</v>
      </c>
      <c r="L320" s="543">
        <f t="shared" si="680"/>
        <v>10.206780880007225</v>
      </c>
      <c r="M320" s="543">
        <f t="shared" si="680"/>
        <v>10.148374063483615</v>
      </c>
      <c r="N320" s="543">
        <f t="shared" si="680"/>
        <v>12.814428553982866</v>
      </c>
      <c r="O320" s="543">
        <f t="shared" si="680"/>
        <v>12.845406814928216</v>
      </c>
      <c r="P320" s="149">
        <f t="shared" si="601"/>
        <v>0.183696280015303</v>
      </c>
      <c r="Q320" s="149">
        <f t="shared" si="602"/>
        <v>5.3628977350097591E-2</v>
      </c>
      <c r="R320" s="149">
        <f t="shared" si="603"/>
        <v>3.8846084591400598E-2</v>
      </c>
      <c r="S320" s="149">
        <f t="shared" si="604"/>
        <v>-4.1167509960456226E-2</v>
      </c>
      <c r="T320" s="149">
        <f t="shared" si="605"/>
        <v>-1.3162832327677607E-2</v>
      </c>
      <c r="U320" s="51">
        <f t="shared" si="606"/>
        <v>0.43865147906095797</v>
      </c>
      <c r="V320" s="51">
        <f t="shared" si="607"/>
        <v>0.78715954032122881</v>
      </c>
      <c r="W320" s="51">
        <f t="shared" si="608"/>
        <v>0.73911727077242995</v>
      </c>
      <c r="X320" s="51">
        <f t="shared" si="609"/>
        <v>0.71661552253215188</v>
      </c>
      <c r="Y320" s="51">
        <f t="shared" si="610"/>
        <v>0.71754580973808324</v>
      </c>
      <c r="Z320" s="51">
        <f t="shared" si="611"/>
        <v>0.64083587915614093</v>
      </c>
      <c r="AA320" s="51">
        <f t="shared" si="612"/>
        <v>9.118659290945702E-2</v>
      </c>
      <c r="AB320" s="51">
        <f t="shared" si="613"/>
        <v>9.0633257790587257E-2</v>
      </c>
      <c r="AC320" s="51">
        <f t="shared" si="614"/>
        <v>1.4190283763748579</v>
      </c>
      <c r="AD320" s="62">
        <f t="shared" si="615"/>
        <v>1.0085076762442478</v>
      </c>
      <c r="AF320" s="701">
        <f t="shared" si="596"/>
        <v>1.6795564642506176E-2</v>
      </c>
      <c r="AI320" s="701">
        <f t="shared" si="597"/>
        <v>6.0493641948823756E-2</v>
      </c>
      <c r="AJ320" s="209"/>
      <c r="AK320" s="678">
        <f t="shared" si="616"/>
        <v>-2.6970327514446009</v>
      </c>
      <c r="AL320" s="51">
        <f t="shared" si="617"/>
        <v>2.1571461034346706E-2</v>
      </c>
      <c r="AM320" s="827">
        <f t="shared" ref="AM320:AV320" si="681">AM137</f>
        <v>26554.300045</v>
      </c>
      <c r="AN320" s="827">
        <f t="shared" si="681"/>
        <v>63222.644525999996</v>
      </c>
      <c r="AO320" s="827">
        <f t="shared" si="681"/>
        <v>73542.873426000006</v>
      </c>
      <c r="AP320" s="827">
        <f t="shared" si="681"/>
        <v>73387.48363100001</v>
      </c>
      <c r="AQ320" s="827">
        <f t="shared" si="681"/>
        <v>106159.31591600001</v>
      </c>
      <c r="AR320" s="827">
        <f t="shared" si="681"/>
        <v>76.748175000000003</v>
      </c>
      <c r="AS320" s="827">
        <f t="shared" si="681"/>
        <v>0</v>
      </c>
      <c r="AT320" s="827">
        <f t="shared" si="681"/>
        <v>0</v>
      </c>
      <c r="AU320" s="827">
        <f t="shared" si="681"/>
        <v>37870.759300000005</v>
      </c>
      <c r="AV320" s="827">
        <f t="shared" si="681"/>
        <v>6407.7013059999999</v>
      </c>
      <c r="AW320" s="829">
        <f t="shared" ref="AW320:BB320" si="682">AW137</f>
        <v>-0.77863942149241006</v>
      </c>
      <c r="AX320" s="829">
        <f t="shared" si="682"/>
        <v>-0.39947186419364977</v>
      </c>
      <c r="AY320" s="829" t="e">
        <f t="shared" si="682"/>
        <v>#DIV/0!</v>
      </c>
      <c r="AZ320" s="829">
        <f t="shared" si="682"/>
        <v>-0.57198427163234289</v>
      </c>
      <c r="BA320" s="829">
        <f t="shared" si="682"/>
        <v>-0.34468528659540415</v>
      </c>
      <c r="BB320" s="829" t="e">
        <f t="shared" si="682"/>
        <v>#DIV/0!</v>
      </c>
    </row>
    <row r="321" spans="1:54" s="684" customFormat="1" ht="15" customHeight="1">
      <c r="A321" s="535">
        <v>2016</v>
      </c>
      <c r="B321" s="449"/>
      <c r="C321" s="51"/>
      <c r="D321" s="51"/>
      <c r="E321" s="51"/>
      <c r="F321" s="51"/>
      <c r="G321" s="51"/>
      <c r="H321" s="51"/>
      <c r="I321" s="536" t="s">
        <v>1031</v>
      </c>
      <c r="J321" s="677" t="s">
        <v>1079</v>
      </c>
      <c r="K321" s="543">
        <f t="shared" ref="K321:O321" si="683">LN(K138)</f>
        <v>11.765365573338835</v>
      </c>
      <c r="L321" s="543">
        <f t="shared" si="683"/>
        <v>11.781643041602097</v>
      </c>
      <c r="M321" s="543">
        <f t="shared" si="683"/>
        <v>11.467701485686803</v>
      </c>
      <c r="N321" s="543">
        <f t="shared" si="683"/>
        <v>11.131323221316398</v>
      </c>
      <c r="O321" s="543">
        <f t="shared" si="683"/>
        <v>8.854748935117307</v>
      </c>
      <c r="P321" s="149">
        <f t="shared" si="601"/>
        <v>-5.6826543492874484E-2</v>
      </c>
      <c r="Q321" s="149">
        <f t="shared" si="602"/>
        <v>2.0044844819258088E-2</v>
      </c>
      <c r="R321" s="149">
        <f t="shared" si="603"/>
        <v>-6.038965233769869E-2</v>
      </c>
      <c r="S321" s="149">
        <f t="shared" si="604"/>
        <v>-7.7942730401849694E-2</v>
      </c>
      <c r="T321" s="149">
        <f t="shared" si="605"/>
        <v>-0.9918631448324764</v>
      </c>
      <c r="U321" s="51">
        <f t="shared" si="606"/>
        <v>0.44202762879180024</v>
      </c>
      <c r="V321" s="51">
        <f t="shared" si="607"/>
        <v>0.34795939864509851</v>
      </c>
      <c r="W321" s="51">
        <f t="shared" si="608"/>
        <v>0.41198625170971825</v>
      </c>
      <c r="X321" s="51">
        <f t="shared" si="609"/>
        <v>0.48802047170683444</v>
      </c>
      <c r="Y321" s="51">
        <f t="shared" si="610"/>
        <v>0.32176278563656147</v>
      </c>
      <c r="Z321" s="51">
        <f t="shared" si="611"/>
        <v>1.385305271350272</v>
      </c>
      <c r="AA321" s="51">
        <f t="shared" si="612"/>
        <v>1.3504773121273577</v>
      </c>
      <c r="AB321" s="51">
        <f t="shared" si="613"/>
        <v>1.0313477740023542</v>
      </c>
      <c r="AC321" s="51">
        <f t="shared" si="614"/>
        <v>1.1280248776083823</v>
      </c>
      <c r="AD321" s="62">
        <f t="shared" si="615"/>
        <v>1.5345484221980412</v>
      </c>
      <c r="AF321" s="701">
        <f t="shared" si="596"/>
        <v>1.4597792904278024</v>
      </c>
      <c r="AI321" s="701">
        <f t="shared" si="597"/>
        <v>2.1382232969538157</v>
      </c>
      <c r="AJ321" s="209"/>
      <c r="AK321" s="678">
        <f t="shared" si="616"/>
        <v>2.6129525505694948</v>
      </c>
      <c r="AL321" s="51">
        <f t="shared" si="617"/>
        <v>9.0223466073156788E-2</v>
      </c>
      <c r="AM321" s="827">
        <f t="shared" ref="AM321:AV321" si="684">AM138</f>
        <v>51844.131268999998</v>
      </c>
      <c r="AN321" s="827">
        <f t="shared" si="684"/>
        <v>63167.072934000003</v>
      </c>
      <c r="AO321" s="827">
        <f t="shared" si="684"/>
        <v>54493.017260000001</v>
      </c>
      <c r="AP321" s="827">
        <f t="shared" si="684"/>
        <v>30988.900635000002</v>
      </c>
      <c r="AQ321" s="827">
        <f t="shared" si="684"/>
        <v>3097.202632</v>
      </c>
      <c r="AR321" s="827">
        <f t="shared" si="684"/>
        <v>393.40546000000001</v>
      </c>
      <c r="AS321" s="827">
        <f t="shared" si="684"/>
        <v>416.41810199999998</v>
      </c>
      <c r="AT321" s="827">
        <f t="shared" si="684"/>
        <v>468.52542000000005</v>
      </c>
      <c r="AU321" s="827">
        <f t="shared" si="684"/>
        <v>519.42823900000008</v>
      </c>
      <c r="AV321" s="827">
        <f t="shared" si="684"/>
        <v>975.422552</v>
      </c>
      <c r="AW321" s="829">
        <f t="shared" ref="AW321:BB321" si="685">AW138</f>
        <v>-7.1257004584819157</v>
      </c>
      <c r="AX321" s="829">
        <f t="shared" si="685"/>
        <v>-10.245244098097638</v>
      </c>
      <c r="AY321" s="829">
        <f t="shared" si="685"/>
        <v>-12.31937984496124</v>
      </c>
      <c r="AZ321" s="829">
        <f t="shared" si="685"/>
        <v>-3.8148472530719295</v>
      </c>
      <c r="BA321" s="829">
        <f t="shared" si="685"/>
        <v>-5.0878101964272808</v>
      </c>
      <c r="BB321" s="829">
        <f t="shared" si="685"/>
        <v>-5.1377045709937956</v>
      </c>
    </row>
    <row r="322" spans="1:54" ht="15" customHeight="1">
      <c r="A322" s="535">
        <v>2016</v>
      </c>
      <c r="B322" s="449"/>
      <c r="C322" s="51"/>
      <c r="D322" s="51"/>
      <c r="E322" s="51"/>
      <c r="F322" s="51"/>
      <c r="G322" s="51"/>
      <c r="H322" s="51"/>
      <c r="I322" s="536" t="s">
        <v>1031</v>
      </c>
      <c r="J322" s="677" t="s">
        <v>736</v>
      </c>
      <c r="K322" s="543">
        <f t="shared" ref="K322:O322" si="686">LN(K139)</f>
        <v>10.631072157378046</v>
      </c>
      <c r="L322" s="543">
        <f t="shared" si="686"/>
        <v>10.526658860800671</v>
      </c>
      <c r="M322" s="543">
        <f t="shared" si="686"/>
        <v>11.272789618339504</v>
      </c>
      <c r="N322" s="543">
        <f t="shared" si="686"/>
        <v>11.356450512472746</v>
      </c>
      <c r="O322" s="543">
        <f t="shared" si="686"/>
        <v>11.888554952277726</v>
      </c>
      <c r="P322" s="149">
        <f t="shared" si="601"/>
        <v>2.5452727901880121E-2</v>
      </c>
      <c r="Q322" s="149">
        <f t="shared" si="602"/>
        <v>-0.47592942991449044</v>
      </c>
      <c r="R322" s="149">
        <f t="shared" si="603"/>
        <v>-5.208700510880257E-2</v>
      </c>
      <c r="S322" s="149">
        <f t="shared" si="604"/>
        <v>3.9629901878891156E-2</v>
      </c>
      <c r="T322" s="149">
        <f t="shared" si="605"/>
        <v>-6.17107927333417E-2</v>
      </c>
      <c r="U322" s="51">
        <f t="shared" si="606"/>
        <v>0.90014441648651522</v>
      </c>
      <c r="V322" s="51">
        <f t="shared" si="607"/>
        <v>0.95548009809469914</v>
      </c>
      <c r="W322" s="51">
        <f t="shared" si="608"/>
        <v>0.70084918715308697</v>
      </c>
      <c r="X322" s="51">
        <f t="shared" si="609"/>
        <v>0.69052072097150208</v>
      </c>
      <c r="Y322" s="51">
        <f t="shared" si="610"/>
        <v>0.7980105555574023</v>
      </c>
      <c r="Z322" s="51">
        <f t="shared" si="611"/>
        <v>1.6130612751178368</v>
      </c>
      <c r="AA322" s="51">
        <f t="shared" si="612"/>
        <v>1.0597511301152125</v>
      </c>
      <c r="AB322" s="51">
        <f t="shared" si="613"/>
        <v>1.1058037150448594</v>
      </c>
      <c r="AC322" s="51">
        <f t="shared" si="614"/>
        <v>1.041407147082362</v>
      </c>
      <c r="AD322" s="62">
        <f t="shared" si="615"/>
        <v>1.2986493629101692</v>
      </c>
      <c r="AF322" s="701">
        <f t="shared" si="596"/>
        <v>2.2542677912961245E-2</v>
      </c>
      <c r="AI322" s="701">
        <f t="shared" si="597"/>
        <v>0.20421843098677495</v>
      </c>
      <c r="AJ322" s="209"/>
      <c r="AK322" s="678">
        <f t="shared" si="616"/>
        <v>-0.6157653339382233</v>
      </c>
      <c r="AL322" s="51">
        <f t="shared" si="617"/>
        <v>-9.7161368404315329E-2</v>
      </c>
      <c r="AM322" s="827">
        <f t="shared" ref="AM322:AV322" si="687">AM139</f>
        <v>2562.9342409999999</v>
      </c>
      <c r="AN322" s="827">
        <f t="shared" si="687"/>
        <v>1566.8238240000001</v>
      </c>
      <c r="AO322" s="827">
        <f t="shared" si="687"/>
        <v>21277.591632</v>
      </c>
      <c r="AP322" s="827">
        <f t="shared" si="687"/>
        <v>25412.934327000003</v>
      </c>
      <c r="AQ322" s="827">
        <f t="shared" si="687"/>
        <v>22644.909088</v>
      </c>
      <c r="AR322" s="827">
        <f t="shared" si="687"/>
        <v>1284.9350010000001</v>
      </c>
      <c r="AS322" s="827">
        <f t="shared" si="687"/>
        <v>463.26052800000002</v>
      </c>
      <c r="AT322" s="827">
        <f t="shared" si="687"/>
        <v>14638.937522</v>
      </c>
      <c r="AU322" s="827">
        <f t="shared" si="687"/>
        <v>22606.140799000001</v>
      </c>
      <c r="AV322" s="827">
        <f t="shared" si="687"/>
        <v>35546.151866</v>
      </c>
      <c r="AW322" s="829">
        <f t="shared" ref="AW322:BB322" si="688">AW139</f>
        <v>-0.25275650815507039</v>
      </c>
      <c r="AX322" s="829">
        <f t="shared" si="688"/>
        <v>0.14991336770537647</v>
      </c>
      <c r="AY322" s="829">
        <f t="shared" si="688"/>
        <v>-0.27985312238973847</v>
      </c>
      <c r="AZ322" s="829">
        <f t="shared" si="688"/>
        <v>-0.28184304316141251</v>
      </c>
      <c r="BA322" s="829">
        <f t="shared" si="688"/>
        <v>0.14478914980603241</v>
      </c>
      <c r="BB322" s="829">
        <f t="shared" si="688"/>
        <v>-0.25373283710397598</v>
      </c>
    </row>
    <row r="323" spans="1:54" ht="15" customHeight="1">
      <c r="A323" s="535">
        <v>2016</v>
      </c>
      <c r="B323" s="449"/>
      <c r="C323" s="51"/>
      <c r="D323" s="51"/>
      <c r="E323" s="51"/>
      <c r="F323" s="51"/>
      <c r="G323" s="51"/>
      <c r="H323" s="51"/>
      <c r="I323" s="536" t="s">
        <v>1031</v>
      </c>
      <c r="J323" s="677" t="s">
        <v>730</v>
      </c>
      <c r="K323" s="543">
        <f t="shared" ref="K323:O323" si="689">LN(K140)</f>
        <v>15.425380735758241</v>
      </c>
      <c r="L323" s="543">
        <f t="shared" si="689"/>
        <v>15.429089046768516</v>
      </c>
      <c r="M323" s="543">
        <f t="shared" si="689"/>
        <v>15.381934914911746</v>
      </c>
      <c r="N323" s="543">
        <f t="shared" si="689"/>
        <v>15.318521424866368</v>
      </c>
      <c r="O323" s="543">
        <f t="shared" si="689"/>
        <v>15.232347399491587</v>
      </c>
      <c r="P323" s="149">
        <f t="shared" si="601"/>
        <v>8.8602991316997767E-2</v>
      </c>
      <c r="Q323" s="149">
        <f t="shared" si="602"/>
        <v>8.2131400445674269E-2</v>
      </c>
      <c r="R323" s="149">
        <f t="shared" si="603"/>
        <v>0.21882662217840801</v>
      </c>
      <c r="S323" s="149">
        <f t="shared" si="604"/>
        <v>0.11586948461253242</v>
      </c>
      <c r="T323" s="149">
        <f t="shared" si="605"/>
        <v>0.10093981565154526</v>
      </c>
      <c r="U323" s="51">
        <f t="shared" si="606"/>
        <v>0.39191472314632575</v>
      </c>
      <c r="V323" s="51">
        <f t="shared" si="607"/>
        <v>0.35096840541621432</v>
      </c>
      <c r="W323" s="51">
        <f t="shared" si="608"/>
        <v>0.34770071899340921</v>
      </c>
      <c r="X323" s="51">
        <f t="shared" si="609"/>
        <v>0.39076325444212651</v>
      </c>
      <c r="Y323" s="51">
        <f t="shared" si="610"/>
        <v>0.37781629116117854</v>
      </c>
      <c r="Z323" s="51">
        <f t="shared" si="611"/>
        <v>0.76627244700677555</v>
      </c>
      <c r="AA323" s="51">
        <f t="shared" si="612"/>
        <v>0.77771429659677382</v>
      </c>
      <c r="AB323" s="51">
        <f t="shared" si="613"/>
        <v>0.74073172558418221</v>
      </c>
      <c r="AC323" s="51">
        <f t="shared" si="614"/>
        <v>0.67905186677217477</v>
      </c>
      <c r="AD323" s="62">
        <f t="shared" si="615"/>
        <v>0.61208009144879982</v>
      </c>
      <c r="AF323" s="701">
        <f t="shared" si="596"/>
        <v>0.10030856985514724</v>
      </c>
      <c r="AI323" s="701">
        <f t="shared" si="597"/>
        <v>0.14919236700216792</v>
      </c>
      <c r="AJ323" s="209"/>
      <c r="AK323" s="678">
        <f t="shared" si="616"/>
        <v>0.14958751542015919</v>
      </c>
      <c r="AL323" s="51">
        <f t="shared" si="617"/>
        <v>-3.0115572167769333E-2</v>
      </c>
      <c r="AM323" s="827">
        <f t="shared" ref="AM323:AV323" si="690">AM140</f>
        <v>3969529.3119999999</v>
      </c>
      <c r="AN323" s="827">
        <f t="shared" si="690"/>
        <v>4189999.68</v>
      </c>
      <c r="AO323" s="827">
        <f t="shared" si="690"/>
        <v>4217697.3080000002</v>
      </c>
      <c r="AP323" s="827">
        <f t="shared" si="690"/>
        <v>4033039.4280000003</v>
      </c>
      <c r="AQ323" s="827">
        <f t="shared" si="690"/>
        <v>4192130.5959999999</v>
      </c>
      <c r="AR323" s="827">
        <f t="shared" si="690"/>
        <v>1430699.683</v>
      </c>
      <c r="AS323" s="827">
        <f t="shared" si="690"/>
        <v>1155815.3459999999</v>
      </c>
      <c r="AT323" s="827">
        <f t="shared" si="690"/>
        <v>1156664.564</v>
      </c>
      <c r="AU323" s="827">
        <f t="shared" si="690"/>
        <v>1347441.8540000001</v>
      </c>
      <c r="AV323" s="827">
        <f t="shared" si="690"/>
        <v>1604130.338</v>
      </c>
      <c r="AW323" s="829">
        <f t="shared" ref="AW323:BB323" si="691">AW140</f>
        <v>0.25950592426237123</v>
      </c>
      <c r="AX323" s="829">
        <f t="shared" si="691"/>
        <v>0.38655239441597455</v>
      </c>
      <c r="AY323" s="829">
        <f t="shared" si="691"/>
        <v>0.90611262298513717</v>
      </c>
      <c r="AZ323" s="829">
        <f t="shared" si="691"/>
        <v>0.15982881743398561</v>
      </c>
      <c r="BA323" s="829">
        <f t="shared" si="691"/>
        <v>0.22973186148245262</v>
      </c>
      <c r="BB323" s="829">
        <f t="shared" si="691"/>
        <v>0.47714783195090615</v>
      </c>
    </row>
    <row r="324" spans="1:54" ht="15" customHeight="1">
      <c r="A324" s="682">
        <v>2008</v>
      </c>
      <c r="B324" s="449"/>
      <c r="C324" s="51"/>
      <c r="D324" s="51"/>
      <c r="E324" s="51"/>
      <c r="F324" s="51"/>
      <c r="G324" s="51"/>
      <c r="H324" s="51"/>
      <c r="I324" s="536" t="s">
        <v>291</v>
      </c>
      <c r="J324" s="677" t="s">
        <v>762</v>
      </c>
      <c r="K324" s="543">
        <f t="shared" ref="K324:O324" si="692">LN(K141)</f>
        <v>5.4293456289544411</v>
      </c>
      <c r="L324" s="543">
        <f t="shared" si="692"/>
        <v>10.562043288326453</v>
      </c>
      <c r="M324" s="543">
        <f t="shared" si="692"/>
        <v>10.596910728255905</v>
      </c>
      <c r="N324" s="543">
        <f t="shared" si="692"/>
        <v>10.647237931534679</v>
      </c>
      <c r="O324" s="543">
        <f t="shared" si="692"/>
        <v>10.491233732174285</v>
      </c>
      <c r="P324" s="149">
        <f t="shared" si="601"/>
        <v>-53.175438596491226</v>
      </c>
      <c r="Q324" s="149">
        <f t="shared" si="602"/>
        <v>-8.0486542443064177E-2</v>
      </c>
      <c r="R324" s="149">
        <f t="shared" si="603"/>
        <v>-8.1576015557303663E-2</v>
      </c>
      <c r="S324" s="149">
        <f t="shared" si="604"/>
        <v>-0.24600166641741622</v>
      </c>
      <c r="T324" s="149">
        <f t="shared" si="605"/>
        <v>-0.65843236049054099</v>
      </c>
      <c r="U324" s="51">
        <f t="shared" si="606"/>
        <v>4.4931496663134611E-2</v>
      </c>
      <c r="V324" s="51">
        <f t="shared" si="607"/>
        <v>0.45702563488260661</v>
      </c>
      <c r="W324" s="51">
        <f t="shared" si="608"/>
        <v>0.37482431075758743</v>
      </c>
      <c r="X324" s="51">
        <f t="shared" si="609"/>
        <v>0.40881734908297124</v>
      </c>
      <c r="Y324" s="51">
        <f t="shared" si="610"/>
        <v>0.45724863424985329</v>
      </c>
      <c r="Z324" s="51">
        <f t="shared" si="611"/>
        <v>4.2384696893647874E-3</v>
      </c>
      <c r="AA324" s="51">
        <f t="shared" si="612"/>
        <v>1.1571633924293243</v>
      </c>
      <c r="AB324" s="51">
        <f t="shared" si="613"/>
        <v>1.2893093417767136</v>
      </c>
      <c r="AC324" s="51">
        <f t="shared" si="614"/>
        <v>0.9549136014035946</v>
      </c>
      <c r="AD324" s="62">
        <f t="shared" si="615"/>
        <v>0.94983972188360644</v>
      </c>
      <c r="AF324" s="701">
        <f t="shared" si="596"/>
        <v>0.52022849124454784</v>
      </c>
      <c r="AI324" s="701">
        <f t="shared" si="597"/>
        <v>0.98405129646617062</v>
      </c>
      <c r="AJ324" s="209"/>
      <c r="AK324" s="678">
        <f t="shared" si="616"/>
        <v>0.1056769960816199</v>
      </c>
      <c r="AL324" s="51">
        <f t="shared" si="617"/>
        <v>-8.2424323492265861E-2</v>
      </c>
      <c r="AM324" s="827">
        <f t="shared" ref="AM324:AV324" si="693">AM141</f>
        <v>51376</v>
      </c>
      <c r="AN324" s="827">
        <f t="shared" si="693"/>
        <v>18131</v>
      </c>
      <c r="AO324" s="827">
        <f t="shared" si="693"/>
        <v>19401.030869999999</v>
      </c>
      <c r="AP324" s="827">
        <f t="shared" si="693"/>
        <v>26049.19354</v>
      </c>
      <c r="AQ324" s="827">
        <f t="shared" si="693"/>
        <v>20570.057967999997</v>
      </c>
      <c r="AR324" s="827">
        <f t="shared" si="693"/>
        <v>0</v>
      </c>
      <c r="AS324" s="827">
        <f t="shared" si="693"/>
        <v>6428</v>
      </c>
      <c r="AT324" s="827">
        <f t="shared" si="693"/>
        <v>4541.6220199999998</v>
      </c>
      <c r="AU324" s="827">
        <f t="shared" si="693"/>
        <v>1792.6462060000001</v>
      </c>
      <c r="AV324" s="827">
        <f t="shared" si="693"/>
        <v>6214.2745039999991</v>
      </c>
      <c r="AW324" s="829">
        <f t="shared" ref="AW324:BB324" si="694">AW141</f>
        <v>-3.814219236170389</v>
      </c>
      <c r="AX324" s="829">
        <f t="shared" si="694"/>
        <v>-5.7740447297161763</v>
      </c>
      <c r="AY324" s="829">
        <f t="shared" si="694"/>
        <v>-0.71867304580313807</v>
      </c>
      <c r="AZ324" s="829">
        <f t="shared" si="694"/>
        <v>-2.3694517466359311</v>
      </c>
      <c r="BA324" s="829">
        <f t="shared" si="694"/>
        <v>-2.595439997119009</v>
      </c>
      <c r="BB324" s="829">
        <f t="shared" si="694"/>
        <v>-0.3745528479761715</v>
      </c>
    </row>
    <row r="325" spans="1:54" s="684" customFormat="1" ht="15" customHeight="1">
      <c r="A325" s="535">
        <v>2008</v>
      </c>
      <c r="B325" s="449"/>
      <c r="C325" s="51"/>
      <c r="D325" s="51"/>
      <c r="E325" s="51"/>
      <c r="F325" s="51"/>
      <c r="G325" s="51"/>
      <c r="H325" s="51"/>
      <c r="I325" s="536" t="s">
        <v>313</v>
      </c>
      <c r="J325" s="677" t="s">
        <v>1069</v>
      </c>
      <c r="K325" s="543">
        <f t="shared" ref="K325:O325" si="695">LN(K142)</f>
        <v>11.336975565983122</v>
      </c>
      <c r="L325" s="543">
        <f t="shared" si="695"/>
        <v>11.131928554029276</v>
      </c>
      <c r="M325" s="543">
        <f t="shared" si="695"/>
        <v>10.903439054380268</v>
      </c>
      <c r="N325" s="543">
        <f t="shared" si="695"/>
        <v>10.414543149856174</v>
      </c>
      <c r="O325" s="543">
        <f t="shared" si="695"/>
        <v>9.4491997797303959</v>
      </c>
      <c r="P325" s="149">
        <f t="shared" si="601"/>
        <v>-8.8999117640044839E-2</v>
      </c>
      <c r="Q325" s="149">
        <f t="shared" si="602"/>
        <v>-0.3005650048303522</v>
      </c>
      <c r="R325" s="149">
        <f t="shared" si="603"/>
        <v>-2.402369258503026E-2</v>
      </c>
      <c r="S325" s="149">
        <f t="shared" si="604"/>
        <v>-2.2410845505533725</v>
      </c>
      <c r="T325" s="149">
        <f t="shared" si="605"/>
        <v>-2.8291856985352024</v>
      </c>
      <c r="U325" s="51">
        <f t="shared" si="606"/>
        <v>0.95107356937725263</v>
      </c>
      <c r="V325" s="51">
        <f t="shared" si="607"/>
        <v>0.94223552763534968</v>
      </c>
      <c r="W325" s="51">
        <f t="shared" si="608"/>
        <v>0.90907401336294669</v>
      </c>
      <c r="X325" s="51">
        <f t="shared" si="609"/>
        <v>0.85853827269760929</v>
      </c>
      <c r="Y325" s="51">
        <f t="shared" si="610"/>
        <v>0.72819915842163041</v>
      </c>
      <c r="Z325" s="51">
        <f t="shared" si="611"/>
        <v>8.0822234643332116E-2</v>
      </c>
      <c r="AA325" s="51">
        <f t="shared" si="612"/>
        <v>6.7768331066717855E-2</v>
      </c>
      <c r="AB325" s="51">
        <f t="shared" si="613"/>
        <v>6.2754826406364719E-2</v>
      </c>
      <c r="AC325" s="51">
        <f t="shared" si="614"/>
        <v>4.6691304670530884E-2</v>
      </c>
      <c r="AD325" s="62">
        <f t="shared" si="615"/>
        <v>2.2161680085030482E-2</v>
      </c>
      <c r="AF325" s="701">
        <f t="shared" si="596"/>
        <v>6.1191905694267197E-2</v>
      </c>
      <c r="AI325" s="701">
        <f t="shared" si="597"/>
        <v>0.21410125589687751</v>
      </c>
      <c r="AJ325" s="209"/>
      <c r="AK325" s="678">
        <f t="shared" si="616"/>
        <v>1.4542392746498722</v>
      </c>
      <c r="AL325" s="51">
        <f t="shared" si="617"/>
        <v>0.18087485494131628</v>
      </c>
      <c r="AM325" s="827">
        <f t="shared" ref="AM325:AV325" si="696">AM142</f>
        <v>50769</v>
      </c>
      <c r="AN325" s="827">
        <f t="shared" si="696"/>
        <v>58233</v>
      </c>
      <c r="AO325" s="827">
        <f t="shared" si="696"/>
        <v>78767</v>
      </c>
      <c r="AP325" s="827">
        <f t="shared" si="696"/>
        <v>101014</v>
      </c>
      <c r="AQ325" s="827">
        <f t="shared" si="696"/>
        <v>155734</v>
      </c>
      <c r="AR325" s="827">
        <f t="shared" si="696"/>
        <v>919849</v>
      </c>
      <c r="AS325" s="827">
        <f t="shared" si="696"/>
        <v>800980</v>
      </c>
      <c r="AT325" s="827">
        <f t="shared" si="696"/>
        <v>673936</v>
      </c>
      <c r="AU325" s="827">
        <f t="shared" si="696"/>
        <v>0</v>
      </c>
      <c r="AV325" s="827">
        <f t="shared" si="696"/>
        <v>363852</v>
      </c>
      <c r="AW325" s="829">
        <f t="shared" ref="AW325:BB325" si="697">AW142</f>
        <v>-9.8735200026384348E-2</v>
      </c>
      <c r="AX325" s="829" t="e">
        <f t="shared" si="697"/>
        <v>#DIV/0!</v>
      </c>
      <c r="AY325" s="829">
        <f t="shared" si="697"/>
        <v>-1.9378694712851071E-3</v>
      </c>
      <c r="AZ325" s="829">
        <f t="shared" si="697"/>
        <v>-0.13459839791788508</v>
      </c>
      <c r="BA325" s="829" t="e">
        <f t="shared" si="697"/>
        <v>#DIV/0!</v>
      </c>
      <c r="BB325" s="829">
        <f t="shared" si="697"/>
        <v>-3.2692694354481289E-3</v>
      </c>
    </row>
    <row r="326" spans="1:54" ht="15" customHeight="1">
      <c r="A326" s="535">
        <v>2008</v>
      </c>
      <c r="B326" s="449"/>
      <c r="C326" s="51"/>
      <c r="D326" s="51"/>
      <c r="E326" s="51"/>
      <c r="F326" s="51"/>
      <c r="G326" s="51"/>
      <c r="H326" s="51"/>
      <c r="I326" s="536" t="s">
        <v>313</v>
      </c>
      <c r="J326" s="677" t="s">
        <v>785</v>
      </c>
      <c r="K326" s="543">
        <f t="shared" ref="K326:O326" si="698">LN(K143)</f>
        <v>9.3557835168462855</v>
      </c>
      <c r="L326" s="543">
        <f t="shared" si="698"/>
        <v>7.1949943120564646</v>
      </c>
      <c r="M326" s="543" t="e">
        <f t="shared" si="698"/>
        <v>#NUM!</v>
      </c>
      <c r="N326" s="543">
        <f t="shared" si="698"/>
        <v>4.551212524271504</v>
      </c>
      <c r="O326" s="543">
        <f t="shared" si="698"/>
        <v>9.1544762040973104</v>
      </c>
      <c r="P326" s="149">
        <f t="shared" si="601"/>
        <v>-0.34803421971030607</v>
      </c>
      <c r="Q326" s="149">
        <f t="shared" si="602"/>
        <v>1.7204474829086389</v>
      </c>
      <c r="R326" s="149">
        <f t="shared" si="603"/>
        <v>-8.2315908390674739</v>
      </c>
      <c r="S326" s="149">
        <f t="shared" si="604"/>
        <v>-287.66793168880457</v>
      </c>
      <c r="T326" s="149">
        <f t="shared" si="605"/>
        <v>0.85622263235985951</v>
      </c>
      <c r="U326" s="51">
        <f t="shared" si="606"/>
        <v>0.11974046054837946</v>
      </c>
      <c r="V326" s="51">
        <f t="shared" si="607"/>
        <v>0.20667837303626152</v>
      </c>
      <c r="W326" s="51">
        <f t="shared" si="608"/>
        <v>0.12699188111739143</v>
      </c>
      <c r="X326" s="51">
        <f t="shared" si="609"/>
        <v>0.31274538744258679</v>
      </c>
      <c r="Y326" s="51">
        <f t="shared" si="610"/>
        <v>8.845298023448403E-2</v>
      </c>
      <c r="Z326" s="51">
        <f t="shared" si="611"/>
        <v>0.1143039704029004</v>
      </c>
      <c r="AA326" s="51">
        <f t="shared" si="612"/>
        <v>1.2157195790542624E-2</v>
      </c>
      <c r="AB326" s="51">
        <f t="shared" si="613"/>
        <v>-3.1190988344622458E-2</v>
      </c>
      <c r="AC326" s="51">
        <f t="shared" si="614"/>
        <v>8.0604087101357718E-4</v>
      </c>
      <c r="AD326" s="62">
        <f t="shared" si="615"/>
        <v>8.1873857431105146E-2</v>
      </c>
      <c r="AF326" s="701">
        <f t="shared" si="596"/>
        <v>0.1866492041879379</v>
      </c>
      <c r="AI326" s="701">
        <f t="shared" si="597"/>
        <v>0.21719503253434325</v>
      </c>
      <c r="AJ326" s="209"/>
      <c r="AK326" s="678" t="e">
        <f t="shared" si="616"/>
        <v>#NUM!</v>
      </c>
      <c r="AL326" s="51">
        <f t="shared" si="617"/>
        <v>3.8538900882907401E-2</v>
      </c>
      <c r="AM326" s="827">
        <f t="shared" ref="AM326:AV326" si="699">AM143</f>
        <v>89066.360988</v>
      </c>
      <c r="AN326" s="827">
        <f t="shared" si="699"/>
        <v>86968.546119000006</v>
      </c>
      <c r="AO326" s="827">
        <f t="shared" si="699"/>
        <v>87084.236199999999</v>
      </c>
      <c r="AP326" s="827">
        <f t="shared" si="699"/>
        <v>80784.322096000004</v>
      </c>
      <c r="AQ326" s="827">
        <f t="shared" si="699"/>
        <v>105286.41138399999</v>
      </c>
      <c r="AR326" s="827">
        <f t="shared" si="699"/>
        <v>9187.6926239999993</v>
      </c>
      <c r="AS326" s="827">
        <f t="shared" si="699"/>
        <v>8969.7148450000004</v>
      </c>
      <c r="AT326" s="827">
        <f t="shared" si="699"/>
        <v>8321.4606800000001</v>
      </c>
      <c r="AU326" s="827">
        <f t="shared" si="699"/>
        <v>23633.768629999999</v>
      </c>
      <c r="AV326" s="827">
        <f t="shared" si="699"/>
        <v>7491.1122479999995</v>
      </c>
      <c r="AW326" s="829">
        <f t="shared" ref="AW326:BB326" si="700">AW143</f>
        <v>1.0808835286324492</v>
      </c>
      <c r="AX326" s="829">
        <f t="shared" si="700"/>
        <v>-1.1532539652352518</v>
      </c>
      <c r="AY326" s="829">
        <f t="shared" si="700"/>
        <v>3.0777590046847396</v>
      </c>
      <c r="AZ326" s="829">
        <f t="shared" si="700"/>
        <v>0.16570961912502208</v>
      </c>
      <c r="BA326" s="829">
        <f t="shared" si="700"/>
        <v>-0.59254696839831666</v>
      </c>
      <c r="BB326" s="829">
        <f t="shared" si="700"/>
        <v>0.64760185954996008</v>
      </c>
    </row>
    <row r="327" spans="1:54" ht="15" customHeight="1">
      <c r="A327" s="535">
        <v>2008</v>
      </c>
      <c r="B327" s="449"/>
      <c r="C327" s="51"/>
      <c r="D327" s="51"/>
      <c r="E327" s="51"/>
      <c r="F327" s="51"/>
      <c r="G327" s="51"/>
      <c r="H327" s="51"/>
      <c r="I327" s="536" t="s">
        <v>1032</v>
      </c>
      <c r="J327" s="677" t="s">
        <v>540</v>
      </c>
      <c r="K327" s="543">
        <f t="shared" ref="K327:O327" si="701">LN(K144)</f>
        <v>15.099939446641065</v>
      </c>
      <c r="L327" s="543">
        <f t="shared" si="701"/>
        <v>14.858588498342577</v>
      </c>
      <c r="M327" s="543">
        <f t="shared" si="701"/>
        <v>14.661689832968051</v>
      </c>
      <c r="N327" s="543">
        <f t="shared" si="701"/>
        <v>14.791971668567975</v>
      </c>
      <c r="O327" s="543">
        <f t="shared" si="701"/>
        <v>14.631070420189788</v>
      </c>
      <c r="P327" s="149">
        <f t="shared" si="601"/>
        <v>2.9325977120596407E-2</v>
      </c>
      <c r="Q327" s="149">
        <f t="shared" si="602"/>
        <v>2.907010682388652E-2</v>
      </c>
      <c r="R327" s="149">
        <f t="shared" si="603"/>
        <v>2.6254455717027694E-2</v>
      </c>
      <c r="S327" s="149">
        <f t="shared" si="604"/>
        <v>2.9191890464388741E-2</v>
      </c>
      <c r="T327" s="149">
        <f t="shared" si="605"/>
        <v>3.203560857815492E-2</v>
      </c>
      <c r="U327" s="51">
        <f t="shared" si="606"/>
        <v>0.61996146209298009</v>
      </c>
      <c r="V327" s="51">
        <f t="shared" si="607"/>
        <v>0.65222348916761685</v>
      </c>
      <c r="W327" s="51">
        <f t="shared" si="608"/>
        <v>0.60690329793180553</v>
      </c>
      <c r="X327" s="51">
        <f t="shared" si="609"/>
        <v>0.65488221586312645</v>
      </c>
      <c r="Y327" s="51">
        <f t="shared" si="610"/>
        <v>0.68765428426969621</v>
      </c>
      <c r="Z327" s="51">
        <f t="shared" si="611"/>
        <v>1.9785204964934417</v>
      </c>
      <c r="AA327" s="51">
        <f t="shared" si="612"/>
        <v>1.77578521820255</v>
      </c>
      <c r="AB327" s="51">
        <f t="shared" si="613"/>
        <v>2.0385690329793182</v>
      </c>
      <c r="AC327" s="51">
        <f t="shared" si="614"/>
        <v>1.7830984895135291</v>
      </c>
      <c r="AD327" s="62">
        <f t="shared" si="615"/>
        <v>1.9644737233441394</v>
      </c>
      <c r="AF327" s="701">
        <f t="shared" si="596"/>
        <v>-9.4115908606639612E-3</v>
      </c>
      <c r="AI327" s="701">
        <f t="shared" si="597"/>
        <v>-6.5331858648223218E-2</v>
      </c>
      <c r="AJ327" s="209"/>
      <c r="AK327" s="678">
        <f t="shared" si="616"/>
        <v>3.0619412778261988E-2</v>
      </c>
      <c r="AL327" s="51">
        <f t="shared" si="617"/>
        <v>-8.0750986337890684E-2</v>
      </c>
      <c r="AM327" s="827">
        <f t="shared" ref="AM327:AV327" si="702">AM144</f>
        <v>693916.89840000006</v>
      </c>
      <c r="AN327" s="827">
        <f t="shared" si="702"/>
        <v>555792.65500000003</v>
      </c>
      <c r="AO327" s="827">
        <f t="shared" si="702"/>
        <v>449433.01</v>
      </c>
      <c r="AP327" s="827">
        <f t="shared" si="702"/>
        <v>513882.32380000001</v>
      </c>
      <c r="AQ327" s="827">
        <f t="shared" si="702"/>
        <v>359403.64479999995</v>
      </c>
      <c r="AR327" s="827">
        <f t="shared" si="702"/>
        <v>46577.836800000005</v>
      </c>
      <c r="AS327" s="827">
        <f t="shared" si="702"/>
        <v>43568.843000000001</v>
      </c>
      <c r="AT327" s="827">
        <f t="shared" si="702"/>
        <v>17574.7</v>
      </c>
      <c r="AU327" s="827">
        <f t="shared" si="702"/>
        <v>28136.509000000002</v>
      </c>
      <c r="AV327" s="827">
        <f t="shared" si="702"/>
        <v>19369.878399999998</v>
      </c>
      <c r="AW327" s="829">
        <f t="shared" ref="AW327:BB327" si="703">AW144</f>
        <v>3.7385159010600706</v>
      </c>
      <c r="AX327" s="829">
        <f t="shared" si="703"/>
        <v>2.7546325878594251</v>
      </c>
      <c r="AY327" s="829">
        <f t="shared" si="703"/>
        <v>3.4818181818181815</v>
      </c>
      <c r="AZ327" s="829">
        <f t="shared" si="703"/>
        <v>2.6337395874374652</v>
      </c>
      <c r="BA327" s="829">
        <f t="shared" si="703"/>
        <v>1.8560119088192546</v>
      </c>
      <c r="BB327" s="829">
        <f t="shared" si="703"/>
        <v>2.1666484577468359</v>
      </c>
    </row>
    <row r="328" spans="1:54" ht="15" customHeight="1">
      <c r="A328" s="535">
        <v>2008</v>
      </c>
      <c r="B328" s="449"/>
      <c r="C328" s="51"/>
      <c r="D328" s="51"/>
      <c r="E328" s="51"/>
      <c r="F328" s="51"/>
      <c r="G328" s="51"/>
      <c r="H328" s="51"/>
      <c r="I328" s="536" t="s">
        <v>1032</v>
      </c>
      <c r="J328" s="677" t="s">
        <v>524</v>
      </c>
      <c r="K328" s="543">
        <f t="shared" ref="K328:O328" si="704">LN(K145)</f>
        <v>11.984604564107061</v>
      </c>
      <c r="L328" s="543">
        <f t="shared" si="704"/>
        <v>11.649874803323865</v>
      </c>
      <c r="M328" s="543">
        <f t="shared" si="704"/>
        <v>11.491672719412607</v>
      </c>
      <c r="N328" s="543">
        <f t="shared" si="704"/>
        <v>11.400570537746098</v>
      </c>
      <c r="O328" s="543">
        <f t="shared" si="704"/>
        <v>10.896369223585648</v>
      </c>
      <c r="P328" s="149">
        <f t="shared" si="601"/>
        <v>0.15806253545046184</v>
      </c>
      <c r="Q328" s="149">
        <f t="shared" si="602"/>
        <v>3.7290588943991884E-2</v>
      </c>
      <c r="R328" s="149">
        <f t="shared" si="603"/>
        <v>4.6442361988321273E-2</v>
      </c>
      <c r="S328" s="149">
        <f t="shared" si="604"/>
        <v>0.17642917204781275</v>
      </c>
      <c r="T328" s="149">
        <f t="shared" si="605"/>
        <v>3.9522484197980129E-2</v>
      </c>
      <c r="U328" s="51">
        <f t="shared" si="606"/>
        <v>0.29464589146567627</v>
      </c>
      <c r="V328" s="51">
        <f t="shared" si="607"/>
        <v>0.34860632509159811</v>
      </c>
      <c r="W328" s="51">
        <f t="shared" si="608"/>
        <v>0.26625744174386284</v>
      </c>
      <c r="X328" s="51">
        <f t="shared" si="609"/>
        <v>0.2553000520357428</v>
      </c>
      <c r="Y328" s="51">
        <f t="shared" si="610"/>
        <v>0.132895572971828</v>
      </c>
      <c r="Z328" s="51">
        <f t="shared" si="611"/>
        <v>0.90495254787315038</v>
      </c>
      <c r="AA328" s="51">
        <f t="shared" si="612"/>
        <v>0.72548964123718251</v>
      </c>
      <c r="AB328" s="51">
        <f t="shared" si="613"/>
        <v>0.74568098953896478</v>
      </c>
      <c r="AC328" s="51">
        <f t="shared" si="614"/>
        <v>0.61883444915560171</v>
      </c>
      <c r="AD328" s="62">
        <f t="shared" si="615"/>
        <v>0.51401430596516384</v>
      </c>
      <c r="AF328" s="701">
        <f t="shared" si="596"/>
        <v>1.4316064158934296E-2</v>
      </c>
      <c r="AI328" s="701">
        <f t="shared" si="597"/>
        <v>2.3769393649002407E-2</v>
      </c>
      <c r="AJ328" s="209"/>
      <c r="AK328" s="678">
        <f t="shared" si="616"/>
        <v>0.59530349582695929</v>
      </c>
      <c r="AL328" s="51">
        <f t="shared" si="617"/>
        <v>0.13336186877203485</v>
      </c>
      <c r="AM328" s="827">
        <f t="shared" ref="AM328:AV328" si="705">AM145</f>
        <v>124918.9722</v>
      </c>
      <c r="AN328" s="827">
        <f t="shared" si="705"/>
        <v>102964.772279</v>
      </c>
      <c r="AO328" s="827">
        <f t="shared" si="705"/>
        <v>96329.646789999999</v>
      </c>
      <c r="AP328" s="827">
        <f t="shared" si="705"/>
        <v>107550.322418</v>
      </c>
      <c r="AQ328" s="827">
        <f t="shared" si="705"/>
        <v>91060.330815999987</v>
      </c>
      <c r="AR328" s="827">
        <f t="shared" si="705"/>
        <v>1976.1647400000002</v>
      </c>
      <c r="AS328" s="827">
        <f t="shared" si="705"/>
        <v>6534.0011620000005</v>
      </c>
      <c r="AT328" s="827">
        <f t="shared" si="705"/>
        <v>0</v>
      </c>
      <c r="AU328" s="827">
        <f t="shared" si="705"/>
        <v>0</v>
      </c>
      <c r="AV328" s="827">
        <f t="shared" si="705"/>
        <v>0</v>
      </c>
      <c r="AW328" s="829" t="e">
        <f t="shared" ref="AW328:BB328" si="706">AW145</f>
        <v>#DIV/0!</v>
      </c>
      <c r="AX328" s="829" t="e">
        <f t="shared" si="706"/>
        <v>#DIV/0!</v>
      </c>
      <c r="AY328" s="829" t="e">
        <f t="shared" si="706"/>
        <v>#DIV/0!</v>
      </c>
      <c r="AZ328" s="829" t="e">
        <f t="shared" si="706"/>
        <v>#DIV/0!</v>
      </c>
      <c r="BA328" s="829" t="e">
        <f t="shared" si="706"/>
        <v>#DIV/0!</v>
      </c>
      <c r="BB328" s="829" t="e">
        <f t="shared" si="706"/>
        <v>#DIV/0!</v>
      </c>
    </row>
    <row r="329" spans="1:54" s="684" customFormat="1" ht="15" customHeight="1">
      <c r="A329" s="535">
        <v>2008</v>
      </c>
      <c r="B329" s="449"/>
      <c r="C329" s="51"/>
      <c r="D329" s="51"/>
      <c r="E329" s="51"/>
      <c r="F329" s="51"/>
      <c r="G329" s="51"/>
      <c r="H329" s="51"/>
      <c r="I329" s="536" t="s">
        <v>1033</v>
      </c>
      <c r="J329" s="677" t="s">
        <v>537</v>
      </c>
      <c r="K329" s="543">
        <f t="shared" ref="K329:O329" si="707">LN(K146)</f>
        <v>12.629114653486877</v>
      </c>
      <c r="L329" s="543">
        <f t="shared" si="707"/>
        <v>12.535499253657429</v>
      </c>
      <c r="M329" s="543">
        <f t="shared" si="707"/>
        <v>12.536004785660165</v>
      </c>
      <c r="N329" s="543">
        <f t="shared" si="707"/>
        <v>12.675074660928193</v>
      </c>
      <c r="O329" s="543">
        <f t="shared" si="707"/>
        <v>12.668406166028968</v>
      </c>
      <c r="P329" s="149">
        <f t="shared" si="601"/>
        <v>1.0993504157514676E-2</v>
      </c>
      <c r="Q329" s="149">
        <f t="shared" si="602"/>
        <v>1.857916073816146E-2</v>
      </c>
      <c r="R329" s="149">
        <f t="shared" si="603"/>
        <v>2.1664527208452154E-2</v>
      </c>
      <c r="S329" s="149">
        <f t="shared" si="604"/>
        <v>5.2887557139257822E-3</v>
      </c>
      <c r="T329" s="149">
        <f t="shared" si="605"/>
        <v>4.8695166747403183E-3</v>
      </c>
      <c r="U329" s="51">
        <f t="shared" si="606"/>
        <v>0.62221891189565848</v>
      </c>
      <c r="V329" s="51">
        <f t="shared" si="607"/>
        <v>0.58261915153948296</v>
      </c>
      <c r="W329" s="51">
        <f t="shared" si="608"/>
        <v>0.61009301267550453</v>
      </c>
      <c r="X329" s="51">
        <f t="shared" si="609"/>
        <v>0.64218646631902554</v>
      </c>
      <c r="Y329" s="51">
        <f t="shared" si="610"/>
        <v>0.65270544058213908</v>
      </c>
      <c r="Z329" s="51">
        <f t="shared" si="611"/>
        <v>1.1318370657265338</v>
      </c>
      <c r="AA329" s="51">
        <f t="shared" si="612"/>
        <v>1.1082217352058885</v>
      </c>
      <c r="AB329" s="51">
        <f t="shared" si="613"/>
        <v>1.1001623930543796</v>
      </c>
      <c r="AC329" s="51">
        <f t="shared" si="614"/>
        <v>1.0811767910651047</v>
      </c>
      <c r="AD329" s="62">
        <f t="shared" si="615"/>
        <v>1.0936505916033461</v>
      </c>
      <c r="AF329" s="701">
        <f t="shared" si="596"/>
        <v>1.8508948305890335E-2</v>
      </c>
      <c r="AI329" s="701">
        <f t="shared" si="597"/>
        <v>4.5794287741336454E-2</v>
      </c>
      <c r="AJ329" s="209"/>
      <c r="AK329" s="678">
        <f t="shared" si="616"/>
        <v>-0.13240138036880422</v>
      </c>
      <c r="AL329" s="51">
        <f t="shared" si="617"/>
        <v>-4.2612427906634553E-2</v>
      </c>
      <c r="AM329" s="827">
        <f t="shared" ref="AM329:AV329" si="708">AM146</f>
        <v>101908.484964</v>
      </c>
      <c r="AN329" s="827">
        <f t="shared" si="708"/>
        <v>104713.821117</v>
      </c>
      <c r="AO329" s="827">
        <f t="shared" si="708"/>
        <v>98587.516430000003</v>
      </c>
      <c r="AP329" s="827">
        <f t="shared" si="708"/>
        <v>105797.22913200001</v>
      </c>
      <c r="AQ329" s="827">
        <f t="shared" si="708"/>
        <v>100841.26384799999</v>
      </c>
      <c r="AR329" s="827">
        <f t="shared" si="708"/>
        <v>72798.051348000008</v>
      </c>
      <c r="AS329" s="827">
        <f t="shared" si="708"/>
        <v>62845.985265000003</v>
      </c>
      <c r="AT329" s="827">
        <f t="shared" si="708"/>
        <v>79325.804999999993</v>
      </c>
      <c r="AU329" s="827">
        <f t="shared" si="708"/>
        <v>70946.611961999995</v>
      </c>
      <c r="AV329" s="827">
        <f t="shared" si="708"/>
        <v>71334.197231999991</v>
      </c>
      <c r="AW329" s="829">
        <f t="shared" ref="AW329:BB329" si="709">AW146</f>
        <v>2.16773890224186E-2</v>
      </c>
      <c r="AX329" s="829">
        <f t="shared" si="709"/>
        <v>2.383070166769298E-2</v>
      </c>
      <c r="AY329" s="829">
        <f t="shared" si="709"/>
        <v>7.597180261832831E-2</v>
      </c>
      <c r="AZ329" s="829">
        <f t="shared" si="709"/>
        <v>1.9474499544700263E-2</v>
      </c>
      <c r="BA329" s="829">
        <f t="shared" si="709"/>
        <v>2.1021846807672353E-2</v>
      </c>
      <c r="BB329" s="829">
        <f t="shared" si="709"/>
        <v>7.018436403584713E-2</v>
      </c>
    </row>
    <row r="330" spans="1:54" s="684" customFormat="1" ht="15" customHeight="1">
      <c r="A330" s="535">
        <v>2008</v>
      </c>
      <c r="B330" s="449"/>
      <c r="C330" s="51"/>
      <c r="D330" s="51"/>
      <c r="E330" s="51"/>
      <c r="F330" s="51"/>
      <c r="G330" s="51"/>
      <c r="H330" s="51"/>
      <c r="I330" s="536" t="s">
        <v>1033</v>
      </c>
      <c r="J330" s="677" t="s">
        <v>522</v>
      </c>
      <c r="K330" s="543">
        <f t="shared" ref="K330:O330" si="710">LN(K147)</f>
        <v>11.471515351291799</v>
      </c>
      <c r="L330" s="543">
        <f t="shared" si="710"/>
        <v>11.199614061636451</v>
      </c>
      <c r="M330" s="543">
        <f t="shared" si="710"/>
        <v>11.411624163654226</v>
      </c>
      <c r="N330" s="543">
        <f t="shared" si="710"/>
        <v>11.507644108949034</v>
      </c>
      <c r="O330" s="543">
        <f t="shared" si="710"/>
        <v>11.279768870844498</v>
      </c>
      <c r="P330" s="149">
        <f t="shared" si="601"/>
        <v>-0.10731929785372575</v>
      </c>
      <c r="Q330" s="149">
        <f t="shared" si="602"/>
        <v>-0.46507627879150465</v>
      </c>
      <c r="R330" s="149">
        <f t="shared" si="603"/>
        <v>-1.5323523119655022E-2</v>
      </c>
      <c r="S330" s="149">
        <f t="shared" si="604"/>
        <v>2.4094186199928789E-2</v>
      </c>
      <c r="T330" s="149">
        <f t="shared" si="605"/>
        <v>7.7224373044815844E-2</v>
      </c>
      <c r="U330" s="51">
        <f t="shared" si="606"/>
        <v>0.52648744277334869</v>
      </c>
      <c r="V330" s="51">
        <f t="shared" si="607"/>
        <v>0.62930575413615009</v>
      </c>
      <c r="W330" s="51">
        <f t="shared" si="608"/>
        <v>0.5032114685169673</v>
      </c>
      <c r="X330" s="51">
        <f t="shared" si="609"/>
        <v>0.5150584208024328</v>
      </c>
      <c r="Y330" s="51">
        <f t="shared" si="610"/>
        <v>0.66118695780549197</v>
      </c>
      <c r="Z330" s="51">
        <f t="shared" si="611"/>
        <v>1.209153563245297</v>
      </c>
      <c r="AA330" s="51">
        <f t="shared" si="612"/>
        <v>0.80475474891307519</v>
      </c>
      <c r="AB330" s="51">
        <f t="shared" si="613"/>
        <v>0.77162693486203238</v>
      </c>
      <c r="AC330" s="51">
        <f t="shared" si="614"/>
        <v>0.63685293105412977</v>
      </c>
      <c r="AD330" s="62">
        <f t="shared" si="615"/>
        <v>1.3016098870970012</v>
      </c>
      <c r="AF330" s="701">
        <f t="shared" si="596"/>
        <v>-0.11234005065610635</v>
      </c>
      <c r="AI330" s="701">
        <f t="shared" si="597"/>
        <v>-0.32047196855989746</v>
      </c>
      <c r="AJ330" s="209"/>
      <c r="AK330" s="678">
        <f t="shared" si="616"/>
        <v>0.13185529280972955</v>
      </c>
      <c r="AL330" s="51">
        <f t="shared" si="617"/>
        <v>-0.15797548928852467</v>
      </c>
      <c r="AM330" s="827">
        <f t="shared" ref="AM330:AV330" si="711">AM147</f>
        <v>37572.133500000004</v>
      </c>
      <c r="AN330" s="827">
        <f t="shared" si="711"/>
        <v>33672.420521</v>
      </c>
      <c r="AO330" s="827">
        <f t="shared" si="711"/>
        <v>58179.446649999998</v>
      </c>
      <c r="AP330" s="827">
        <f t="shared" si="711"/>
        <v>75745.819445999994</v>
      </c>
      <c r="AQ330" s="827">
        <f t="shared" si="711"/>
        <v>20616.771543999999</v>
      </c>
      <c r="AR330" s="827">
        <f t="shared" si="711"/>
        <v>10104.604488000001</v>
      </c>
      <c r="AS330" s="827">
        <f t="shared" si="711"/>
        <v>264.22929499999998</v>
      </c>
      <c r="AT330" s="827">
        <f t="shared" si="711"/>
        <v>15668.484129999999</v>
      </c>
      <c r="AU330" s="827">
        <f t="shared" si="711"/>
        <v>22688.813414</v>
      </c>
      <c r="AV330" s="827">
        <f t="shared" si="711"/>
        <v>17163.389159999999</v>
      </c>
      <c r="AW330" s="829">
        <f t="shared" ref="AW330:BB330" si="712">AW147</f>
        <v>0.35636309256766863</v>
      </c>
      <c r="AX330" s="829">
        <f t="shared" si="712"/>
        <v>0.10563475146395772</v>
      </c>
      <c r="AY330" s="829">
        <f t="shared" si="712"/>
        <v>-8.8376551203744311E-2</v>
      </c>
      <c r="AZ330" s="829">
        <f t="shared" si="712"/>
        <v>0.33613863652897319</v>
      </c>
      <c r="BA330" s="829">
        <f t="shared" si="712"/>
        <v>6.9752360798797181E-2</v>
      </c>
      <c r="BB330" s="829">
        <f t="shared" si="712"/>
        <v>-5.6296137289808021E-2</v>
      </c>
    </row>
    <row r="331" spans="1:54" ht="15" customHeight="1">
      <c r="A331" s="535">
        <v>2008</v>
      </c>
      <c r="B331" s="449"/>
      <c r="C331" s="51"/>
      <c r="D331" s="51"/>
      <c r="E331" s="51"/>
      <c r="F331" s="51"/>
      <c r="G331" s="51"/>
      <c r="H331" s="51"/>
      <c r="I331" s="536" t="s">
        <v>1033</v>
      </c>
      <c r="J331" s="677" t="s">
        <v>540</v>
      </c>
      <c r="K331" s="543">
        <f t="shared" ref="K331:O331" si="713">LN(K148)</f>
        <v>15.099939446641065</v>
      </c>
      <c r="L331" s="543">
        <f t="shared" si="713"/>
        <v>14.858588498342577</v>
      </c>
      <c r="M331" s="543">
        <f t="shared" si="713"/>
        <v>14.661689832968051</v>
      </c>
      <c r="N331" s="543">
        <f t="shared" si="713"/>
        <v>14.791971668567975</v>
      </c>
      <c r="O331" s="543">
        <f t="shared" si="713"/>
        <v>14.631070420189788</v>
      </c>
      <c r="P331" s="149">
        <f t="shared" si="601"/>
        <v>2.9325977120596407E-2</v>
      </c>
      <c r="Q331" s="149">
        <f t="shared" si="602"/>
        <v>2.907010682388652E-2</v>
      </c>
      <c r="R331" s="149">
        <f t="shared" si="603"/>
        <v>2.6254455717027694E-2</v>
      </c>
      <c r="S331" s="149">
        <f t="shared" si="604"/>
        <v>2.9191890464388741E-2</v>
      </c>
      <c r="T331" s="149">
        <f t="shared" si="605"/>
        <v>3.203560857815492E-2</v>
      </c>
      <c r="U331" s="51">
        <f t="shared" si="606"/>
        <v>0.61996146209298009</v>
      </c>
      <c r="V331" s="51">
        <f t="shared" si="607"/>
        <v>0.65222348916761685</v>
      </c>
      <c r="W331" s="51">
        <f t="shared" si="608"/>
        <v>0.60690329793180553</v>
      </c>
      <c r="X331" s="51">
        <f t="shared" si="609"/>
        <v>0.65488221586312645</v>
      </c>
      <c r="Y331" s="51">
        <f t="shared" si="610"/>
        <v>0.68765428426969621</v>
      </c>
      <c r="Z331" s="51">
        <f t="shared" si="611"/>
        <v>1.9785204964934417</v>
      </c>
      <c r="AA331" s="51">
        <f t="shared" si="612"/>
        <v>1.77578521820255</v>
      </c>
      <c r="AB331" s="51">
        <f t="shared" si="613"/>
        <v>2.0385690329793182</v>
      </c>
      <c r="AC331" s="51">
        <f t="shared" si="614"/>
        <v>1.7830984895135291</v>
      </c>
      <c r="AD331" s="62">
        <f t="shared" si="615"/>
        <v>1.9644737233441394</v>
      </c>
      <c r="AF331" s="701">
        <f t="shared" si="596"/>
        <v>-9.4115908606639612E-3</v>
      </c>
      <c r="AI331" s="701">
        <f t="shared" si="597"/>
        <v>-6.5331858648223218E-2</v>
      </c>
      <c r="AJ331" s="209"/>
      <c r="AK331" s="678">
        <f t="shared" si="616"/>
        <v>3.0619412778261988E-2</v>
      </c>
      <c r="AL331" s="51">
        <f t="shared" si="617"/>
        <v>-8.0750986337890684E-2</v>
      </c>
      <c r="AM331" s="827">
        <f t="shared" ref="AM331:AV331" si="714">AM148</f>
        <v>693916.89840000006</v>
      </c>
      <c r="AN331" s="827">
        <f t="shared" si="714"/>
        <v>555792.65500000003</v>
      </c>
      <c r="AO331" s="827">
        <f t="shared" si="714"/>
        <v>449433.01</v>
      </c>
      <c r="AP331" s="827">
        <f t="shared" si="714"/>
        <v>513882.32380000001</v>
      </c>
      <c r="AQ331" s="827">
        <f t="shared" si="714"/>
        <v>359403.64479999995</v>
      </c>
      <c r="AR331" s="827">
        <f t="shared" si="714"/>
        <v>46577.836800000005</v>
      </c>
      <c r="AS331" s="827">
        <f t="shared" si="714"/>
        <v>43568.843000000001</v>
      </c>
      <c r="AT331" s="827">
        <f t="shared" si="714"/>
        <v>17574.7</v>
      </c>
      <c r="AU331" s="827">
        <f t="shared" si="714"/>
        <v>28136.509000000002</v>
      </c>
      <c r="AV331" s="827">
        <f t="shared" si="714"/>
        <v>19369.878399999998</v>
      </c>
      <c r="AW331" s="829">
        <f t="shared" ref="AW331:BB331" si="715">AW148</f>
        <v>3.7385159010600706</v>
      </c>
      <c r="AX331" s="829">
        <f t="shared" si="715"/>
        <v>2.7546325878594251</v>
      </c>
      <c r="AY331" s="829">
        <f t="shared" si="715"/>
        <v>3.4818181818181815</v>
      </c>
      <c r="AZ331" s="829">
        <f t="shared" si="715"/>
        <v>2.6337395874374652</v>
      </c>
      <c r="BA331" s="829">
        <f t="shared" si="715"/>
        <v>1.8560119088192546</v>
      </c>
      <c r="BB331" s="829">
        <f t="shared" si="715"/>
        <v>2.1666484577468359</v>
      </c>
    </row>
    <row r="332" spans="1:54" ht="15" customHeight="1">
      <c r="A332" s="535">
        <v>2008</v>
      </c>
      <c r="B332" s="449"/>
      <c r="C332" s="51"/>
      <c r="D332" s="51"/>
      <c r="E332" s="51"/>
      <c r="F332" s="51"/>
      <c r="G332" s="51"/>
      <c r="H332" s="51"/>
      <c r="I332" s="536" t="s">
        <v>1033</v>
      </c>
      <c r="J332" s="677" t="s">
        <v>524</v>
      </c>
      <c r="K332" s="543">
        <f t="shared" ref="K332:O332" si="716">LN(K149)</f>
        <v>11.984604564107061</v>
      </c>
      <c r="L332" s="543">
        <f t="shared" si="716"/>
        <v>11.649874803323865</v>
      </c>
      <c r="M332" s="543">
        <f t="shared" si="716"/>
        <v>11.491672719412607</v>
      </c>
      <c r="N332" s="543">
        <f t="shared" si="716"/>
        <v>11.400570537746098</v>
      </c>
      <c r="O332" s="543">
        <f t="shared" si="716"/>
        <v>10.896369223585648</v>
      </c>
      <c r="P332" s="149">
        <f t="shared" si="601"/>
        <v>0.15806253545046184</v>
      </c>
      <c r="Q332" s="149">
        <f t="shared" si="602"/>
        <v>3.7290588943991884E-2</v>
      </c>
      <c r="R332" s="149">
        <f t="shared" si="603"/>
        <v>4.6442361988321273E-2</v>
      </c>
      <c r="S332" s="149">
        <f t="shared" si="604"/>
        <v>0.17642917204781275</v>
      </c>
      <c r="T332" s="149">
        <f t="shared" si="605"/>
        <v>3.9522484197980129E-2</v>
      </c>
      <c r="U332" s="51">
        <f t="shared" si="606"/>
        <v>0.29464589146567627</v>
      </c>
      <c r="V332" s="51">
        <f t="shared" si="607"/>
        <v>0.34860632509159811</v>
      </c>
      <c r="W332" s="51">
        <f t="shared" si="608"/>
        <v>0.26625744174386284</v>
      </c>
      <c r="X332" s="51">
        <f t="shared" si="609"/>
        <v>0.2553000520357428</v>
      </c>
      <c r="Y332" s="51">
        <f t="shared" si="610"/>
        <v>0.132895572971828</v>
      </c>
      <c r="Z332" s="51">
        <f t="shared" si="611"/>
        <v>0.90495254787315038</v>
      </c>
      <c r="AA332" s="51">
        <f t="shared" si="612"/>
        <v>0.72548964123718251</v>
      </c>
      <c r="AB332" s="51">
        <f t="shared" si="613"/>
        <v>0.74568098953896478</v>
      </c>
      <c r="AC332" s="51">
        <f t="shared" si="614"/>
        <v>0.61883444915560171</v>
      </c>
      <c r="AD332" s="62">
        <f t="shared" si="615"/>
        <v>0.51401430596516384</v>
      </c>
      <c r="AF332" s="701">
        <f t="shared" si="596"/>
        <v>1.4316064158934296E-2</v>
      </c>
      <c r="AI332" s="701">
        <f t="shared" si="597"/>
        <v>2.3769393649002407E-2</v>
      </c>
      <c r="AJ332" s="209"/>
      <c r="AK332" s="678">
        <f t="shared" si="616"/>
        <v>0.59530349582695929</v>
      </c>
      <c r="AL332" s="51">
        <f t="shared" si="617"/>
        <v>0.13336186877203485</v>
      </c>
      <c r="AM332" s="827">
        <f t="shared" ref="AM332:AV332" si="717">AM149</f>
        <v>124918.9722</v>
      </c>
      <c r="AN332" s="827">
        <f t="shared" si="717"/>
        <v>102964.772279</v>
      </c>
      <c r="AO332" s="827">
        <f t="shared" si="717"/>
        <v>96329.646789999999</v>
      </c>
      <c r="AP332" s="827">
        <f t="shared" si="717"/>
        <v>107550.322418</v>
      </c>
      <c r="AQ332" s="827">
        <f t="shared" si="717"/>
        <v>91060.330815999987</v>
      </c>
      <c r="AR332" s="827">
        <f t="shared" si="717"/>
        <v>1976.1647400000002</v>
      </c>
      <c r="AS332" s="827">
        <f t="shared" si="717"/>
        <v>6534.0011620000005</v>
      </c>
      <c r="AT332" s="827">
        <f t="shared" si="717"/>
        <v>0</v>
      </c>
      <c r="AU332" s="827">
        <f t="shared" si="717"/>
        <v>0</v>
      </c>
      <c r="AV332" s="827">
        <f t="shared" si="717"/>
        <v>0</v>
      </c>
      <c r="AW332" s="829" t="e">
        <f t="shared" ref="AW332:BB332" si="718">AW149</f>
        <v>#DIV/0!</v>
      </c>
      <c r="AX332" s="829" t="e">
        <f t="shared" si="718"/>
        <v>#DIV/0!</v>
      </c>
      <c r="AY332" s="829" t="e">
        <f t="shared" si="718"/>
        <v>#DIV/0!</v>
      </c>
      <c r="AZ332" s="829" t="e">
        <f t="shared" si="718"/>
        <v>#DIV/0!</v>
      </c>
      <c r="BA332" s="829" t="e">
        <f t="shared" si="718"/>
        <v>#DIV/0!</v>
      </c>
      <c r="BB332" s="829" t="e">
        <f t="shared" si="718"/>
        <v>#DIV/0!</v>
      </c>
    </row>
    <row r="333" spans="1:54" ht="15" customHeight="1">
      <c r="A333" s="535">
        <v>2006</v>
      </c>
      <c r="B333" s="449"/>
      <c r="C333" s="51"/>
      <c r="D333" s="51"/>
      <c r="E333" s="51"/>
      <c r="F333" s="51"/>
      <c r="G333" s="51"/>
      <c r="H333" s="51"/>
      <c r="I333" s="536" t="s">
        <v>1034</v>
      </c>
      <c r="J333" s="677" t="s">
        <v>861</v>
      </c>
      <c r="K333" s="543">
        <f t="shared" ref="K333:O333" si="719">LN(K150)</f>
        <v>16.562880217344304</v>
      </c>
      <c r="L333" s="543">
        <f t="shared" si="719"/>
        <v>16.676231514860472</v>
      </c>
      <c r="M333" s="543">
        <f t="shared" si="719"/>
        <v>16.576990301863052</v>
      </c>
      <c r="N333" s="543">
        <f t="shared" si="719"/>
        <v>16.470008656966211</v>
      </c>
      <c r="O333" s="543">
        <f t="shared" si="719"/>
        <v>16.187378242085817</v>
      </c>
      <c r="P333" s="149">
        <f t="shared" si="601"/>
        <v>8.8612391193036363E-2</v>
      </c>
      <c r="Q333" s="149">
        <f t="shared" si="602"/>
        <v>0.13442187789369711</v>
      </c>
      <c r="R333" s="149">
        <f t="shared" si="603"/>
        <v>0.19482443524055673</v>
      </c>
      <c r="S333" s="149">
        <f t="shared" si="604"/>
        <v>0.17479714966456952</v>
      </c>
      <c r="T333" s="149">
        <f t="shared" si="605"/>
        <v>0.11092895382070886</v>
      </c>
      <c r="U333" s="51">
        <f t="shared" si="606"/>
        <v>0.48765591967765054</v>
      </c>
      <c r="V333" s="51">
        <f t="shared" si="607"/>
        <v>0.52680956553330616</v>
      </c>
      <c r="W333" s="51">
        <f t="shared" si="608"/>
        <v>0.53581998607242343</v>
      </c>
      <c r="X333" s="51">
        <f t="shared" si="609"/>
        <v>0.57723621070793119</v>
      </c>
      <c r="Y333" s="51">
        <f t="shared" si="610"/>
        <v>0.56965312110615385</v>
      </c>
      <c r="Z333" s="51">
        <f t="shared" si="611"/>
        <v>0.58814317808120165</v>
      </c>
      <c r="AA333" s="51">
        <f t="shared" si="612"/>
        <v>0.51927638749385596</v>
      </c>
      <c r="AB333" s="51">
        <f t="shared" si="613"/>
        <v>0.57496642459212099</v>
      </c>
      <c r="AC333" s="51">
        <f t="shared" si="614"/>
        <v>0.61382568609478627</v>
      </c>
      <c r="AD333" s="62">
        <f t="shared" si="615"/>
        <v>0.55409783351420883</v>
      </c>
      <c r="AF333" s="701">
        <f t="shared" si="596"/>
        <v>5.0552015967389612E-2</v>
      </c>
      <c r="AI333" s="701">
        <f t="shared" si="597"/>
        <v>9.8495632603329553E-2</v>
      </c>
      <c r="AJ333" s="209"/>
      <c r="AK333" s="678">
        <f t="shared" si="616"/>
        <v>0.38961205977723584</v>
      </c>
      <c r="AL333" s="51">
        <f t="shared" si="617"/>
        <v>-3.3833135033730422E-2</v>
      </c>
      <c r="AM333" s="827">
        <f t="shared" ref="AM333:AV333" si="720">AM150</f>
        <v>13590835.049999999</v>
      </c>
      <c r="AN333" s="827">
        <f t="shared" si="720"/>
        <v>15923286.448000001</v>
      </c>
      <c r="AO333" s="827">
        <f t="shared" si="720"/>
        <v>12774366.359999999</v>
      </c>
      <c r="AP333" s="827">
        <f t="shared" si="720"/>
        <v>9792342.6239999998</v>
      </c>
      <c r="AQ333" s="827">
        <f t="shared" si="720"/>
        <v>8323792.6369999992</v>
      </c>
      <c r="AR333" s="827">
        <f t="shared" si="720"/>
        <v>6624543.5099999998</v>
      </c>
      <c r="AS333" s="827">
        <f t="shared" si="720"/>
        <v>9062472.9020000007</v>
      </c>
      <c r="AT333" s="827">
        <f t="shared" si="720"/>
        <v>8191644.7759999996</v>
      </c>
      <c r="AU333" s="827">
        <f t="shared" si="720"/>
        <v>7470548.3399999999</v>
      </c>
      <c r="AV333" s="827">
        <f t="shared" si="720"/>
        <v>5248686.6839999994</v>
      </c>
      <c r="AW333" s="829">
        <f t="shared" ref="AW333:BB333" si="721">AW150</f>
        <v>0.22650788008057826</v>
      </c>
      <c r="AX333" s="829">
        <f t="shared" si="721"/>
        <v>0.33267161216173857</v>
      </c>
      <c r="AY333" s="829">
        <f t="shared" si="721"/>
        <v>0.37632903724437577</v>
      </c>
      <c r="AZ333" s="829">
        <f t="shared" si="721"/>
        <v>0.19049641382909233</v>
      </c>
      <c r="BA333" s="829">
        <f t="shared" si="721"/>
        <v>0.29932508113460793</v>
      </c>
      <c r="BB333" s="829">
        <f t="shared" si="721"/>
        <v>0.31366212844837199</v>
      </c>
    </row>
    <row r="334" spans="1:54" ht="15" customHeight="1">
      <c r="A334" s="535">
        <v>2006</v>
      </c>
      <c r="B334" s="449"/>
      <c r="C334" s="51"/>
      <c r="D334" s="51"/>
      <c r="E334" s="51"/>
      <c r="F334" s="51"/>
      <c r="G334" s="51"/>
      <c r="H334" s="51"/>
      <c r="I334" s="536" t="s">
        <v>1034</v>
      </c>
      <c r="J334" s="677" t="s">
        <v>862</v>
      </c>
      <c r="K334" s="543">
        <f t="shared" ref="K334:O334" si="722">LN(K151)</f>
        <v>9.2193273032654179</v>
      </c>
      <c r="L334" s="543">
        <f t="shared" si="722"/>
        <v>8.9208044828008362</v>
      </c>
      <c r="M334" s="543">
        <f t="shared" si="722"/>
        <v>8.358390210398623</v>
      </c>
      <c r="N334" s="543">
        <f t="shared" si="722"/>
        <v>7.4065791441070941</v>
      </c>
      <c r="O334" s="543">
        <f t="shared" si="722"/>
        <v>6.084729309198285</v>
      </c>
      <c r="P334" s="149">
        <f t="shared" si="601"/>
        <v>0.11973715461958674</v>
      </c>
      <c r="Q334" s="149">
        <f t="shared" si="602"/>
        <v>4.2436177621940969E-2</v>
      </c>
      <c r="R334" s="149">
        <f t="shared" si="603"/>
        <v>3.9350180505415167E-2</v>
      </c>
      <c r="S334" s="149">
        <f t="shared" si="604"/>
        <v>2.9007488861503457E-2</v>
      </c>
      <c r="T334" s="149">
        <f t="shared" si="605"/>
        <v>-0.17280453257790368</v>
      </c>
      <c r="U334" s="51">
        <f t="shared" si="606"/>
        <v>0.74741985569458402</v>
      </c>
      <c r="V334" s="51">
        <f t="shared" si="607"/>
        <v>0.75223942781751263</v>
      </c>
      <c r="W334" s="51">
        <f t="shared" si="608"/>
        <v>0.64738731551655371</v>
      </c>
      <c r="X334" s="51">
        <f t="shared" si="609"/>
        <v>0.7938606318619762</v>
      </c>
      <c r="Y334" s="51">
        <f t="shared" si="610"/>
        <v>0.75701303832477285</v>
      </c>
      <c r="Z334" s="51">
        <f t="shared" si="611"/>
        <v>2.8840533382044025</v>
      </c>
      <c r="AA334" s="51">
        <f t="shared" si="612"/>
        <v>2.8913964308034164</v>
      </c>
      <c r="AB334" s="51">
        <f t="shared" si="613"/>
        <v>3.3147187873952935</v>
      </c>
      <c r="AC334" s="51">
        <f t="shared" si="614"/>
        <v>2.3636567331391443</v>
      </c>
      <c r="AD334" s="62">
        <f t="shared" si="615"/>
        <v>1.1157645199525881</v>
      </c>
      <c r="AF334" s="701">
        <f t="shared" si="596"/>
        <v>0.32324394894611175</v>
      </c>
      <c r="AI334" s="701">
        <f t="shared" si="597"/>
        <v>1.1646977758780785</v>
      </c>
      <c r="AJ334" s="209"/>
      <c r="AK334" s="678">
        <f t="shared" si="616"/>
        <v>2.2736609012003384</v>
      </c>
      <c r="AL334" s="51">
        <f t="shared" si="617"/>
        <v>-0.10962572280821914</v>
      </c>
      <c r="AM334" s="827">
        <f t="shared" ref="AM334:AV334" si="723">AM151</f>
        <v>883.68786999999998</v>
      </c>
      <c r="AN334" s="827">
        <f t="shared" si="723"/>
        <v>641.65623400000004</v>
      </c>
      <c r="AO334" s="827">
        <f t="shared" si="723"/>
        <v>453.78902399999998</v>
      </c>
      <c r="AP334" s="827">
        <f t="shared" si="723"/>
        <v>143.61936</v>
      </c>
      <c r="AQ334" s="827">
        <f t="shared" si="723"/>
        <v>95.470245999999989</v>
      </c>
      <c r="AR334" s="827">
        <f t="shared" si="723"/>
        <v>90.270049999999998</v>
      </c>
      <c r="AS334" s="827">
        <f t="shared" si="723"/>
        <v>438.13848200000001</v>
      </c>
      <c r="AT334" s="827">
        <f t="shared" si="723"/>
        <v>70.498143999999996</v>
      </c>
      <c r="AU334" s="827">
        <f t="shared" si="723"/>
        <v>73.370760000000004</v>
      </c>
      <c r="AV334" s="827">
        <f t="shared" si="723"/>
        <v>0</v>
      </c>
      <c r="AW334" s="829" t="e">
        <f t="shared" ref="AW334:BB334" si="724">AW151</f>
        <v>#DIV/0!</v>
      </c>
      <c r="AX334" s="829">
        <f t="shared" si="724"/>
        <v>0.65106382978723398</v>
      </c>
      <c r="AY334" s="829">
        <f t="shared" si="724"/>
        <v>2.3810679611650487</v>
      </c>
      <c r="AZ334" s="829" t="e">
        <f t="shared" si="724"/>
        <v>#DIV/0!</v>
      </c>
      <c r="BA334" s="829">
        <f t="shared" si="724"/>
        <v>0.58541768965632301</v>
      </c>
      <c r="BB334" s="829">
        <f t="shared" si="724"/>
        <v>1.6719079780498098</v>
      </c>
    </row>
    <row r="335" spans="1:54" ht="15" customHeight="1">
      <c r="A335" s="535">
        <v>2005</v>
      </c>
      <c r="B335" s="449"/>
      <c r="C335" s="51"/>
      <c r="D335" s="51"/>
      <c r="E335" s="51"/>
      <c r="F335" s="51"/>
      <c r="G335" s="51"/>
      <c r="H335" s="51"/>
      <c r="I335" s="536" t="s">
        <v>305</v>
      </c>
      <c r="J335" s="677" t="s">
        <v>888</v>
      </c>
      <c r="K335" s="543">
        <f t="shared" ref="K335:O335" si="725">LN(K152)</f>
        <v>12.916472373346215</v>
      </c>
      <c r="L335" s="543">
        <f t="shared" si="725"/>
        <v>13.478753364711576</v>
      </c>
      <c r="M335" s="543">
        <f t="shared" si="725"/>
        <v>12.967944528855053</v>
      </c>
      <c r="N335" s="543">
        <f t="shared" si="725"/>
        <v>12.808399579401602</v>
      </c>
      <c r="O335" s="543">
        <f t="shared" si="725"/>
        <v>11.707062193808749</v>
      </c>
      <c r="P335" s="149">
        <f t="shared" si="601"/>
        <v>-5.5473949509296093E-2</v>
      </c>
      <c r="Q335" s="149">
        <f t="shared" si="602"/>
        <v>0.45212914066135562</v>
      </c>
      <c r="R335" s="149">
        <f t="shared" si="603"/>
        <v>0.4464169122383605</v>
      </c>
      <c r="S335" s="149">
        <f t="shared" si="604"/>
        <v>0.4823472971713193</v>
      </c>
      <c r="T335" s="149">
        <f t="shared" si="605"/>
        <v>0.31120453872090148</v>
      </c>
      <c r="U335" s="51">
        <f t="shared" si="606"/>
        <v>0.38626417921021527</v>
      </c>
      <c r="V335" s="51">
        <f t="shared" si="607"/>
        <v>0.35605275848155793</v>
      </c>
      <c r="W335" s="51">
        <f t="shared" si="608"/>
        <v>0.4132810099853314</v>
      </c>
      <c r="X335" s="51">
        <f t="shared" si="609"/>
        <v>0.39147518309388146</v>
      </c>
      <c r="Y335" s="51">
        <f t="shared" si="610"/>
        <v>0.89253362799387925</v>
      </c>
      <c r="Z335" s="51">
        <f t="shared" si="611"/>
        <v>8.8941733701828132E-2</v>
      </c>
      <c r="AA335" s="51">
        <f t="shared" si="612"/>
        <v>0.16801094933268446</v>
      </c>
      <c r="AB335" s="51">
        <f t="shared" si="613"/>
        <v>0.14138121523055111</v>
      </c>
      <c r="AC335" s="51">
        <f t="shared" si="614"/>
        <v>0.13763235880506891</v>
      </c>
      <c r="AD335" s="62">
        <f t="shared" si="615"/>
        <v>0.14387671323846349</v>
      </c>
      <c r="AF335" s="701">
        <f t="shared" si="596"/>
        <v>1.8339879375674231E-2</v>
      </c>
      <c r="AI335" s="701">
        <f t="shared" si="597"/>
        <v>1.5561074078727172E-2</v>
      </c>
      <c r="AJ335" s="209"/>
      <c r="AK335" s="678">
        <f t="shared" si="616"/>
        <v>1.2608823350463034</v>
      </c>
      <c r="AL335" s="51">
        <f t="shared" si="617"/>
        <v>-0.47925261800854785</v>
      </c>
      <c r="AM335" s="827">
        <f t="shared" ref="AM335:AV335" si="726">AM152</f>
        <v>1475690.1400820001</v>
      </c>
      <c r="AN335" s="827">
        <f t="shared" si="726"/>
        <v>1554217.1404799998</v>
      </c>
      <c r="AO335" s="827">
        <f t="shared" si="726"/>
        <v>1078153.1893559999</v>
      </c>
      <c r="AP335" s="827">
        <f t="shared" si="726"/>
        <v>873728.45346999995</v>
      </c>
      <c r="AQ335" s="827">
        <f t="shared" si="726"/>
        <v>233486.00994599998</v>
      </c>
      <c r="AR335" s="827">
        <f t="shared" si="726"/>
        <v>2849812.15711</v>
      </c>
      <c r="AS335" s="827">
        <f t="shared" si="726"/>
        <v>2533079.0787839997</v>
      </c>
      <c r="AT335" s="827">
        <f t="shared" si="726"/>
        <v>1835068.1168519999</v>
      </c>
      <c r="AU335" s="827">
        <f t="shared" si="726"/>
        <v>1707182.3016489998</v>
      </c>
      <c r="AV335" s="827">
        <f t="shared" si="726"/>
        <v>564957.52268399997</v>
      </c>
      <c r="AW335" s="829">
        <f t="shared" ref="AW335:BB335" si="727">AW152</f>
        <v>6.6887141533180955E-2</v>
      </c>
      <c r="AX335" s="829">
        <f t="shared" si="727"/>
        <v>0.10320416130475131</v>
      </c>
      <c r="AY335" s="829">
        <f t="shared" si="727"/>
        <v>0.1042305909451023</v>
      </c>
      <c r="AZ335" s="829">
        <f t="shared" si="727"/>
        <v>8.9356060721890396E-2</v>
      </c>
      <c r="BA335" s="829">
        <f t="shared" si="727"/>
        <v>0.14817524780247732</v>
      </c>
      <c r="BB335" s="829">
        <f t="shared" si="727"/>
        <v>0.13808177652640458</v>
      </c>
    </row>
    <row r="336" spans="1:54" ht="15" customHeight="1">
      <c r="A336" s="535">
        <v>2005</v>
      </c>
      <c r="B336" s="449"/>
      <c r="C336" s="51"/>
      <c r="D336" s="51"/>
      <c r="E336" s="51"/>
      <c r="F336" s="51"/>
      <c r="G336" s="51"/>
      <c r="H336" s="51"/>
      <c r="I336" s="536" t="s">
        <v>318</v>
      </c>
      <c r="J336" s="677" t="s">
        <v>914</v>
      </c>
      <c r="K336" s="543">
        <f t="shared" ref="K336:O336" si="728">LN(K153)</f>
        <v>9.2537263567902244</v>
      </c>
      <c r="L336" s="543">
        <f t="shared" si="728"/>
        <v>9.2202793958347335</v>
      </c>
      <c r="M336" s="543">
        <f t="shared" si="728"/>
        <v>9.0481063689418306</v>
      </c>
      <c r="N336" s="543">
        <f t="shared" si="728"/>
        <v>9.5217162136818398</v>
      </c>
      <c r="O336" s="543">
        <f t="shared" si="728"/>
        <v>8.9447123316820605</v>
      </c>
      <c r="P336" s="149">
        <f t="shared" si="601"/>
        <v>-4.8237157416333838E-2</v>
      </c>
      <c r="Q336" s="149">
        <f t="shared" si="602"/>
        <v>0.15952562473528165</v>
      </c>
      <c r="R336" s="149">
        <f t="shared" si="603"/>
        <v>0.18358578903883227</v>
      </c>
      <c r="S336" s="149">
        <f t="shared" si="604"/>
        <v>0.11139203024815789</v>
      </c>
      <c r="T336" s="149">
        <f t="shared" si="605"/>
        <v>0.21671352399418323</v>
      </c>
      <c r="U336" s="51">
        <f t="shared" si="606"/>
        <v>0.94142939969073958</v>
      </c>
      <c r="V336" s="51">
        <f t="shared" si="607"/>
        <v>0.93087368104690127</v>
      </c>
      <c r="W336" s="51">
        <f t="shared" si="608"/>
        <v>0.92563269750139165</v>
      </c>
      <c r="X336" s="51">
        <f t="shared" si="609"/>
        <v>0.91887808623468004</v>
      </c>
      <c r="Y336" s="51">
        <f t="shared" si="610"/>
        <v>0.90970637672024368</v>
      </c>
      <c r="Z336" s="51">
        <f t="shared" si="611"/>
        <v>1.8565857207054309E-2</v>
      </c>
      <c r="AA336" s="51">
        <f t="shared" si="612"/>
        <v>2.1846837843719883E-2</v>
      </c>
      <c r="AB336" s="51">
        <f t="shared" si="613"/>
        <v>2.2243295462759785E-2</v>
      </c>
      <c r="AC336" s="51">
        <f t="shared" si="614"/>
        <v>4.0346603918454897E-2</v>
      </c>
      <c r="AD336" s="62">
        <f t="shared" si="615"/>
        <v>2.7090555730643971E-2</v>
      </c>
      <c r="AF336" s="701">
        <f t="shared" si="596"/>
        <v>-1.787336850994037E-3</v>
      </c>
      <c r="AI336" s="701">
        <f t="shared" si="597"/>
        <v>-1.010938582336611E-2</v>
      </c>
      <c r="AJ336" s="209"/>
      <c r="AK336" s="678">
        <f t="shared" si="616"/>
        <v>0.1033940372597711</v>
      </c>
      <c r="AL336" s="51">
        <f t="shared" si="617"/>
        <v>1.5926320781147973E-2</v>
      </c>
      <c r="AM336" s="827">
        <f t="shared" ref="AM336:AV336" si="729">AM153</f>
        <v>32946.323858000003</v>
      </c>
      <c r="AN336" s="827">
        <f t="shared" si="729"/>
        <v>31957.390455999997</v>
      </c>
      <c r="AO336" s="827">
        <f t="shared" si="729"/>
        <v>28426.642368000001</v>
      </c>
      <c r="AP336" s="827">
        <f t="shared" si="729"/>
        <v>27451.116482999998</v>
      </c>
      <c r="AQ336" s="827">
        <f t="shared" si="729"/>
        <v>25555.146461999997</v>
      </c>
      <c r="AR336" s="827">
        <f t="shared" si="729"/>
        <v>16076.464120000001</v>
      </c>
      <c r="AS336" s="827">
        <f t="shared" si="729"/>
        <v>15342.073031999998</v>
      </c>
      <c r="AT336" s="827">
        <f t="shared" si="729"/>
        <v>13993.677228</v>
      </c>
      <c r="AU336" s="827">
        <f t="shared" si="729"/>
        <v>306721.02215799998</v>
      </c>
      <c r="AV336" s="827">
        <f t="shared" si="729"/>
        <v>10498.956425999999</v>
      </c>
      <c r="AW336" s="829">
        <f t="shared" ref="AW336:BB336" si="730">AW153</f>
        <v>0.1582628888605695</v>
      </c>
      <c r="AX336" s="829">
        <f t="shared" si="730"/>
        <v>4.9583751980866071E-3</v>
      </c>
      <c r="AY336" s="829">
        <f t="shared" si="730"/>
        <v>0.11154494037326669</v>
      </c>
      <c r="AZ336" s="829">
        <f t="shared" si="730"/>
        <v>0.14984364899397595</v>
      </c>
      <c r="BA336" s="829">
        <f t="shared" si="730"/>
        <v>9.0504324369462975E-3</v>
      </c>
      <c r="BB336" s="829">
        <f t="shared" si="730"/>
        <v>0.10733319699869337</v>
      </c>
    </row>
    <row r="337" spans="1:54" ht="15" customHeight="1">
      <c r="A337" s="535">
        <v>2005</v>
      </c>
      <c r="B337" s="449"/>
      <c r="C337" s="51"/>
      <c r="D337" s="51"/>
      <c r="E337" s="51"/>
      <c r="F337" s="51"/>
      <c r="G337" s="51"/>
      <c r="H337" s="51"/>
      <c r="I337" s="536" t="s">
        <v>318</v>
      </c>
      <c r="J337" s="677" t="s">
        <v>915</v>
      </c>
      <c r="K337" s="543">
        <f t="shared" ref="K337:O337" si="731">LN(K154)</f>
        <v>10.075129626278382</v>
      </c>
      <c r="L337" s="543">
        <f t="shared" si="731"/>
        <v>9.8801032214621625</v>
      </c>
      <c r="M337" s="543">
        <f t="shared" si="731"/>
        <v>9.7496729775193192</v>
      </c>
      <c r="N337" s="543">
        <f t="shared" si="731"/>
        <v>9.6600505899184679</v>
      </c>
      <c r="O337" s="543">
        <f t="shared" si="731"/>
        <v>9.5186151573184219</v>
      </c>
      <c r="P337" s="149">
        <f t="shared" si="601"/>
        <v>0.24737647076638852</v>
      </c>
      <c r="Q337" s="149">
        <f t="shared" si="602"/>
        <v>0.30559375027368829</v>
      </c>
      <c r="R337" s="149">
        <f t="shared" si="603"/>
        <v>0.34643289546749684</v>
      </c>
      <c r="S337" s="149">
        <f t="shared" si="604"/>
        <v>0.34221591923359185</v>
      </c>
      <c r="T337" s="149">
        <f t="shared" si="605"/>
        <v>0.34663317131778709</v>
      </c>
      <c r="U337" s="51">
        <f t="shared" si="606"/>
        <v>0.93866572091492928</v>
      </c>
      <c r="V337" s="51">
        <f t="shared" si="607"/>
        <v>0.93813327431152627</v>
      </c>
      <c r="W337" s="51">
        <f t="shared" si="608"/>
        <v>0.93529513710725143</v>
      </c>
      <c r="X337" s="51">
        <f t="shared" si="609"/>
        <v>0.92863616837775331</v>
      </c>
      <c r="Y337" s="51">
        <f t="shared" si="610"/>
        <v>0.92481801159680876</v>
      </c>
      <c r="Z337" s="51">
        <f t="shared" si="611"/>
        <v>2.2573954509911166E-2</v>
      </c>
      <c r="AA337" s="51">
        <f t="shared" si="612"/>
        <v>2.1380612197702833E-2</v>
      </c>
      <c r="AB337" s="51">
        <f t="shared" si="613"/>
        <v>2.3388307953825922E-2</v>
      </c>
      <c r="AC337" s="51">
        <f t="shared" si="614"/>
        <v>2.5736871538466842E-2</v>
      </c>
      <c r="AD337" s="62">
        <f t="shared" si="615"/>
        <v>2.6916438357372566E-2</v>
      </c>
      <c r="AF337" s="701">
        <f t="shared" si="596"/>
        <v>-1.2276511438663821E-3</v>
      </c>
      <c r="AI337" s="701">
        <f t="shared" si="597"/>
        <v>1.1214997953568201E-3</v>
      </c>
      <c r="AJ337" s="209"/>
      <c r="AK337" s="678">
        <f t="shared" si="616"/>
        <v>0.23105782020089771</v>
      </c>
      <c r="AL337" s="51">
        <f t="shared" si="617"/>
        <v>1.0477125510442664E-2</v>
      </c>
      <c r="AM337" s="827">
        <f t="shared" ref="AM337:AV337" si="732">AM154</f>
        <v>64514.228454000004</v>
      </c>
      <c r="AN337" s="827">
        <f t="shared" si="732"/>
        <v>56534.207015999993</v>
      </c>
      <c r="AO337" s="827">
        <f t="shared" si="732"/>
        <v>47442.470064000001</v>
      </c>
      <c r="AP337" s="827">
        <f t="shared" si="732"/>
        <v>43473.946954999999</v>
      </c>
      <c r="AQ337" s="827">
        <f t="shared" si="732"/>
        <v>38017.035936</v>
      </c>
      <c r="AR337" s="827">
        <f t="shared" si="732"/>
        <v>28092.641216</v>
      </c>
      <c r="AS337" s="827">
        <f t="shared" si="732"/>
        <v>26621.091623999997</v>
      </c>
      <c r="AT337" s="827">
        <f t="shared" si="732"/>
        <v>29038.897944</v>
      </c>
      <c r="AU337" s="827">
        <f t="shared" si="732"/>
        <v>15893.308134999999</v>
      </c>
      <c r="AV337" s="827">
        <f t="shared" si="732"/>
        <v>15168.429845999999</v>
      </c>
      <c r="AW337" s="829">
        <f t="shared" ref="AW337:BB337" si="733">AW154</f>
        <v>0.31103662540550603</v>
      </c>
      <c r="AX337" s="829">
        <f t="shared" si="733"/>
        <v>0.33759232989287286</v>
      </c>
      <c r="AY337" s="829">
        <f t="shared" si="733"/>
        <v>0.2045823522454816</v>
      </c>
      <c r="AZ337" s="829">
        <f t="shared" si="733"/>
        <v>0.29698240382969732</v>
      </c>
      <c r="BA337" s="829">
        <f t="shared" si="733"/>
        <v>0.32230801485716915</v>
      </c>
      <c r="BB337" s="829">
        <f t="shared" si="733"/>
        <v>0.19944735843769112</v>
      </c>
    </row>
    <row r="338" spans="1:54" s="684" customFormat="1" ht="15" customHeight="1">
      <c r="A338" s="535">
        <v>2007</v>
      </c>
      <c r="B338" s="449"/>
      <c r="C338" s="51"/>
      <c r="D338" s="51"/>
      <c r="E338" s="51"/>
      <c r="F338" s="51"/>
      <c r="G338" s="51"/>
      <c r="H338" s="51"/>
      <c r="I338" s="536" t="s">
        <v>327</v>
      </c>
      <c r="J338" s="677" t="s">
        <v>1067</v>
      </c>
      <c r="K338" s="543">
        <f t="shared" ref="K338:O338" si="734">LN(K155)</f>
        <v>9.7268149899078509</v>
      </c>
      <c r="L338" s="543">
        <f t="shared" si="734"/>
        <v>9.6448935644358649</v>
      </c>
      <c r="M338" s="543">
        <f t="shared" si="734"/>
        <v>9.7819354717820222</v>
      </c>
      <c r="N338" s="543">
        <f t="shared" si="734"/>
        <v>2.7884399254815611</v>
      </c>
      <c r="O338" s="543">
        <f t="shared" si="734"/>
        <v>9.5331776765278349</v>
      </c>
      <c r="P338" s="149">
        <f t="shared" si="601"/>
        <v>0.30559316840783968</v>
      </c>
      <c r="Q338" s="149">
        <f t="shared" si="602"/>
        <v>0.25940448601224964</v>
      </c>
      <c r="R338" s="149">
        <f t="shared" si="603"/>
        <v>0.20015023702936727</v>
      </c>
      <c r="S338" s="149">
        <f t="shared" si="604"/>
        <v>0.25263157894736843</v>
      </c>
      <c r="T338" s="149">
        <f t="shared" si="605"/>
        <v>0.29999886963500516</v>
      </c>
      <c r="U338" s="51">
        <f t="shared" si="606"/>
        <v>0.92937290445391429</v>
      </c>
      <c r="V338" s="51">
        <f t="shared" si="607"/>
        <v>0.92605477233723799</v>
      </c>
      <c r="W338" s="51">
        <f t="shared" si="608"/>
        <v>0.924186235848941</v>
      </c>
      <c r="X338" s="51">
        <f t="shared" si="609"/>
        <v>0.91827768014059763</v>
      </c>
      <c r="Y338" s="51">
        <f t="shared" si="610"/>
        <v>0.91726821713565732</v>
      </c>
      <c r="Z338" s="51">
        <f t="shared" si="611"/>
        <v>2.1886045555819942E-2</v>
      </c>
      <c r="AA338" s="51">
        <f t="shared" si="612"/>
        <v>2.367972012381777E-2</v>
      </c>
      <c r="AB338" s="51">
        <f t="shared" si="613"/>
        <v>2.6244363420135197E-2</v>
      </c>
      <c r="AC338" s="51">
        <f t="shared" si="614"/>
        <v>2.7826596367896899E-2</v>
      </c>
      <c r="AD338" s="62">
        <f t="shared" si="615"/>
        <v>2.7645384592308152E-2</v>
      </c>
      <c r="AF338" s="701">
        <f t="shared" si="596"/>
        <v>-3.0407685690925189E-3</v>
      </c>
      <c r="AI338" s="701">
        <f t="shared" si="597"/>
        <v>-3.0960873539902012E-2</v>
      </c>
      <c r="AJ338" s="209"/>
      <c r="AK338" s="678">
        <f t="shared" si="616"/>
        <v>0.24875779525418854</v>
      </c>
      <c r="AL338" s="51">
        <f t="shared" si="617"/>
        <v>6.9180187132836801E-3</v>
      </c>
      <c r="AM338" s="827">
        <f t="shared" ref="AM338:AV338" si="735">AM155</f>
        <v>54088.647821999999</v>
      </c>
      <c r="AN338" s="827">
        <f t="shared" si="735"/>
        <v>48223.379099999998</v>
      </c>
      <c r="AO338" s="827">
        <f t="shared" si="735"/>
        <v>51162.60095</v>
      </c>
      <c r="AP338" s="827">
        <f t="shared" si="735"/>
        <v>47.740247999999994</v>
      </c>
      <c r="AQ338" s="827">
        <f t="shared" si="735"/>
        <v>41329.124675999999</v>
      </c>
      <c r="AR338" s="827">
        <f t="shared" si="735"/>
        <v>19274.160367</v>
      </c>
      <c r="AS338" s="827">
        <f t="shared" si="735"/>
        <v>18857.6531</v>
      </c>
      <c r="AT338" s="827">
        <f t="shared" si="735"/>
        <v>21273.358236</v>
      </c>
      <c r="AU338" s="827">
        <f t="shared" si="735"/>
        <v>20.191215999999997</v>
      </c>
      <c r="AV338" s="827">
        <f t="shared" si="735"/>
        <v>15206.168064</v>
      </c>
      <c r="AW338" s="829">
        <f t="shared" ref="AW338:BB338" si="736">AW155</f>
        <v>0.27246222076215504</v>
      </c>
      <c r="AX338" s="829">
        <f t="shared" si="736"/>
        <v>0.20338983050847462</v>
      </c>
      <c r="AY338" s="829">
        <f t="shared" si="736"/>
        <v>0.16663286175481296</v>
      </c>
      <c r="AZ338" s="829">
        <f t="shared" si="736"/>
        <v>0.25821451960364128</v>
      </c>
      <c r="BA338" s="829">
        <f t="shared" si="736"/>
        <v>0.19379821870066433</v>
      </c>
      <c r="BB338" s="829">
        <f t="shared" si="736"/>
        <v>0.15925261283314246</v>
      </c>
    </row>
    <row r="339" spans="1:54" s="684" customFormat="1" ht="15" customHeight="1">
      <c r="A339" s="535">
        <v>2007</v>
      </c>
      <c r="B339" s="449"/>
      <c r="C339" s="51"/>
      <c r="D339" s="51"/>
      <c r="E339" s="51"/>
      <c r="F339" s="51"/>
      <c r="G339" s="51"/>
      <c r="H339" s="51"/>
      <c r="I339" s="536" t="s">
        <v>327</v>
      </c>
      <c r="J339" s="677" t="s">
        <v>1068</v>
      </c>
      <c r="K339" s="543">
        <f t="shared" ref="K339:O339" si="737">LN(K156)</f>
        <v>10.18329694091204</v>
      </c>
      <c r="L339" s="543">
        <f t="shared" si="737"/>
        <v>10.039017497411496</v>
      </c>
      <c r="M339" s="543">
        <f t="shared" si="737"/>
        <v>10.073750660587043</v>
      </c>
      <c r="N339" s="543">
        <f t="shared" si="737"/>
        <v>9.9519139545521291</v>
      </c>
      <c r="O339" s="543">
        <f t="shared" si="737"/>
        <v>9.8139008023361427</v>
      </c>
      <c r="P339" s="149">
        <f t="shared" si="601"/>
        <v>0.34413840171812482</v>
      </c>
      <c r="Q339" s="149">
        <f t="shared" si="602"/>
        <v>0.24373382444244468</v>
      </c>
      <c r="R339" s="149">
        <f t="shared" si="603"/>
        <v>0.17996542625784734</v>
      </c>
      <c r="S339" s="149">
        <f t="shared" si="604"/>
        <v>0.28441825206631777</v>
      </c>
      <c r="T339" s="149">
        <f t="shared" si="605"/>
        <v>0.32706721986033566</v>
      </c>
      <c r="U339" s="51">
        <f t="shared" si="606"/>
        <v>0.94091581700443361</v>
      </c>
      <c r="V339" s="51">
        <f t="shared" si="607"/>
        <v>0.93942370962657962</v>
      </c>
      <c r="W339" s="51">
        <f t="shared" si="608"/>
        <v>0.94011826217920746</v>
      </c>
      <c r="X339" s="51">
        <f t="shared" si="609"/>
        <v>0.93809074095935152</v>
      </c>
      <c r="Y339" s="51">
        <f t="shared" si="610"/>
        <v>0.93372616181478918</v>
      </c>
      <c r="Z339" s="51">
        <f t="shared" si="611"/>
        <v>2.2337235485810993E-2</v>
      </c>
      <c r="AA339" s="51">
        <f t="shared" si="612"/>
        <v>2.3135960505744166E-2</v>
      </c>
      <c r="AB339" s="51">
        <f t="shared" si="613"/>
        <v>2.2572844196852619E-2</v>
      </c>
      <c r="AC339" s="51">
        <f t="shared" si="614"/>
        <v>2.2988234368236733E-2</v>
      </c>
      <c r="AD339" s="62">
        <f t="shared" si="615"/>
        <v>2.4939555568424629E-2</v>
      </c>
      <c r="AF339" s="701">
        <f t="shared" si="596"/>
        <v>-4.0945795765784405E-3</v>
      </c>
      <c r="AI339" s="701">
        <f t="shared" si="597"/>
        <v>-5.5243546189001416E-2</v>
      </c>
      <c r="AJ339" s="209"/>
      <c r="AK339" s="678">
        <f t="shared" si="616"/>
        <v>0.25984985825090001</v>
      </c>
      <c r="AL339" s="51">
        <f t="shared" si="617"/>
        <v>6.392100364418285E-3</v>
      </c>
      <c r="AM339" s="827">
        <f t="shared" ref="AM339:AV339" si="738">AM156</f>
        <v>69982.826805999997</v>
      </c>
      <c r="AN339" s="827">
        <f t="shared" si="738"/>
        <v>15025.250109999999</v>
      </c>
      <c r="AO339" s="827">
        <f t="shared" si="738"/>
        <v>62907.840543999999</v>
      </c>
      <c r="AP339" s="827">
        <f t="shared" si="738"/>
        <v>56534.207015999993</v>
      </c>
      <c r="AQ339" s="827">
        <f t="shared" si="738"/>
        <v>48593.142132000001</v>
      </c>
      <c r="AR339" s="827">
        <f t="shared" si="738"/>
        <v>35660.518182</v>
      </c>
      <c r="AS339" s="827">
        <f t="shared" si="738"/>
        <v>34677.599190000001</v>
      </c>
      <c r="AT339" s="827">
        <f t="shared" si="738"/>
        <v>28114.215536</v>
      </c>
      <c r="AU339" s="827">
        <f t="shared" si="738"/>
        <v>26643.507295999996</v>
      </c>
      <c r="AV339" s="827">
        <f t="shared" si="738"/>
        <v>29184.858924</v>
      </c>
      <c r="AW339" s="829">
        <f t="shared" ref="AW339:BB339" si="739">AW156</f>
        <v>0.2049285114440528</v>
      </c>
      <c r="AX339" s="829">
        <f t="shared" si="739"/>
        <v>0.22409253217561079</v>
      </c>
      <c r="AY339" s="829">
        <f t="shared" si="739"/>
        <v>0.15178799815828517</v>
      </c>
      <c r="AZ339" s="829">
        <f t="shared" si="739"/>
        <v>0.19950406601729709</v>
      </c>
      <c r="BA339" s="829">
        <f t="shared" si="739"/>
        <v>0.21675740298918081</v>
      </c>
      <c r="BB339" s="829">
        <f t="shared" si="739"/>
        <v>0.14676054846019054</v>
      </c>
    </row>
    <row r="340" spans="1:54" ht="15" customHeight="1">
      <c r="A340" s="535">
        <v>2007</v>
      </c>
      <c r="B340" s="449"/>
      <c r="C340" s="51"/>
      <c r="D340" s="51"/>
      <c r="E340" s="51"/>
      <c r="F340" s="51"/>
      <c r="G340" s="51"/>
      <c r="H340" s="51"/>
      <c r="I340" s="536" t="s">
        <v>327</v>
      </c>
      <c r="J340" s="677" t="s">
        <v>916</v>
      </c>
      <c r="K340" s="543">
        <f t="shared" ref="K340:O340" si="740">LN(K157)</f>
        <v>12.17341283918334</v>
      </c>
      <c r="L340" s="543">
        <f t="shared" si="740"/>
        <v>11.951895927138162</v>
      </c>
      <c r="M340" s="543">
        <f t="shared" si="740"/>
        <v>12.299399914565742</v>
      </c>
      <c r="N340" s="543">
        <f t="shared" si="740"/>
        <v>12.791929028458389</v>
      </c>
      <c r="O340" s="543">
        <f t="shared" si="740"/>
        <v>12.50378138786677</v>
      </c>
      <c r="P340" s="149">
        <f t="shared" si="601"/>
        <v>0.19139882857563423</v>
      </c>
      <c r="Q340" s="149">
        <f t="shared" si="602"/>
        <v>0.20277512543274429</v>
      </c>
      <c r="R340" s="149">
        <f t="shared" si="603"/>
        <v>0.20402078848526883</v>
      </c>
      <c r="S340" s="149">
        <f t="shared" si="604"/>
        <v>0.28102063597589894</v>
      </c>
      <c r="T340" s="149">
        <f t="shared" si="605"/>
        <v>0.29672493803004812</v>
      </c>
      <c r="U340" s="51">
        <f t="shared" si="606"/>
        <v>0.64661267237658182</v>
      </c>
      <c r="V340" s="51">
        <f t="shared" si="607"/>
        <v>0.57048142004706615</v>
      </c>
      <c r="W340" s="51">
        <f t="shared" si="608"/>
        <v>0.7166791647054449</v>
      </c>
      <c r="X340" s="51">
        <f t="shared" si="609"/>
        <v>0.81111634994443893</v>
      </c>
      <c r="Y340" s="51">
        <f t="shared" si="610"/>
        <v>0.88368675245302175</v>
      </c>
      <c r="Z340" s="51">
        <f t="shared" si="611"/>
        <v>0.44243966346335883</v>
      </c>
      <c r="AA340" s="51">
        <f t="shared" si="612"/>
        <v>0.47155461542011018</v>
      </c>
      <c r="AB340" s="51">
        <f t="shared" si="613"/>
        <v>0.42834239528829787</v>
      </c>
      <c r="AC340" s="51">
        <f t="shared" si="614"/>
        <v>0.42510021546248522</v>
      </c>
      <c r="AD340" s="62">
        <f t="shared" si="615"/>
        <v>0.47664908894470953</v>
      </c>
      <c r="AF340" s="701">
        <f t="shared" si="596"/>
        <v>-5.4042918150810623E-2</v>
      </c>
      <c r="AI340" s="701">
        <f t="shared" si="597"/>
        <v>-0.90752349389588982</v>
      </c>
      <c r="AK340" s="678">
        <f t="shared" si="616"/>
        <v>-0.20438147330102677</v>
      </c>
      <c r="AL340" s="51">
        <f t="shared" si="617"/>
        <v>-0.16700758774757685</v>
      </c>
      <c r="AM340" s="827">
        <f t="shared" ref="AM340:AV340" si="741">AM157</f>
        <v>154611.908283</v>
      </c>
      <c r="AN340" s="827">
        <f t="shared" si="741"/>
        <v>141283.65237999998</v>
      </c>
      <c r="AO340" s="827">
        <f t="shared" si="741"/>
        <v>145227.53508</v>
      </c>
      <c r="AP340" s="827">
        <f t="shared" si="741"/>
        <v>159649.37823199999</v>
      </c>
      <c r="AQ340" s="827">
        <f t="shared" si="741"/>
        <v>65728.336752000003</v>
      </c>
      <c r="AR340" s="827">
        <f t="shared" si="741"/>
        <v>3691.2584019999999</v>
      </c>
      <c r="AS340" s="827">
        <f t="shared" si="741"/>
        <v>41540.519540000001</v>
      </c>
      <c r="AT340" s="827">
        <f t="shared" si="741"/>
        <v>53645.984967999997</v>
      </c>
      <c r="AU340" s="827">
        <f t="shared" si="741"/>
        <v>48007.011607999993</v>
      </c>
      <c r="AV340" s="827">
        <f t="shared" si="741"/>
        <v>36287.929032</v>
      </c>
      <c r="AW340" s="829">
        <f t="shared" ref="AW340:BB340" si="742">AW157</f>
        <v>2.2024959776988133</v>
      </c>
      <c r="AX340" s="829">
        <f t="shared" si="742"/>
        <v>2.1032830884056475</v>
      </c>
      <c r="AY340" s="829">
        <f t="shared" si="742"/>
        <v>0.83502352641527144</v>
      </c>
      <c r="AZ340" s="829">
        <f t="shared" si="742"/>
        <v>2.0877507659417036</v>
      </c>
      <c r="BA340" s="829">
        <f t="shared" si="742"/>
        <v>1.8254692344702148</v>
      </c>
      <c r="BB340" s="829">
        <f t="shared" si="742"/>
        <v>0.68583471664907891</v>
      </c>
    </row>
    <row r="341" spans="1:54" ht="15" customHeight="1">
      <c r="A341" s="535">
        <v>2007</v>
      </c>
      <c r="B341" s="449"/>
      <c r="C341" s="51"/>
      <c r="D341" s="51"/>
      <c r="E341" s="51"/>
      <c r="F341" s="51"/>
      <c r="G341" s="51"/>
      <c r="H341" s="51"/>
      <c r="I341" s="536" t="s">
        <v>327</v>
      </c>
      <c r="J341" s="677" t="s">
        <v>917</v>
      </c>
      <c r="K341" s="543">
        <f t="shared" ref="K341:O341" si="743">LN(K158)</f>
        <v>12.736513737902779</v>
      </c>
      <c r="L341" s="543">
        <f t="shared" si="743"/>
        <v>12.719611106224294</v>
      </c>
      <c r="M341" s="543">
        <f t="shared" si="743"/>
        <v>12.645329126355652</v>
      </c>
      <c r="N341" s="543">
        <f t="shared" si="743"/>
        <v>12.576575694996292</v>
      </c>
      <c r="O341" s="543">
        <f t="shared" si="743"/>
        <v>12.473519326456843</v>
      </c>
      <c r="P341" s="149">
        <f t="shared" si="601"/>
        <v>0.4307992202729044</v>
      </c>
      <c r="Q341" s="149">
        <f t="shared" si="602"/>
        <v>0.32026768642447417</v>
      </c>
      <c r="R341" s="149">
        <f t="shared" si="603"/>
        <v>0.26071842410196988</v>
      </c>
      <c r="S341" s="149">
        <f t="shared" si="604"/>
        <v>0.36680448907265212</v>
      </c>
      <c r="T341" s="149">
        <f t="shared" si="605"/>
        <v>0.46535244922341695</v>
      </c>
      <c r="U341" s="51">
        <f t="shared" si="606"/>
        <v>0.93172174093479276</v>
      </c>
      <c r="V341" s="51">
        <f t="shared" si="607"/>
        <v>0.93889978698566667</v>
      </c>
      <c r="W341" s="51">
        <f t="shared" si="608"/>
        <v>0.94381082179661901</v>
      </c>
      <c r="X341" s="51">
        <f t="shared" si="609"/>
        <v>0.93829421543489899</v>
      </c>
      <c r="Y341" s="51">
        <f t="shared" si="610"/>
        <v>0.94430695045426238</v>
      </c>
      <c r="Z341" s="51">
        <f t="shared" si="611"/>
        <v>2.128961975411112E-2</v>
      </c>
      <c r="AA341" s="51">
        <f t="shared" si="612"/>
        <v>2.5176609341340424E-2</v>
      </c>
      <c r="AB341" s="51">
        <f t="shared" si="613"/>
        <v>2.0634579059369246E-2</v>
      </c>
      <c r="AC341" s="51">
        <f t="shared" si="614"/>
        <v>2.3851117184638358E-2</v>
      </c>
      <c r="AD341" s="62">
        <f t="shared" si="615"/>
        <v>2.6728831691388972E-2</v>
      </c>
      <c r="AF341" s="701">
        <f t="shared" si="596"/>
        <v>-7.0585123581020882E-3</v>
      </c>
      <c r="AI341" s="701">
        <f t="shared" si="597"/>
        <v>-0.12767689049800984</v>
      </c>
      <c r="AK341" s="678">
        <f t="shared" si="616"/>
        <v>0.1718097998988091</v>
      </c>
      <c r="AL341" s="51">
        <f t="shared" si="617"/>
        <v>-4.9612865764336878E-4</v>
      </c>
      <c r="AM341" s="827">
        <f t="shared" ref="AM341:AV341" si="744">AM158</f>
        <v>1090215.041</v>
      </c>
      <c r="AN341" s="827">
        <f t="shared" si="744"/>
        <v>811152.28999999992</v>
      </c>
      <c r="AO341" s="827">
        <f t="shared" si="744"/>
        <v>845173.98600000003</v>
      </c>
      <c r="AP341" s="827">
        <f t="shared" si="744"/>
        <v>749470.55999999994</v>
      </c>
      <c r="AQ341" s="827">
        <f t="shared" si="744"/>
        <v>544348.59600000002</v>
      </c>
      <c r="AR341" s="827">
        <f t="shared" si="744"/>
        <v>663140.98300000001</v>
      </c>
      <c r="AS341" s="827">
        <f t="shared" si="744"/>
        <v>823454.58</v>
      </c>
      <c r="AT341" s="827">
        <f t="shared" si="744"/>
        <v>583944.92799999996</v>
      </c>
      <c r="AU341" s="827">
        <f t="shared" si="744"/>
        <v>502555.94399999996</v>
      </c>
      <c r="AV341" s="827">
        <f t="shared" si="744"/>
        <v>579785.11199999996</v>
      </c>
      <c r="AW341" s="829">
        <f t="shared" ref="AW341:BB341" si="745">AW158</f>
        <v>0.20974690360796985</v>
      </c>
      <c r="AX341" s="829">
        <f t="shared" si="745"/>
        <v>0.21144024514811033</v>
      </c>
      <c r="AY341" s="829">
        <f t="shared" si="745"/>
        <v>0.13854679802955666</v>
      </c>
      <c r="AZ341" s="829">
        <f t="shared" si="745"/>
        <v>0.21050714738262349</v>
      </c>
      <c r="BA341" s="829">
        <f t="shared" si="745"/>
        <v>0.20714185578533212</v>
      </c>
      <c r="BB341" s="829">
        <f t="shared" si="745"/>
        <v>0.1361401546647385</v>
      </c>
    </row>
    <row r="342" spans="1:54" s="684" customFormat="1" ht="15" customHeight="1">
      <c r="A342" s="535">
        <v>2007</v>
      </c>
      <c r="B342" s="449"/>
      <c r="C342" s="51"/>
      <c r="D342" s="51"/>
      <c r="E342" s="51"/>
      <c r="F342" s="51"/>
      <c r="G342" s="51"/>
      <c r="H342" s="51"/>
      <c r="I342" s="536" t="s">
        <v>328</v>
      </c>
      <c r="J342" s="677" t="s">
        <v>921</v>
      </c>
      <c r="K342" s="543">
        <f t="shared" ref="K342:O342" si="746">LN(K159)</f>
        <v>14.067951600305499</v>
      </c>
      <c r="L342" s="543">
        <f t="shared" si="746"/>
        <v>13.838198466360209</v>
      </c>
      <c r="M342" s="543">
        <f t="shared" si="746"/>
        <v>13.703573965051669</v>
      </c>
      <c r="N342" s="543">
        <f t="shared" si="746"/>
        <v>13.712992743369327</v>
      </c>
      <c r="O342" s="543">
        <f t="shared" si="746"/>
        <v>13.500713677190323</v>
      </c>
      <c r="P342" s="149">
        <f t="shared" si="601"/>
        <v>1.9172662588088727E-2</v>
      </c>
      <c r="Q342" s="149">
        <f t="shared" si="602"/>
        <v>2.1582245029537889E-2</v>
      </c>
      <c r="R342" s="149">
        <f t="shared" si="603"/>
        <v>1.5786605645527776E-2</v>
      </c>
      <c r="S342" s="149">
        <f t="shared" si="604"/>
        <v>1.3048170071166322E-2</v>
      </c>
      <c r="T342" s="149">
        <f t="shared" si="605"/>
        <v>1.4435031770714483E-2</v>
      </c>
      <c r="U342" s="51">
        <f t="shared" si="606"/>
        <v>0.89736273765260754</v>
      </c>
      <c r="V342" s="51">
        <f t="shared" si="607"/>
        <v>0.88922226756172174</v>
      </c>
      <c r="W342" s="51">
        <f t="shared" si="608"/>
        <v>0.84901366355110486</v>
      </c>
      <c r="X342" s="51">
        <f t="shared" si="609"/>
        <v>0.83923568185314112</v>
      </c>
      <c r="Y342" s="51">
        <f t="shared" si="610"/>
        <v>0.82790804080224512</v>
      </c>
      <c r="Z342" s="51">
        <f t="shared" si="611"/>
        <v>6.3998914388227286</v>
      </c>
      <c r="AA342" s="51">
        <f t="shared" si="612"/>
        <v>5.6919954447138146</v>
      </c>
      <c r="AB342" s="51">
        <f t="shared" si="613"/>
        <v>6.0816927003398469</v>
      </c>
      <c r="AC342" s="51">
        <f t="shared" si="614"/>
        <v>6.0100450637786347</v>
      </c>
      <c r="AD342" s="62">
        <f t="shared" si="615"/>
        <v>5.7203482724619104</v>
      </c>
      <c r="AF342" s="701">
        <f t="shared" si="596"/>
        <v>1.3435875265010708E-2</v>
      </c>
      <c r="AI342" s="701">
        <f t="shared" si="597"/>
        <v>0.15605918917607664</v>
      </c>
      <c r="AK342" s="678">
        <f t="shared" si="616"/>
        <v>0.20286028786134624</v>
      </c>
      <c r="AL342" s="51">
        <f t="shared" si="617"/>
        <v>2.1105622748859743E-2</v>
      </c>
      <c r="AM342" s="827">
        <f t="shared" ref="AM342:AV342" si="747">AM159</f>
        <v>20642.685888</v>
      </c>
      <c r="AN342" s="827">
        <f t="shared" si="747"/>
        <v>19908.620159999999</v>
      </c>
      <c r="AO342" s="827">
        <f t="shared" si="747"/>
        <v>22197.278490000001</v>
      </c>
      <c r="AP342" s="827">
        <f t="shared" si="747"/>
        <v>24142.876527999997</v>
      </c>
      <c r="AQ342" s="827">
        <f t="shared" si="747"/>
        <v>21959.556251999998</v>
      </c>
      <c r="AR342" s="827">
        <f t="shared" si="747"/>
        <v>309.78607</v>
      </c>
      <c r="AS342" s="827">
        <f t="shared" si="747"/>
        <v>0</v>
      </c>
      <c r="AT342" s="827">
        <f t="shared" si="747"/>
        <v>0</v>
      </c>
      <c r="AU342" s="827">
        <f t="shared" si="747"/>
        <v>0</v>
      </c>
      <c r="AV342" s="827">
        <f t="shared" si="747"/>
        <v>0</v>
      </c>
      <c r="AW342" s="829" t="e">
        <f t="shared" ref="AW342:BB342" si="748">AW159</f>
        <v>#DIV/0!</v>
      </c>
      <c r="AX342" s="829" t="e">
        <f t="shared" si="748"/>
        <v>#DIV/0!</v>
      </c>
      <c r="AY342" s="829" t="e">
        <f t="shared" si="748"/>
        <v>#DIV/0!</v>
      </c>
      <c r="AZ342" s="829" t="e">
        <f t="shared" si="748"/>
        <v>#DIV/0!</v>
      </c>
      <c r="BA342" s="829" t="e">
        <f t="shared" si="748"/>
        <v>#DIV/0!</v>
      </c>
      <c r="BB342" s="829" t="e">
        <f t="shared" si="748"/>
        <v>#DIV/0!</v>
      </c>
    </row>
    <row r="343" spans="1:54" s="684" customFormat="1" ht="15" customHeight="1">
      <c r="A343" s="535">
        <v>2007</v>
      </c>
      <c r="B343" s="449"/>
      <c r="C343" s="51"/>
      <c r="D343" s="51"/>
      <c r="E343" s="51"/>
      <c r="F343" s="51"/>
      <c r="G343" s="51"/>
      <c r="H343" s="51"/>
      <c r="I343" s="536" t="s">
        <v>328</v>
      </c>
      <c r="J343" s="677" t="s">
        <v>927</v>
      </c>
      <c r="K343" s="543">
        <f t="shared" ref="K343:O343" si="749">LN(K160)</f>
        <v>10.337908173920985</v>
      </c>
      <c r="L343" s="543">
        <f t="shared" si="749"/>
        <v>10.714798024001821</v>
      </c>
      <c r="M343" s="543">
        <f t="shared" si="749"/>
        <v>10.942519189442633</v>
      </c>
      <c r="N343" s="543">
        <f t="shared" si="749"/>
        <v>10.722289619124632</v>
      </c>
      <c r="O343" s="543">
        <f t="shared" si="749"/>
        <v>10.367024562571368</v>
      </c>
      <c r="P343" s="149">
        <f t="shared" si="601"/>
        <v>3.7180883307494646E-2</v>
      </c>
      <c r="Q343" s="149">
        <f t="shared" si="602"/>
        <v>3.2239975582228977E-2</v>
      </c>
      <c r="R343" s="149">
        <f t="shared" si="603"/>
        <v>7.4859983398372271E-2</v>
      </c>
      <c r="S343" s="149">
        <f t="shared" si="604"/>
        <v>2.8351643376693925E-2</v>
      </c>
      <c r="T343" s="149">
        <f t="shared" si="605"/>
        <v>3.4163945695136623E-2</v>
      </c>
      <c r="U343" s="51">
        <f t="shared" si="606"/>
        <v>0.32874314954431227</v>
      </c>
      <c r="V343" s="51">
        <f t="shared" si="607"/>
        <v>0.47095559787291258</v>
      </c>
      <c r="W343" s="51">
        <f t="shared" si="608"/>
        <v>0.6021033418799705</v>
      </c>
      <c r="X343" s="51">
        <f t="shared" si="609"/>
        <v>0.69185729021297249</v>
      </c>
      <c r="Y343" s="51">
        <f t="shared" si="610"/>
        <v>0.66770689551701368</v>
      </c>
      <c r="Z343" s="51">
        <f t="shared" si="611"/>
        <v>1.1288521512701728</v>
      </c>
      <c r="AA343" s="51">
        <f t="shared" si="612"/>
        <v>1.546265249340087</v>
      </c>
      <c r="AB343" s="51">
        <f t="shared" si="613"/>
        <v>1.366420407631133</v>
      </c>
      <c r="AC343" s="51">
        <f t="shared" si="614"/>
        <v>1.1487860480033285</v>
      </c>
      <c r="AD343" s="62">
        <f t="shared" si="615"/>
        <v>1.0185490807977755</v>
      </c>
      <c r="AF343" s="701">
        <f t="shared" si="596"/>
        <v>6.7492553546257161E-2</v>
      </c>
      <c r="AI343" s="701">
        <f t="shared" si="597"/>
        <v>0.15235913836836446</v>
      </c>
      <c r="AK343" s="678">
        <f t="shared" si="616"/>
        <v>0.5754946268712644</v>
      </c>
      <c r="AL343" s="51">
        <f t="shared" si="617"/>
        <v>-6.5603553637043177E-2</v>
      </c>
      <c r="AM343" s="827">
        <f t="shared" ref="AM343:AV343" si="750">AM160</f>
        <v>18362.859206000001</v>
      </c>
      <c r="AN343" s="827">
        <f t="shared" si="750"/>
        <v>15402.30731</v>
      </c>
      <c r="AO343" s="827">
        <f t="shared" si="750"/>
        <v>16461.206160000002</v>
      </c>
      <c r="AP343" s="827">
        <f t="shared" si="750"/>
        <v>12165.720975999999</v>
      </c>
      <c r="AQ343" s="827">
        <f t="shared" si="750"/>
        <v>10372.59606</v>
      </c>
      <c r="AR343" s="827">
        <f t="shared" si="750"/>
        <v>1318.495899</v>
      </c>
      <c r="AS343" s="827">
        <f t="shared" si="750"/>
        <v>4583.3219899999995</v>
      </c>
      <c r="AT343" s="827">
        <f t="shared" si="750"/>
        <v>9813.0794519999999</v>
      </c>
      <c r="AU343" s="827">
        <f t="shared" si="750"/>
        <v>15194.403375999998</v>
      </c>
      <c r="AV343" s="827">
        <f t="shared" si="750"/>
        <v>12327.224328</v>
      </c>
      <c r="AW343" s="829">
        <f t="shared" ref="AW343:BB343" si="751">AW160</f>
        <v>8.8113871792923543E-2</v>
      </c>
      <c r="AX343" s="829">
        <f t="shared" si="751"/>
        <v>8.4630284465866346E-2</v>
      </c>
      <c r="AY343" s="829">
        <f t="shared" si="751"/>
        <v>0.43124106848411564</v>
      </c>
      <c r="AZ343" s="829">
        <f t="shared" si="751"/>
        <v>9.3631427010891388E-2</v>
      </c>
      <c r="BA343" s="829">
        <f t="shared" si="751"/>
        <v>9.1122446553846118E-2</v>
      </c>
      <c r="BB343" s="829">
        <f t="shared" si="751"/>
        <v>0.36194189752063888</v>
      </c>
    </row>
    <row r="344" spans="1:54" s="684" customFormat="1" ht="15" customHeight="1">
      <c r="A344" s="535">
        <v>2007</v>
      </c>
      <c r="B344" s="449"/>
      <c r="C344" s="51"/>
      <c r="D344" s="51"/>
      <c r="E344" s="51"/>
      <c r="F344" s="51"/>
      <c r="G344" s="51"/>
      <c r="H344" s="51"/>
      <c r="I344" s="536" t="s">
        <v>328</v>
      </c>
      <c r="J344" s="677" t="s">
        <v>1066</v>
      </c>
      <c r="K344" s="543">
        <f t="shared" ref="K344:O344" si="752">LN(K161)</f>
        <v>7.8040976275222169</v>
      </c>
      <c r="L344" s="543">
        <f t="shared" si="752"/>
        <v>7.8081027904590634</v>
      </c>
      <c r="M344" s="543">
        <f t="shared" si="752"/>
        <v>8.2013531225548046</v>
      </c>
      <c r="N344" s="543">
        <f t="shared" si="752"/>
        <v>8.2770296136985984</v>
      </c>
      <c r="O344" s="543">
        <f t="shared" si="752"/>
        <v>8.4450229113087509</v>
      </c>
      <c r="P344" s="149">
        <f t="shared" si="601"/>
        <v>10.444128979922937</v>
      </c>
      <c r="Q344" s="149">
        <f t="shared" si="602"/>
        <v>7.1825324675324671</v>
      </c>
      <c r="R344" s="149">
        <f t="shared" si="603"/>
        <v>-13.495685191577495</v>
      </c>
      <c r="S344" s="149">
        <f t="shared" si="604"/>
        <v>1.1310590897223913</v>
      </c>
      <c r="T344" s="149">
        <f t="shared" si="605"/>
        <v>0.10198328802979967</v>
      </c>
      <c r="U344" s="51">
        <f t="shared" si="606"/>
        <v>0.4773799235499418</v>
      </c>
      <c r="V344" s="51">
        <f t="shared" si="607"/>
        <v>0.51392941866395492</v>
      </c>
      <c r="W344" s="51">
        <f t="shared" si="608"/>
        <v>0.60835354693249399</v>
      </c>
      <c r="X344" s="51">
        <f t="shared" si="609"/>
        <v>0.21615360277794485</v>
      </c>
      <c r="Y344" s="51">
        <f t="shared" si="610"/>
        <v>0.36645388622204067</v>
      </c>
      <c r="Z344" s="51">
        <f t="shared" si="611"/>
        <v>6.1463353830812691E-3</v>
      </c>
      <c r="AA344" s="51">
        <f t="shared" si="612"/>
        <v>6.0047320407822687E-3</v>
      </c>
      <c r="AB344" s="51">
        <f t="shared" si="613"/>
        <v>8.5621217206997818E-3</v>
      </c>
      <c r="AC344" s="51">
        <f t="shared" si="614"/>
        <v>1.5023232341720684E-2</v>
      </c>
      <c r="AD344" s="62">
        <f t="shared" si="615"/>
        <v>3.80438668164641E-2</v>
      </c>
      <c r="AF344" s="701">
        <f t="shared" si="596"/>
        <v>-0.11943153794184284</v>
      </c>
      <c r="AI344" s="701">
        <f t="shared" si="597"/>
        <v>-0.30116451519381815</v>
      </c>
      <c r="AK344" s="678">
        <f t="shared" si="616"/>
        <v>-0.24366978875394538</v>
      </c>
      <c r="AL344" s="51">
        <f t="shared" si="617"/>
        <v>0.24189966071045332</v>
      </c>
      <c r="AM344" s="827">
        <f t="shared" ref="AM344:AV344" si="753">AM161</f>
        <v>208375.36356200001</v>
      </c>
      <c r="AN344" s="827">
        <f t="shared" si="753"/>
        <v>199169.12223000001</v>
      </c>
      <c r="AO344" s="827">
        <f t="shared" si="753"/>
        <v>166769.134028</v>
      </c>
      <c r="AP344" s="827">
        <f t="shared" si="753"/>
        <v>205180.22808799997</v>
      </c>
      <c r="AQ344" s="827">
        <f t="shared" si="753"/>
        <v>77467.814459999994</v>
      </c>
      <c r="AR344" s="827">
        <f t="shared" si="753"/>
        <v>107406.64067200001</v>
      </c>
      <c r="AS344" s="827">
        <f t="shared" si="753"/>
        <v>112524.73284</v>
      </c>
      <c r="AT344" s="827">
        <f t="shared" si="753"/>
        <v>145579.735854</v>
      </c>
      <c r="AU344" s="827">
        <f t="shared" si="753"/>
        <v>11865.932751999999</v>
      </c>
      <c r="AV344" s="827">
        <f t="shared" si="753"/>
        <v>17005.468872000001</v>
      </c>
      <c r="AW344" s="829">
        <f t="shared" ref="AW344:BB344" si="754">AW161</f>
        <v>2.7897626085519669E-2</v>
      </c>
      <c r="AX344" s="829">
        <f t="shared" si="754"/>
        <v>0.37484498024399387</v>
      </c>
      <c r="AY344" s="829">
        <f t="shared" si="754"/>
        <v>-0.33798421466670125</v>
      </c>
      <c r="AZ344" s="829">
        <f t="shared" si="754"/>
        <v>1.4103014117645167E-2</v>
      </c>
      <c r="BA344" s="829">
        <f t="shared" si="754"/>
        <v>9.8016320532919157E-2</v>
      </c>
      <c r="BB344" s="829">
        <f t="shared" si="754"/>
        <v>-0.32116545951296283</v>
      </c>
    </row>
    <row r="345" spans="1:54" ht="15" customHeight="1">
      <c r="A345" s="535">
        <v>2007</v>
      </c>
      <c r="B345" s="449"/>
      <c r="C345" s="51"/>
      <c r="D345" s="51"/>
      <c r="E345" s="51"/>
      <c r="F345" s="51"/>
      <c r="G345" s="51"/>
      <c r="H345" s="51"/>
      <c r="I345" s="536" t="s">
        <v>328</v>
      </c>
      <c r="J345" s="677" t="s">
        <v>920</v>
      </c>
      <c r="K345" s="543">
        <f t="shared" ref="K345:O345" si="755">LN(K162)</f>
        <v>16.090087428796899</v>
      </c>
      <c r="L345" s="543">
        <f t="shared" si="755"/>
        <v>16.010905413491137</v>
      </c>
      <c r="M345" s="543">
        <f t="shared" si="755"/>
        <v>16.28277805644327</v>
      </c>
      <c r="N345" s="543">
        <f t="shared" si="755"/>
        <v>16.206876387907005</v>
      </c>
      <c r="O345" s="543">
        <f t="shared" si="755"/>
        <v>15.922596177251387</v>
      </c>
      <c r="P345" s="149">
        <f t="shared" si="601"/>
        <v>-1.5605567575855664E-2</v>
      </c>
      <c r="Q345" s="149">
        <f t="shared" si="602"/>
        <v>4.6080244717934121E-2</v>
      </c>
      <c r="R345" s="149">
        <f t="shared" si="603"/>
        <v>-4.3123560896018542E-2</v>
      </c>
      <c r="S345" s="149">
        <f t="shared" si="604"/>
        <v>0.13150766436500855</v>
      </c>
      <c r="T345" s="149">
        <f t="shared" si="605"/>
        <v>0.21327562970977354</v>
      </c>
      <c r="U345" s="51">
        <f t="shared" si="606"/>
        <v>0.46389691687323653</v>
      </c>
      <c r="V345" s="51">
        <f t="shared" si="607"/>
        <v>0.48329214456202607</v>
      </c>
      <c r="W345" s="51">
        <f t="shared" si="608"/>
        <v>0.52281607990393231</v>
      </c>
      <c r="X345" s="51">
        <f t="shared" si="609"/>
        <v>0.41699721495484848</v>
      </c>
      <c r="Y345" s="51">
        <f t="shared" si="610"/>
        <v>0.39570667738531884</v>
      </c>
      <c r="Z345" s="51">
        <f t="shared" si="611"/>
        <v>0.67050867593470487</v>
      </c>
      <c r="AA345" s="51">
        <f t="shared" si="612"/>
        <v>0.59383647001668682</v>
      </c>
      <c r="AB345" s="51">
        <f t="shared" si="613"/>
        <v>0.62500238263156893</v>
      </c>
      <c r="AC345" s="51">
        <f t="shared" si="614"/>
        <v>0.67375938897797283</v>
      </c>
      <c r="AD345" s="62">
        <f t="shared" si="615"/>
        <v>0.66174697281816808</v>
      </c>
      <c r="AF345" s="701">
        <f t="shared" si="596"/>
        <v>-0.16808683064390034</v>
      </c>
      <c r="AI345" s="701">
        <f t="shared" si="597"/>
        <v>-0.29003502822053517</v>
      </c>
      <c r="AK345" s="678">
        <f t="shared" si="616"/>
        <v>0.3601818791918836</v>
      </c>
      <c r="AL345" s="51">
        <f t="shared" si="617"/>
        <v>0.12710940251861347</v>
      </c>
      <c r="AM345" s="827">
        <f t="shared" ref="AM345:AV345" si="756">AM162</f>
        <v>7774636.3909999998</v>
      </c>
      <c r="AN345" s="827">
        <f t="shared" si="756"/>
        <v>7816747.25</v>
      </c>
      <c r="AO345" s="827">
        <f t="shared" si="756"/>
        <v>9001705.2339999992</v>
      </c>
      <c r="AP345" s="827">
        <f t="shared" si="756"/>
        <v>9456333.568</v>
      </c>
      <c r="AQ345" s="827">
        <f t="shared" si="756"/>
        <v>7510199.7719999999</v>
      </c>
      <c r="AR345" s="827">
        <f t="shared" si="756"/>
        <v>4290785.5609999998</v>
      </c>
      <c r="AS345" s="827">
        <f t="shared" si="756"/>
        <v>5333282.37</v>
      </c>
      <c r="AT345" s="827">
        <f t="shared" si="756"/>
        <v>6262126.1660000002</v>
      </c>
      <c r="AU345" s="827">
        <f t="shared" si="756"/>
        <v>3804675.32</v>
      </c>
      <c r="AV345" s="827">
        <f t="shared" si="756"/>
        <v>2522236.9559999998</v>
      </c>
      <c r="AW345" s="829">
        <f t="shared" ref="AW345:BB345" si="757">AW162</f>
        <v>0.69542613108869222</v>
      </c>
      <c r="AX345" s="829">
        <f t="shared" si="757"/>
        <v>0.37773780076456037</v>
      </c>
      <c r="AY345" s="829">
        <f t="shared" si="757"/>
        <v>-8.1192041572162726E-2</v>
      </c>
      <c r="AZ345" s="829">
        <f t="shared" si="757"/>
        <v>0.41631926603636471</v>
      </c>
      <c r="BA345" s="829">
        <f t="shared" si="757"/>
        <v>0.24612013449047956</v>
      </c>
      <c r="BB345" s="829">
        <f t="shared" si="757"/>
        <v>-6.9400833201724368E-2</v>
      </c>
    </row>
    <row r="346" spans="1:54" ht="15" customHeight="1">
      <c r="A346" s="535">
        <v>2007</v>
      </c>
      <c r="B346" s="449"/>
      <c r="C346" s="51"/>
      <c r="D346" s="51"/>
      <c r="E346" s="51"/>
      <c r="F346" s="51"/>
      <c r="G346" s="51"/>
      <c r="H346" s="51"/>
      <c r="I346" s="536" t="s">
        <v>328</v>
      </c>
      <c r="J346" s="677" t="s">
        <v>918</v>
      </c>
      <c r="K346" s="543">
        <f t="shared" ref="K346:O346" si="758">LN(K163)</f>
        <v>14.562818311158122</v>
      </c>
      <c r="L346" s="543">
        <f t="shared" si="758"/>
        <v>14.408468705408387</v>
      </c>
      <c r="M346" s="543">
        <f t="shared" si="758"/>
        <v>13.507675006194141</v>
      </c>
      <c r="N346" s="543">
        <f t="shared" si="758"/>
        <v>13.293927564253055</v>
      </c>
      <c r="O346" s="543">
        <f t="shared" si="758"/>
        <v>12.95902567178438</v>
      </c>
      <c r="P346" s="149">
        <f t="shared" si="601"/>
        <v>9.5845968273526885E-2</v>
      </c>
      <c r="Q346" s="149">
        <f t="shared" si="602"/>
        <v>6.3873551837418843E-2</v>
      </c>
      <c r="R346" s="149">
        <f t="shared" si="603"/>
        <v>2.9961146122133499E-2</v>
      </c>
      <c r="S346" s="149">
        <f t="shared" si="604"/>
        <v>0.14384208279318542</v>
      </c>
      <c r="T346" s="149">
        <f t="shared" si="605"/>
        <v>9.7193783209312698E-2</v>
      </c>
      <c r="U346" s="51">
        <f t="shared" si="606"/>
        <v>0.52154455608808525</v>
      </c>
      <c r="V346" s="51">
        <f t="shared" si="607"/>
        <v>0.56445945785852969</v>
      </c>
      <c r="W346" s="51">
        <f t="shared" si="608"/>
        <v>0.64842731640325979</v>
      </c>
      <c r="X346" s="51">
        <f t="shared" si="609"/>
        <v>0.52018636042314614</v>
      </c>
      <c r="Y346" s="51">
        <f t="shared" si="610"/>
        <v>0.46876461554596011</v>
      </c>
      <c r="Z346" s="51">
        <f t="shared" si="611"/>
        <v>0.66928861029180653</v>
      </c>
      <c r="AA346" s="51">
        <f t="shared" si="612"/>
        <v>0.69513619277734395</v>
      </c>
      <c r="AB346" s="51">
        <f t="shared" si="613"/>
        <v>0.25577003490598355</v>
      </c>
      <c r="AC346" s="51">
        <f t="shared" si="614"/>
        <v>0.39361683779585449</v>
      </c>
      <c r="AD346" s="62">
        <f t="shared" si="615"/>
        <v>0.39733047281263789</v>
      </c>
      <c r="AF346" s="701">
        <f t="shared" si="596"/>
        <v>-3.0954888447523886E-2</v>
      </c>
      <c r="AI346" s="701">
        <f t="shared" si="597"/>
        <v>-5.0897996139067647E-2</v>
      </c>
      <c r="AK346" s="678">
        <f t="shared" si="616"/>
        <v>0.54864933440976105</v>
      </c>
      <c r="AL346" s="51">
        <f t="shared" si="617"/>
        <v>0.17966270085729968</v>
      </c>
      <c r="AM346" s="827">
        <f t="shared" ref="AM346:AV346" si="759">AM163</f>
        <v>1509314.344121</v>
      </c>
      <c r="AN346" s="827">
        <f t="shared" si="759"/>
        <v>1133645.1591399999</v>
      </c>
      <c r="AO346" s="827">
        <f t="shared" si="759"/>
        <v>1010355.609648</v>
      </c>
      <c r="AP346" s="827">
        <f t="shared" si="759"/>
        <v>723566.08543199999</v>
      </c>
      <c r="AQ346" s="827">
        <f t="shared" si="759"/>
        <v>567764.79599999997</v>
      </c>
      <c r="AR346" s="827">
        <f t="shared" si="759"/>
        <v>1143361.5747150001</v>
      </c>
      <c r="AS346" s="827">
        <f t="shared" si="759"/>
        <v>1010247.43872</v>
      </c>
      <c r="AT346" s="827">
        <f t="shared" si="759"/>
        <v>1361242.147988</v>
      </c>
      <c r="AU346" s="827">
        <f t="shared" si="759"/>
        <v>502026.18124799995</v>
      </c>
      <c r="AV346" s="827">
        <f t="shared" si="759"/>
        <v>315755.90500799997</v>
      </c>
      <c r="AW346" s="829">
        <f t="shared" ref="AW346:BB346" si="760">AW163</f>
        <v>0.13071347066954866</v>
      </c>
      <c r="AX346" s="829">
        <f t="shared" si="760"/>
        <v>0.17007441279605606</v>
      </c>
      <c r="AY346" s="829">
        <f t="shared" si="760"/>
        <v>1.6178257873186379E-2</v>
      </c>
      <c r="AZ346" s="829">
        <f t="shared" si="760"/>
        <v>9.9891901662094357E-2</v>
      </c>
      <c r="BA346" s="829">
        <f t="shared" si="760"/>
        <v>0.14508907202752536</v>
      </c>
      <c r="BB346" s="829">
        <f t="shared" si="760"/>
        <v>1.8153586590582943E-2</v>
      </c>
    </row>
    <row r="347" spans="1:54" ht="15" customHeight="1">
      <c r="A347" s="535">
        <v>2007</v>
      </c>
      <c r="B347" s="449"/>
      <c r="C347" s="51"/>
      <c r="D347" s="51"/>
      <c r="E347" s="51"/>
      <c r="F347" s="51"/>
      <c r="G347" s="51"/>
      <c r="H347" s="51"/>
      <c r="I347" s="536" t="s">
        <v>328</v>
      </c>
      <c r="J347" s="677" t="s">
        <v>919</v>
      </c>
      <c r="K347" s="543">
        <f t="shared" ref="K347:O347" si="761">LN(K164)</f>
        <v>11.719994684717305</v>
      </c>
      <c r="L347" s="543">
        <f t="shared" si="761"/>
        <v>11.469572673286889</v>
      </c>
      <c r="M347" s="543">
        <f t="shared" si="761"/>
        <v>11.956258215153987</v>
      </c>
      <c r="N347" s="543">
        <f t="shared" si="761"/>
        <v>11.9002083829229</v>
      </c>
      <c r="O347" s="543">
        <f t="shared" si="761"/>
        <v>10.925369249696553</v>
      </c>
      <c r="P347" s="149">
        <f t="shared" si="601"/>
        <v>-5.0686781922666166E-2</v>
      </c>
      <c r="Q347" s="149">
        <f t="shared" si="602"/>
        <v>-6.5287939333772707E-2</v>
      </c>
      <c r="R347" s="149">
        <f t="shared" si="603"/>
        <v>6.3656559245261245E-3</v>
      </c>
      <c r="S347" s="149">
        <f t="shared" si="604"/>
        <v>6.0418854492904461E-2</v>
      </c>
      <c r="T347" s="149">
        <f t="shared" si="605"/>
        <v>7.9407575549006765E-2</v>
      </c>
      <c r="U347" s="51">
        <f t="shared" si="606"/>
        <v>0.6726716186903412</v>
      </c>
      <c r="V347" s="51">
        <f t="shared" si="607"/>
        <v>0.58020113259767914</v>
      </c>
      <c r="W347" s="51">
        <f t="shared" si="608"/>
        <v>0.54216293754898626</v>
      </c>
      <c r="X347" s="51">
        <f t="shared" si="609"/>
        <v>0.50868241393158342</v>
      </c>
      <c r="Y347" s="51">
        <f t="shared" si="610"/>
        <v>0.43702434295397818</v>
      </c>
      <c r="Z347" s="51">
        <f t="shared" si="611"/>
        <v>1.0680620364669937</v>
      </c>
      <c r="AA347" s="51">
        <f t="shared" si="612"/>
        <v>0.98038237439845055</v>
      </c>
      <c r="AB347" s="51">
        <f t="shared" si="613"/>
        <v>1.281443634373937</v>
      </c>
      <c r="AC347" s="51">
        <f t="shared" si="614"/>
        <v>1.2570902851301524</v>
      </c>
      <c r="AD347" s="62">
        <f t="shared" si="615"/>
        <v>0.6792993290229995</v>
      </c>
      <c r="AF347" s="701">
        <f t="shared" si="596"/>
        <v>-4.5784283526684698E-2</v>
      </c>
      <c r="AI347" s="701">
        <f t="shared" si="597"/>
        <v>-7.7997200805640279E-2</v>
      </c>
      <c r="AK347" s="678">
        <f t="shared" si="616"/>
        <v>1.0308889654574338</v>
      </c>
      <c r="AL347" s="51">
        <f t="shared" si="617"/>
        <v>0.10513859459500807</v>
      </c>
      <c r="AM347" s="827">
        <f t="shared" ref="AM347:AV347" si="762">AM164</f>
        <v>37697.982820999998</v>
      </c>
      <c r="AN347" s="827">
        <f t="shared" si="762"/>
        <v>41003.372799999997</v>
      </c>
      <c r="AO347" s="827">
        <f t="shared" si="762"/>
        <v>55660.846669999999</v>
      </c>
      <c r="AP347" s="827">
        <f t="shared" si="762"/>
        <v>57569.263503999995</v>
      </c>
      <c r="AQ347" s="827">
        <f t="shared" si="762"/>
        <v>46053.264971999997</v>
      </c>
      <c r="AR347" s="827">
        <f t="shared" si="762"/>
        <v>22675.843341</v>
      </c>
      <c r="AS347" s="827">
        <f t="shared" si="762"/>
        <v>24957.991239999999</v>
      </c>
      <c r="AT347" s="827">
        <f t="shared" si="762"/>
        <v>23210.192814000002</v>
      </c>
      <c r="AU347" s="827">
        <f t="shared" si="762"/>
        <v>19096.954759999997</v>
      </c>
      <c r="AV347" s="827">
        <f t="shared" si="762"/>
        <v>7330.9877879999995</v>
      </c>
      <c r="AW347" s="829">
        <f t="shared" ref="AW347:BB347" si="763">AW164</f>
        <v>0.60190370733161558</v>
      </c>
      <c r="AX347" s="829">
        <f t="shared" si="763"/>
        <v>0.46601854755611311</v>
      </c>
      <c r="AY347" s="829">
        <f t="shared" si="763"/>
        <v>4.2726899511227816E-2</v>
      </c>
      <c r="AZ347" s="829">
        <f t="shared" si="763"/>
        <v>0.31698627024261511</v>
      </c>
      <c r="BA347" s="829">
        <f t="shared" si="763"/>
        <v>0.31300739472945649</v>
      </c>
      <c r="BB347" s="829">
        <f t="shared" si="763"/>
        <v>3.1322124294352348E-2</v>
      </c>
    </row>
    <row r="348" spans="1:54" ht="15" customHeight="1">
      <c r="A348" s="535">
        <v>2005</v>
      </c>
      <c r="B348" s="449"/>
      <c r="C348" s="51"/>
      <c r="D348" s="51"/>
      <c r="E348" s="51"/>
      <c r="F348" s="51"/>
      <c r="G348" s="51"/>
      <c r="H348" s="51"/>
      <c r="I348" s="536" t="s">
        <v>343</v>
      </c>
      <c r="J348" s="677" t="s">
        <v>921</v>
      </c>
      <c r="K348" s="543">
        <f t="shared" ref="K348:O348" si="764">LN(K165)</f>
        <v>13.703573965051669</v>
      </c>
      <c r="L348" s="543">
        <f t="shared" si="764"/>
        <v>13.712992743369327</v>
      </c>
      <c r="M348" s="543">
        <f t="shared" si="764"/>
        <v>13.500713677190323</v>
      </c>
      <c r="N348" s="543">
        <f t="shared" si="764"/>
        <v>13.203205977144735</v>
      </c>
      <c r="O348" s="543">
        <f t="shared" si="764"/>
        <v>13.035302237255079</v>
      </c>
      <c r="P348" s="149">
        <f t="shared" si="601"/>
        <v>1.5786605645527776E-2</v>
      </c>
      <c r="Q348" s="149">
        <f t="shared" si="602"/>
        <v>1.3048170071166322E-2</v>
      </c>
      <c r="R348" s="149">
        <f t="shared" si="603"/>
        <v>1.4435031770714483E-2</v>
      </c>
      <c r="S348" s="149">
        <f t="shared" si="604"/>
        <v>1.5203270058320553E-2</v>
      </c>
      <c r="T348" s="149">
        <f t="shared" si="605"/>
        <v>1.5582391012626736E-2</v>
      </c>
      <c r="U348" s="51">
        <f t="shared" si="606"/>
        <v>0.84901366355110486</v>
      </c>
      <c r="V348" s="51">
        <f t="shared" si="607"/>
        <v>0.83923568185314112</v>
      </c>
      <c r="W348" s="51">
        <f t="shared" si="608"/>
        <v>0.82790804080224512</v>
      </c>
      <c r="X348" s="51">
        <f t="shared" si="609"/>
        <v>0.83088981366211745</v>
      </c>
      <c r="Y348" s="51">
        <f t="shared" si="610"/>
        <v>0.77521545779033507</v>
      </c>
      <c r="Z348" s="51">
        <f t="shared" si="611"/>
        <v>6.0816927003398469</v>
      </c>
      <c r="AA348" s="51">
        <f t="shared" si="612"/>
        <v>6.0100450637786347</v>
      </c>
      <c r="AB348" s="51">
        <f t="shared" si="613"/>
        <v>5.7203482724619104</v>
      </c>
      <c r="AC348" s="51">
        <f t="shared" si="614"/>
        <v>5.3517778006327408</v>
      </c>
      <c r="AD348" s="62">
        <f t="shared" si="615"/>
        <v>6.4426330572018484</v>
      </c>
      <c r="AF348" s="701">
        <f t="shared" si="596"/>
        <v>-1.7818218395654617E-2</v>
      </c>
      <c r="AI348" s="701">
        <f t="shared" si="597"/>
        <v>3.3204589821388353E-2</v>
      </c>
      <c r="AK348" s="678">
        <f t="shared" si="616"/>
        <v>0.46541143993524436</v>
      </c>
      <c r="AL348" s="51">
        <f t="shared" si="617"/>
        <v>5.2692583011910044E-2</v>
      </c>
      <c r="AM348" s="827">
        <f t="shared" ref="AM348:AV348" si="765">AM165</f>
        <v>22197.278490000001</v>
      </c>
      <c r="AN348" s="827">
        <f t="shared" si="765"/>
        <v>24142.876527999997</v>
      </c>
      <c r="AO348" s="827">
        <f t="shared" si="765"/>
        <v>21959.556251999998</v>
      </c>
      <c r="AP348" s="827">
        <f t="shared" si="765"/>
        <v>17129.756663</v>
      </c>
      <c r="AQ348" s="827">
        <f t="shared" si="765"/>
        <v>15990.382043999998</v>
      </c>
      <c r="AR348" s="827">
        <f t="shared" si="765"/>
        <v>424195.89791400003</v>
      </c>
      <c r="AS348" s="827">
        <f t="shared" si="765"/>
        <v>407287.62688</v>
      </c>
      <c r="AT348" s="827">
        <f t="shared" si="765"/>
        <v>318154.036104</v>
      </c>
      <c r="AU348" s="827">
        <f t="shared" si="765"/>
        <v>95932.514796999996</v>
      </c>
      <c r="AV348" s="827">
        <f t="shared" si="765"/>
        <v>61386.256349999996</v>
      </c>
      <c r="AW348" s="829">
        <f t="shared" ref="AW348:BB348" si="766">AW165</f>
        <v>0.11633831809650663</v>
      </c>
      <c r="AX348" s="829">
        <f t="shared" si="766"/>
        <v>8.5911376997048483E-2</v>
      </c>
      <c r="AY348" s="829">
        <f t="shared" si="766"/>
        <v>3.3118126354856975E-2</v>
      </c>
      <c r="AZ348" s="829">
        <f t="shared" si="766"/>
        <v>0.1905792882414416</v>
      </c>
      <c r="BA348" s="829">
        <f t="shared" si="766"/>
        <v>0.15274741121967789</v>
      </c>
      <c r="BB348" s="829">
        <f t="shared" si="766"/>
        <v>0.10999217215803023</v>
      </c>
    </row>
    <row r="349" spans="1:54" ht="15" customHeight="1">
      <c r="A349" s="535">
        <v>2005</v>
      </c>
      <c r="B349" s="449"/>
      <c r="C349" s="51"/>
      <c r="D349" s="51"/>
      <c r="E349" s="51"/>
      <c r="F349" s="51"/>
      <c r="G349" s="51"/>
      <c r="H349" s="51"/>
      <c r="I349" s="536" t="s">
        <v>343</v>
      </c>
      <c r="J349" s="677" t="s">
        <v>927</v>
      </c>
      <c r="K349" s="543">
        <f t="shared" ref="K349:O349" si="767">LN(K166)</f>
        <v>10.942519189442633</v>
      </c>
      <c r="L349" s="543">
        <f t="shared" si="767"/>
        <v>10.722289619124632</v>
      </c>
      <c r="M349" s="543">
        <f t="shared" si="767"/>
        <v>10.367024562571368</v>
      </c>
      <c r="N349" s="543">
        <f t="shared" si="767"/>
        <v>10.302965584887291</v>
      </c>
      <c r="O349" s="543">
        <f t="shared" si="767"/>
        <v>10.15570070194619</v>
      </c>
      <c r="P349" s="149">
        <f t="shared" si="601"/>
        <v>7.4859983398372271E-2</v>
      </c>
      <c r="Q349" s="149">
        <f t="shared" si="602"/>
        <v>2.8351643376693925E-2</v>
      </c>
      <c r="R349" s="149">
        <f t="shared" si="603"/>
        <v>3.4163945695136623E-2</v>
      </c>
      <c r="S349" s="149">
        <f t="shared" si="604"/>
        <v>3.544538761549211E-2</v>
      </c>
      <c r="T349" s="149">
        <f t="shared" si="605"/>
        <v>1.0639588279124573E-2</v>
      </c>
      <c r="U349" s="51">
        <f t="shared" si="606"/>
        <v>0.6021033418799705</v>
      </c>
      <c r="V349" s="51">
        <f t="shared" si="607"/>
        <v>0.69185729021297249</v>
      </c>
      <c r="W349" s="51">
        <f t="shared" si="608"/>
        <v>0.66770689551701368</v>
      </c>
      <c r="X349" s="51">
        <f t="shared" si="609"/>
        <v>0.6862712899435004</v>
      </c>
      <c r="Y349" s="51">
        <f t="shared" si="610"/>
        <v>0.76186214066122226</v>
      </c>
      <c r="Z349" s="51">
        <f t="shared" si="611"/>
        <v>1.366420407631133</v>
      </c>
      <c r="AA349" s="51">
        <f t="shared" si="612"/>
        <v>1.1487860480033285</v>
      </c>
      <c r="AB349" s="51">
        <f t="shared" si="613"/>
        <v>1.0185490807977755</v>
      </c>
      <c r="AC349" s="51">
        <f t="shared" si="614"/>
        <v>0.9841893785055601</v>
      </c>
      <c r="AD349" s="62">
        <f t="shared" si="615"/>
        <v>0.96246365612439477</v>
      </c>
      <c r="AF349" s="701">
        <f t="shared" si="596"/>
        <v>2.4557438449422032E-2</v>
      </c>
      <c r="AI349" s="701">
        <f t="shared" si="597"/>
        <v>6.1718981662864165E-2</v>
      </c>
      <c r="AK349" s="678">
        <f t="shared" si="616"/>
        <v>0.21132386062517863</v>
      </c>
      <c r="AL349" s="51">
        <f t="shared" si="617"/>
        <v>-9.4155245144208588E-2</v>
      </c>
      <c r="AM349" s="827">
        <f t="shared" ref="AM349:AV349" si="768">AM166</f>
        <v>16461.206160000002</v>
      </c>
      <c r="AN349" s="827">
        <f t="shared" si="768"/>
        <v>12165.720975999999</v>
      </c>
      <c r="AO349" s="827">
        <f t="shared" si="768"/>
        <v>10372.59606</v>
      </c>
      <c r="AP349" s="827">
        <f t="shared" si="768"/>
        <v>9505.975504</v>
      </c>
      <c r="AQ349" s="827">
        <f t="shared" si="768"/>
        <v>6368.3827559999991</v>
      </c>
      <c r="AR349" s="827">
        <f t="shared" si="768"/>
        <v>9813.0794519999999</v>
      </c>
      <c r="AS349" s="827">
        <f t="shared" si="768"/>
        <v>15194.403375999998</v>
      </c>
      <c r="AT349" s="827">
        <f t="shared" si="768"/>
        <v>12327.224328</v>
      </c>
      <c r="AU349" s="827">
        <f t="shared" si="768"/>
        <v>13477.320052999999</v>
      </c>
      <c r="AV349" s="827">
        <f t="shared" si="768"/>
        <v>16187.507855999998</v>
      </c>
      <c r="AW349" s="829">
        <f t="shared" ref="AW349:BB349" si="769">AW166</f>
        <v>1.6916464624201013E-2</v>
      </c>
      <c r="AX349" s="829">
        <f t="shared" si="769"/>
        <v>7.8429110375301411E-2</v>
      </c>
      <c r="AY349" s="829">
        <f t="shared" si="769"/>
        <v>8.8113871792923543E-2</v>
      </c>
      <c r="AZ349" s="829">
        <f t="shared" si="769"/>
        <v>2.312797383544888E-2</v>
      </c>
      <c r="BA349" s="829">
        <f t="shared" si="769"/>
        <v>8.8708620754559125E-2</v>
      </c>
      <c r="BB349" s="829">
        <f t="shared" si="769"/>
        <v>9.3631427010891388E-2</v>
      </c>
    </row>
    <row r="350" spans="1:54" ht="15" customHeight="1">
      <c r="A350" s="535">
        <v>2007</v>
      </c>
      <c r="B350" s="449"/>
      <c r="C350" s="51"/>
      <c r="D350" s="51"/>
      <c r="E350" s="51"/>
      <c r="F350" s="51"/>
      <c r="G350" s="51"/>
      <c r="H350" s="51"/>
      <c r="I350" s="536" t="s">
        <v>335</v>
      </c>
      <c r="J350" s="677" t="s">
        <v>888</v>
      </c>
      <c r="K350" s="543">
        <f t="shared" ref="K350:O350" si="770">LN(K167)</f>
        <v>12.991280991903176</v>
      </c>
      <c r="L350" s="543">
        <f t="shared" si="770"/>
        <v>12.776810229879308</v>
      </c>
      <c r="M350" s="543">
        <f t="shared" si="770"/>
        <v>12.916472373346215</v>
      </c>
      <c r="N350" s="543">
        <f t="shared" si="770"/>
        <v>13.478753364711576</v>
      </c>
      <c r="O350" s="543">
        <f t="shared" si="770"/>
        <v>12.967944528855053</v>
      </c>
      <c r="P350" s="149">
        <f t="shared" si="601"/>
        <v>0.50012295030881115</v>
      </c>
      <c r="Q350" s="149">
        <f t="shared" si="602"/>
        <v>0.25051452520801082</v>
      </c>
      <c r="R350" s="149">
        <f t="shared" si="603"/>
        <v>-5.5473949509296093E-2</v>
      </c>
      <c r="S350" s="149">
        <f t="shared" si="604"/>
        <v>0.45212914066135562</v>
      </c>
      <c r="T350" s="149">
        <f t="shared" si="605"/>
        <v>0.4464169122383605</v>
      </c>
      <c r="U350" s="51">
        <f t="shared" si="606"/>
        <v>0.66780500285300848</v>
      </c>
      <c r="V350" s="51">
        <f t="shared" si="607"/>
        <v>0.68199832987202424</v>
      </c>
      <c r="W350" s="51">
        <f t="shared" si="608"/>
        <v>0.38626417921021527</v>
      </c>
      <c r="X350" s="51">
        <f t="shared" si="609"/>
        <v>0.35605275848155793</v>
      </c>
      <c r="Y350" s="51">
        <f t="shared" si="610"/>
        <v>0.4132810099853314</v>
      </c>
      <c r="Z350" s="51">
        <f t="shared" si="611"/>
        <v>9.1088834951322695E-2</v>
      </c>
      <c r="AA350" s="51">
        <f t="shared" si="612"/>
        <v>8.4670259425602731E-2</v>
      </c>
      <c r="AB350" s="51">
        <f t="shared" si="613"/>
        <v>8.8941733701828132E-2</v>
      </c>
      <c r="AC350" s="51">
        <f t="shared" si="614"/>
        <v>0.16801094933268446</v>
      </c>
      <c r="AD350" s="62">
        <f t="shared" si="615"/>
        <v>0.14138121523055111</v>
      </c>
      <c r="AF350" s="701">
        <f t="shared" si="596"/>
        <v>-6.8048914796374163E-2</v>
      </c>
      <c r="AI350" s="701">
        <f t="shared" si="597"/>
        <v>-0.19270385410122037</v>
      </c>
      <c r="AK350" s="678">
        <f t="shared" si="616"/>
        <v>-5.1472155508836874E-2</v>
      </c>
      <c r="AL350" s="51">
        <f t="shared" si="617"/>
        <v>-2.701683077511613E-2</v>
      </c>
      <c r="AM350" s="827">
        <f t="shared" ref="AM350:AV350" si="771">AM167</f>
        <v>1599446.3526960001</v>
      </c>
      <c r="AN350" s="827">
        <f t="shared" si="771"/>
        <v>1329219.45637</v>
      </c>
      <c r="AO350" s="827">
        <f t="shared" si="771"/>
        <v>1475690.1400820001</v>
      </c>
      <c r="AP350" s="827">
        <f t="shared" si="771"/>
        <v>1554217.1404799998</v>
      </c>
      <c r="AQ350" s="827">
        <f t="shared" si="771"/>
        <v>1078153.1893559999</v>
      </c>
      <c r="AR350" s="827">
        <f t="shared" si="771"/>
        <v>2991792.4345470001</v>
      </c>
      <c r="AS350" s="827">
        <f t="shared" si="771"/>
        <v>2630762.4349500001</v>
      </c>
      <c r="AT350" s="827">
        <f t="shared" si="771"/>
        <v>2849812.15711</v>
      </c>
      <c r="AU350" s="827">
        <f t="shared" si="771"/>
        <v>2533079.0787839997</v>
      </c>
      <c r="AV350" s="827">
        <f t="shared" si="771"/>
        <v>1835068.1168519999</v>
      </c>
      <c r="AW350" s="829">
        <f t="shared" ref="AW350:BB350" si="772">AW167</f>
        <v>0.1042305909451023</v>
      </c>
      <c r="AX350" s="829">
        <f t="shared" si="772"/>
        <v>0.12745649175823881</v>
      </c>
      <c r="AY350" s="829">
        <f t="shared" si="772"/>
        <v>-7.9218302033261332E-3</v>
      </c>
      <c r="AZ350" s="829">
        <f t="shared" si="772"/>
        <v>0.13808177652640458</v>
      </c>
      <c r="BA350" s="829">
        <f t="shared" si="772"/>
        <v>0.16812857621275612</v>
      </c>
      <c r="BB350" s="829">
        <f t="shared" si="772"/>
        <v>-1.1278384076116796E-2</v>
      </c>
    </row>
    <row r="351" spans="1:54" s="684" customFormat="1" ht="15" customHeight="1">
      <c r="A351" s="535">
        <v>2003</v>
      </c>
      <c r="B351" s="449"/>
      <c r="C351" s="51"/>
      <c r="D351" s="51"/>
      <c r="E351" s="51"/>
      <c r="F351" s="51"/>
      <c r="G351" s="51"/>
      <c r="H351" s="51"/>
      <c r="I351" s="536" t="s">
        <v>344</v>
      </c>
      <c r="J351" s="677">
        <v>0</v>
      </c>
      <c r="K351" s="543">
        <f t="shared" ref="K351:O351" si="773">LN(K168)</f>
        <v>11.024467096049595</v>
      </c>
      <c r="L351" s="543">
        <f t="shared" si="773"/>
        <v>10.634407747011396</v>
      </c>
      <c r="M351" s="543">
        <f t="shared" si="773"/>
        <v>10.484004433477004</v>
      </c>
      <c r="N351" s="543">
        <f t="shared" si="773"/>
        <v>10.139230953547276</v>
      </c>
      <c r="O351" s="543">
        <f t="shared" si="773"/>
        <v>9.9927098005233734</v>
      </c>
      <c r="P351" s="149">
        <f t="shared" si="601"/>
        <v>9.7228547512613131E-2</v>
      </c>
      <c r="Q351" s="149">
        <f t="shared" si="602"/>
        <v>3.0922008115108774E-2</v>
      </c>
      <c r="R351" s="149">
        <f t="shared" si="603"/>
        <v>3.2594860361222271E-2</v>
      </c>
      <c r="S351" s="149">
        <f t="shared" si="604"/>
        <v>-3.9999330835117773E-2</v>
      </c>
      <c r="T351" s="149">
        <f t="shared" si="605"/>
        <v>-0.54368982207141259</v>
      </c>
      <c r="U351" s="51">
        <f t="shared" si="606"/>
        <v>0.35673995562820471</v>
      </c>
      <c r="V351" s="51">
        <f t="shared" si="607"/>
        <v>0.35965377588050557</v>
      </c>
      <c r="W351" s="51">
        <f t="shared" si="608"/>
        <v>0.38334220479058695</v>
      </c>
      <c r="X351" s="51">
        <f t="shared" si="609"/>
        <v>0.36458797889617217</v>
      </c>
      <c r="Y351" s="51">
        <f t="shared" si="610"/>
        <v>0.36409045783923644</v>
      </c>
      <c r="Z351" s="51">
        <f t="shared" si="611"/>
        <v>1.0725721723896093</v>
      </c>
      <c r="AA351" s="51">
        <f t="shared" si="612"/>
        <v>1.1247063578266689</v>
      </c>
      <c r="AB351" s="51">
        <f t="shared" si="613"/>
        <v>1.347000980529486</v>
      </c>
      <c r="AC351" s="51">
        <f t="shared" si="614"/>
        <v>1.508974175579135</v>
      </c>
      <c r="AD351" s="62">
        <f t="shared" si="615"/>
        <v>1.3614874107889656</v>
      </c>
      <c r="AF351" s="701">
        <f t="shared" si="596"/>
        <v>0.78413215699110894</v>
      </c>
      <c r="AI351" s="701">
        <f t="shared" si="597"/>
        <v>1.2352430756658754</v>
      </c>
      <c r="AK351" s="678">
        <f t="shared" si="616"/>
        <v>0.49129463295363052</v>
      </c>
      <c r="AL351" s="51">
        <f t="shared" si="617"/>
        <v>1.9251746951350512E-2</v>
      </c>
      <c r="AM351" s="827">
        <f t="shared" ref="AM351:AV351" si="774">AM168</f>
        <v>36798.089975999996</v>
      </c>
      <c r="AN351" s="827">
        <f t="shared" si="774"/>
        <v>23650.498855999998</v>
      </c>
      <c r="AO351" s="827">
        <f t="shared" si="774"/>
        <v>16361.442395999999</v>
      </c>
      <c r="AP351" s="827">
        <f t="shared" si="774"/>
        <v>10660.698801</v>
      </c>
      <c r="AQ351" s="827">
        <f t="shared" si="774"/>
        <v>10213.167099999999</v>
      </c>
      <c r="AR351" s="827">
        <f t="shared" si="774"/>
        <v>6593.22138</v>
      </c>
      <c r="AS351" s="827">
        <f t="shared" si="774"/>
        <v>2516.900443</v>
      </c>
      <c r="AT351" s="827">
        <f t="shared" si="774"/>
        <v>0</v>
      </c>
      <c r="AU351" s="827">
        <f t="shared" si="774"/>
        <v>0</v>
      </c>
      <c r="AV351" s="827">
        <f t="shared" si="774"/>
        <v>9.2904039999999988</v>
      </c>
      <c r="AW351" s="829">
        <f t="shared" ref="AW351:BB351" si="775">AW168</f>
        <v>-1279.6621621621621</v>
      </c>
      <c r="AX351" s="829" t="e">
        <f t="shared" si="775"/>
        <v>#DIV/0!</v>
      </c>
      <c r="AY351" s="829" t="e">
        <f t="shared" si="775"/>
        <v>#DIV/0!</v>
      </c>
      <c r="AZ351" s="829">
        <f t="shared" si="775"/>
        <v>-466.65300934929314</v>
      </c>
      <c r="BA351" s="829" t="e">
        <f t="shared" si="775"/>
        <v>#DIV/0!</v>
      </c>
      <c r="BB351" s="829" t="e">
        <f t="shared" si="775"/>
        <v>#DIV/0!</v>
      </c>
    </row>
    <row r="352" spans="1:54" s="684" customFormat="1" ht="15" customHeight="1">
      <c r="A352" s="535">
        <v>2003</v>
      </c>
      <c r="B352" s="449"/>
      <c r="C352" s="51"/>
      <c r="D352" s="51"/>
      <c r="E352" s="51"/>
      <c r="F352" s="51"/>
      <c r="G352" s="51"/>
      <c r="H352" s="51"/>
      <c r="I352" s="536" t="s">
        <v>344</v>
      </c>
      <c r="J352" s="677">
        <v>0</v>
      </c>
      <c r="K352" s="543">
        <f t="shared" ref="K352:O352" si="776">LN(K169)</f>
        <v>16.470008656966211</v>
      </c>
      <c r="L352" s="543">
        <f t="shared" si="776"/>
        <v>16.187378242085817</v>
      </c>
      <c r="M352" s="543">
        <f t="shared" si="776"/>
        <v>16.025243020544224</v>
      </c>
      <c r="N352" s="543">
        <f t="shared" si="776"/>
        <v>15.830342031547117</v>
      </c>
      <c r="O352" s="543">
        <f t="shared" si="776"/>
        <v>15.628690462125197</v>
      </c>
      <c r="P352" s="149">
        <f t="shared" si="601"/>
        <v>0.17479714966456952</v>
      </c>
      <c r="Q352" s="149">
        <f t="shared" si="602"/>
        <v>0.11092895382070886</v>
      </c>
      <c r="R352" s="149">
        <f t="shared" si="603"/>
        <v>0.10769632312159474</v>
      </c>
      <c r="S352" s="149">
        <f t="shared" si="604"/>
        <v>9.506598143860244E-2</v>
      </c>
      <c r="T352" s="149">
        <f t="shared" si="605"/>
        <v>-9.5359030024986691E-2</v>
      </c>
      <c r="U352" s="51">
        <f t="shared" si="606"/>
        <v>0.57723621070793119</v>
      </c>
      <c r="V352" s="51">
        <f t="shared" si="607"/>
        <v>0.56965312110615385</v>
      </c>
      <c r="W352" s="51">
        <f t="shared" si="608"/>
        <v>0.52700524439802943</v>
      </c>
      <c r="X352" s="51">
        <f t="shared" si="609"/>
        <v>0.52522355127162934</v>
      </c>
      <c r="Y352" s="51">
        <f t="shared" si="610"/>
        <v>0.58317869838359893</v>
      </c>
      <c r="Z352" s="51">
        <f t="shared" si="611"/>
        <v>0.61382568609478627</v>
      </c>
      <c r="AA352" s="51">
        <f t="shared" si="612"/>
        <v>0.55409783351420883</v>
      </c>
      <c r="AB352" s="51">
        <f t="shared" si="613"/>
        <v>0.69587032033963725</v>
      </c>
      <c r="AC352" s="51">
        <f t="shared" si="614"/>
        <v>0.61689699221925443</v>
      </c>
      <c r="AD352" s="62">
        <f t="shared" si="615"/>
        <v>0.54579802812493006</v>
      </c>
      <c r="AF352" s="701">
        <f t="shared" si="596"/>
        <v>0.12698944542156895</v>
      </c>
      <c r="AI352" s="701">
        <f t="shared" si="597"/>
        <v>0.28330883842954957</v>
      </c>
      <c r="AK352" s="678">
        <f t="shared" si="616"/>
        <v>0.39655255841902565</v>
      </c>
      <c r="AL352" s="51">
        <f t="shared" si="617"/>
        <v>-5.6173453985569499E-2</v>
      </c>
      <c r="AM352" s="827">
        <f t="shared" ref="AM352:AV352" si="777">AM169</f>
        <v>9792342.6239999998</v>
      </c>
      <c r="AN352" s="827">
        <f t="shared" si="777"/>
        <v>8323792.6369999992</v>
      </c>
      <c r="AO352" s="827">
        <f t="shared" si="777"/>
        <v>6194448.2159999991</v>
      </c>
      <c r="AP352" s="827">
        <f t="shared" si="777"/>
        <v>5771739.2910000002</v>
      </c>
      <c r="AQ352" s="827">
        <f t="shared" si="777"/>
        <v>4681359.2479999997</v>
      </c>
      <c r="AR352" s="827">
        <f t="shared" si="777"/>
        <v>7470548.3399999999</v>
      </c>
      <c r="AS352" s="827">
        <f t="shared" si="777"/>
        <v>5248686.6839999994</v>
      </c>
      <c r="AT352" s="827">
        <f t="shared" si="777"/>
        <v>3611594.6279999996</v>
      </c>
      <c r="AU352" s="827">
        <f t="shared" si="777"/>
        <v>3921191.1749999998</v>
      </c>
      <c r="AV352" s="827">
        <f t="shared" si="777"/>
        <v>3823377.8839999996</v>
      </c>
      <c r="AW352" s="829">
        <f t="shared" ref="AW352:BB352" si="778">AW169</f>
        <v>-0.15288632035200631</v>
      </c>
      <c r="AX352" s="829">
        <f t="shared" si="778"/>
        <v>0.18181818181818182</v>
      </c>
      <c r="AY352" s="829">
        <f t="shared" si="778"/>
        <v>0.27175434263604187</v>
      </c>
      <c r="AZ352" s="829">
        <f t="shared" si="778"/>
        <v>-0.14120681585508471</v>
      </c>
      <c r="BA352" s="829">
        <f t="shared" si="778"/>
        <v>0.15414110915214158</v>
      </c>
      <c r="BB352" s="829">
        <f t="shared" si="778"/>
        <v>0.21815863862715829</v>
      </c>
    </row>
    <row r="353" spans="1:54" ht="15" customHeight="1">
      <c r="A353" s="535">
        <v>2003</v>
      </c>
      <c r="B353" s="449"/>
      <c r="C353" s="51"/>
      <c r="D353" s="51"/>
      <c r="E353" s="51"/>
      <c r="F353" s="51"/>
      <c r="G353" s="51"/>
      <c r="H353" s="51"/>
      <c r="I353" s="536" t="s">
        <v>344</v>
      </c>
      <c r="J353" s="677" t="s">
        <v>523</v>
      </c>
      <c r="K353" s="543">
        <f t="shared" ref="K353:O353" si="779">LN(K170)</f>
        <v>14.127014138827278</v>
      </c>
      <c r="L353" s="543">
        <f t="shared" si="779"/>
        <v>13.20208069522125</v>
      </c>
      <c r="M353" s="543">
        <f t="shared" si="779"/>
        <v>13.428681140075398</v>
      </c>
      <c r="N353" s="543">
        <f t="shared" si="779"/>
        <v>13.397450164272563</v>
      </c>
      <c r="O353" s="543">
        <f t="shared" si="779"/>
        <v>13.45346838877804</v>
      </c>
      <c r="P353" s="149">
        <f t="shared" si="601"/>
        <v>-4.961701154681605E-3</v>
      </c>
      <c r="Q353" s="149">
        <f t="shared" si="602"/>
        <v>-4.3933955491744434E-2</v>
      </c>
      <c r="R353" s="149">
        <f t="shared" si="603"/>
        <v>-4.7167746454211165E-2</v>
      </c>
      <c r="S353" s="149">
        <f t="shared" si="604"/>
        <v>-5.7922841028500351E-2</v>
      </c>
      <c r="T353" s="149">
        <f t="shared" si="605"/>
        <v>-0.14870712971978794</v>
      </c>
      <c r="U353" s="51">
        <f t="shared" si="606"/>
        <v>0.72786793682316064</v>
      </c>
      <c r="V353" s="51">
        <f t="shared" si="607"/>
        <v>0.949918943955535</v>
      </c>
      <c r="W353" s="51">
        <f t="shared" si="608"/>
        <v>0.69241496862167806</v>
      </c>
      <c r="X353" s="51">
        <f t="shared" si="609"/>
        <v>0.67770305225038796</v>
      </c>
      <c r="Y353" s="51">
        <f t="shared" si="610"/>
        <v>0.63947158030989459</v>
      </c>
      <c r="Z353" s="51">
        <f t="shared" si="611"/>
        <v>1.3570918794799391</v>
      </c>
      <c r="AA353" s="51">
        <f t="shared" si="612"/>
        <v>2.0162691060676243</v>
      </c>
      <c r="AB353" s="51">
        <f t="shared" si="613"/>
        <v>1.7698923065003487</v>
      </c>
      <c r="AC353" s="51">
        <f t="shared" si="614"/>
        <v>1.8556647697878945</v>
      </c>
      <c r="AD353" s="62">
        <f t="shared" si="615"/>
        <v>2.1113183842844636</v>
      </c>
      <c r="AF353" s="701">
        <f t="shared" si="596"/>
        <v>0.23048626528729535</v>
      </c>
      <c r="AI353" s="701">
        <f t="shared" si="597"/>
        <v>0.59944475328426761</v>
      </c>
      <c r="AK353" s="678">
        <f t="shared" si="616"/>
        <v>-2.4787248702642345E-2</v>
      </c>
      <c r="AL353" s="51">
        <f t="shared" si="617"/>
        <v>5.2943388311783468E-2</v>
      </c>
      <c r="AM353" s="827">
        <f t="shared" ref="AM353:AV353" si="780">AM170</f>
        <v>273813.43199999997</v>
      </c>
      <c r="AN353" s="827">
        <f t="shared" si="780"/>
        <v>13449.798499999999</v>
      </c>
      <c r="AO353" s="827">
        <f t="shared" si="780"/>
        <v>118037.628</v>
      </c>
      <c r="AP353" s="827">
        <f t="shared" si="780"/>
        <v>114141.6045</v>
      </c>
      <c r="AQ353" s="827">
        <f t="shared" si="780"/>
        <v>118892.06199999999</v>
      </c>
      <c r="AR353" s="827">
        <f t="shared" si="780"/>
        <v>10100.187599999999</v>
      </c>
      <c r="AS353" s="827">
        <f t="shared" si="780"/>
        <v>4509.1809999999996</v>
      </c>
      <c r="AT353" s="827">
        <f t="shared" si="780"/>
        <v>19727.447399999997</v>
      </c>
      <c r="AU353" s="827">
        <f t="shared" si="780"/>
        <v>1538.8292999999999</v>
      </c>
      <c r="AV353" s="827">
        <f t="shared" si="780"/>
        <v>1870.6353999999999</v>
      </c>
      <c r="AW353" s="829">
        <f t="shared" ref="AW353:BB353" si="781">AW170</f>
        <v>-55.348993288590599</v>
      </c>
      <c r="AX353" s="829">
        <f t="shared" si="781"/>
        <v>-24.779816513761467</v>
      </c>
      <c r="AY353" s="829">
        <f t="shared" si="781"/>
        <v>-1.6239638281838735</v>
      </c>
      <c r="AZ353" s="829">
        <f t="shared" si="781"/>
        <v>-35.708076303668342</v>
      </c>
      <c r="BA353" s="829">
        <f t="shared" si="781"/>
        <v>-16.910263795714027</v>
      </c>
      <c r="BB353" s="829">
        <f t="shared" si="781"/>
        <v>-1.2079386946989445</v>
      </c>
    </row>
    <row r="354" spans="1:54" ht="15" customHeight="1">
      <c r="A354" s="535">
        <v>2003</v>
      </c>
      <c r="B354" s="449"/>
      <c r="C354" s="51"/>
      <c r="D354" s="51"/>
      <c r="E354" s="51"/>
      <c r="F354" s="51"/>
      <c r="G354" s="51"/>
      <c r="H354" s="51"/>
      <c r="I354" s="536" t="s">
        <v>344</v>
      </c>
      <c r="J354" s="677" t="s">
        <v>973</v>
      </c>
      <c r="K354" s="543">
        <f t="shared" ref="K354:O354" si="782">LN(K171)</f>
        <v>11.00882288640442</v>
      </c>
      <c r="L354" s="543">
        <f t="shared" si="782"/>
        <v>11.279337298569523</v>
      </c>
      <c r="M354" s="543">
        <f t="shared" si="782"/>
        <v>10.757354193169448</v>
      </c>
      <c r="N354" s="543">
        <f t="shared" si="782"/>
        <v>10.588440263450984</v>
      </c>
      <c r="O354" s="543">
        <f t="shared" si="782"/>
        <v>10.371355975037016</v>
      </c>
      <c r="P354" s="149">
        <f t="shared" si="601"/>
        <v>8.3167503140005483E-2</v>
      </c>
      <c r="Q354" s="149">
        <f t="shared" si="602"/>
        <v>0.18449996071961663</v>
      </c>
      <c r="R354" s="149">
        <f t="shared" si="603"/>
        <v>-0.20950693081840624</v>
      </c>
      <c r="S354" s="149">
        <f t="shared" si="604"/>
        <v>-6.0650487509785786E-2</v>
      </c>
      <c r="T354" s="149">
        <f t="shared" si="605"/>
        <v>-0.12189444962118084</v>
      </c>
      <c r="U354" s="51">
        <f t="shared" si="606"/>
        <v>0.30696889034815134</v>
      </c>
      <c r="V354" s="51">
        <f t="shared" si="607"/>
        <v>0.43895818492496941</v>
      </c>
      <c r="W354" s="51">
        <f t="shared" si="608"/>
        <v>0.40049324556119514</v>
      </c>
      <c r="X354" s="51">
        <f t="shared" si="609"/>
        <v>0.23114984471132838</v>
      </c>
      <c r="Y354" s="51">
        <f t="shared" si="610"/>
        <v>0.23588675989207403</v>
      </c>
      <c r="Z354" s="51">
        <f t="shared" si="611"/>
        <v>0.90747311764912808</v>
      </c>
      <c r="AA354" s="51">
        <f t="shared" si="612"/>
        <v>1.1853114131269817</v>
      </c>
      <c r="AB354" s="51">
        <f t="shared" si="613"/>
        <v>0.85353632216012387</v>
      </c>
      <c r="AC354" s="51">
        <f t="shared" si="614"/>
        <v>0.82964301319068035</v>
      </c>
      <c r="AD354" s="62">
        <f t="shared" si="615"/>
        <v>0.69670606604303342</v>
      </c>
      <c r="AF354" s="701">
        <f t="shared" si="596"/>
        <v>-9.3897172729744321E-2</v>
      </c>
      <c r="AI354" s="701">
        <f t="shared" si="597"/>
        <v>-0.18714011878742087</v>
      </c>
      <c r="AK354" s="678">
        <f t="shared" si="616"/>
        <v>0.38599821813243168</v>
      </c>
      <c r="AL354" s="51">
        <f t="shared" si="617"/>
        <v>0.16460648566912112</v>
      </c>
      <c r="AM354" s="827">
        <f t="shared" ref="AM354:AV354" si="783">AM171</f>
        <v>46130.694539999997</v>
      </c>
      <c r="AN354" s="827">
        <f t="shared" si="783"/>
        <v>37472.848999999995</v>
      </c>
      <c r="AO354" s="827">
        <f t="shared" si="783"/>
        <v>32993.746955999995</v>
      </c>
      <c r="AP354" s="827">
        <f t="shared" si="783"/>
        <v>36766.584932999998</v>
      </c>
      <c r="AQ354" s="827">
        <f t="shared" si="783"/>
        <v>35021.182245999997</v>
      </c>
      <c r="AR354" s="827">
        <f t="shared" si="783"/>
        <v>529.51833599999998</v>
      </c>
      <c r="AS354" s="827">
        <f t="shared" si="783"/>
        <v>653.2092889999999</v>
      </c>
      <c r="AT354" s="827">
        <f t="shared" si="783"/>
        <v>1096.9768979999999</v>
      </c>
      <c r="AU354" s="827">
        <f t="shared" si="783"/>
        <v>1667.5827239999999</v>
      </c>
      <c r="AV354" s="827">
        <f t="shared" si="783"/>
        <v>2835.9585939999997</v>
      </c>
      <c r="AW354" s="829">
        <f t="shared" ref="AW354:BB354" si="784">AW171</f>
        <v>-1.3724821815928108</v>
      </c>
      <c r="AX354" s="829">
        <f t="shared" si="784"/>
        <v>-1.4429393836776161</v>
      </c>
      <c r="AY354" s="829">
        <f t="shared" si="784"/>
        <v>-8.9714053394768953</v>
      </c>
      <c r="AZ354" s="829">
        <f t="shared" si="784"/>
        <v>-0.40867497729358693</v>
      </c>
      <c r="BA354" s="829">
        <f t="shared" si="784"/>
        <v>-0.38385233444364197</v>
      </c>
      <c r="BB354" s="829">
        <f t="shared" si="784"/>
        <v>-3.7718090168499354</v>
      </c>
    </row>
    <row r="355" spans="1:54" ht="15" customHeight="1">
      <c r="A355" s="535">
        <v>2003</v>
      </c>
      <c r="B355" s="449"/>
      <c r="C355" s="51"/>
      <c r="D355" s="51"/>
      <c r="E355" s="51"/>
      <c r="F355" s="51"/>
      <c r="G355" s="51"/>
      <c r="H355" s="51"/>
      <c r="I355" s="536" t="s">
        <v>344</v>
      </c>
      <c r="J355" s="677" t="s">
        <v>542</v>
      </c>
      <c r="K355" s="543">
        <f t="shared" ref="K355:O355" si="785">LN(K172)</f>
        <v>12.485135586149022</v>
      </c>
      <c r="L355" s="543">
        <f t="shared" si="785"/>
        <v>12.409436607138757</v>
      </c>
      <c r="M355" s="543">
        <f t="shared" si="785"/>
        <v>12.467929716450607</v>
      </c>
      <c r="N355" s="543">
        <f t="shared" si="785"/>
        <v>12.457357019311114</v>
      </c>
      <c r="O355" s="543">
        <f t="shared" si="785"/>
        <v>12.425683128237303</v>
      </c>
      <c r="P355" s="149">
        <f t="shared" si="601"/>
        <v>2.4608531500821644E-2</v>
      </c>
      <c r="Q355" s="149">
        <f t="shared" si="602"/>
        <v>-3.7389752597946767E-2</v>
      </c>
      <c r="R355" s="149">
        <f t="shared" si="603"/>
        <v>-5.1316125939405523E-2</v>
      </c>
      <c r="S355" s="149">
        <f t="shared" si="604"/>
        <v>0</v>
      </c>
      <c r="T355" s="149">
        <f t="shared" si="605"/>
        <v>-3.2379015249367656E-2</v>
      </c>
      <c r="U355" s="51">
        <f t="shared" si="606"/>
        <v>0.80606456194583986</v>
      </c>
      <c r="V355" s="51">
        <f t="shared" si="607"/>
        <v>0.76840969590343933</v>
      </c>
      <c r="W355" s="51">
        <f t="shared" si="608"/>
        <v>0.6951190909336934</v>
      </c>
      <c r="X355" s="51">
        <f t="shared" si="609"/>
        <v>0.65782953183232662</v>
      </c>
      <c r="Y355" s="51">
        <f t="shared" si="610"/>
        <v>0.72128752405919205</v>
      </c>
      <c r="Z355" s="51">
        <f t="shared" si="611"/>
        <v>1.7686746107171578</v>
      </c>
      <c r="AA355" s="51">
        <f t="shared" si="612"/>
        <v>2.415763122525949</v>
      </c>
      <c r="AB355" s="51">
        <f t="shared" si="613"/>
        <v>2.6281599465962633</v>
      </c>
      <c r="AC355" s="51">
        <f t="shared" si="614"/>
        <v>2.4782897395530723</v>
      </c>
      <c r="AD355" s="62">
        <f t="shared" si="615"/>
        <v>2.4341695116520707</v>
      </c>
      <c r="AF355" s="701">
        <f t="shared" si="596"/>
        <v>-5.6050975071106929E-2</v>
      </c>
      <c r="AI355" s="701">
        <f t="shared" si="597"/>
        <v>-0.15957347508104308</v>
      </c>
      <c r="AK355" s="678">
        <f t="shared" si="616"/>
        <v>4.2246588213303585E-2</v>
      </c>
      <c r="AL355" s="51">
        <f t="shared" si="617"/>
        <v>-2.6168433125498658E-2</v>
      </c>
      <c r="AM355" s="827">
        <f t="shared" ref="AM355:AV355" si="786">AM172</f>
        <v>28989.099492000001</v>
      </c>
      <c r="AN355" s="827">
        <f t="shared" si="786"/>
        <v>23497.186701999999</v>
      </c>
      <c r="AO355" s="827">
        <f t="shared" si="786"/>
        <v>30146.126345999997</v>
      </c>
      <c r="AP355" s="827">
        <f t="shared" si="786"/>
        <v>35501.921367000003</v>
      </c>
      <c r="AQ355" s="827">
        <f t="shared" si="786"/>
        <v>28524.051199999998</v>
      </c>
      <c r="AR355" s="827">
        <f t="shared" si="786"/>
        <v>9550.3752239999994</v>
      </c>
      <c r="AS355" s="827">
        <f t="shared" si="786"/>
        <v>10990.895454</v>
      </c>
      <c r="AT355" s="827">
        <f t="shared" si="786"/>
        <v>11558.321838</v>
      </c>
      <c r="AU355" s="827">
        <f t="shared" si="786"/>
        <v>12932.660261999999</v>
      </c>
      <c r="AV355" s="827">
        <f t="shared" si="786"/>
        <v>14277.844395999999</v>
      </c>
      <c r="AW355" s="829">
        <f t="shared" ref="AW355:BB355" si="787">AW172</f>
        <v>-0.56494557093364761</v>
      </c>
      <c r="AX355" s="829">
        <f t="shared" si="787"/>
        <v>0</v>
      </c>
      <c r="AY355" s="829">
        <f t="shared" si="787"/>
        <v>-1.1537511736485357</v>
      </c>
      <c r="AZ355" s="829">
        <f t="shared" si="787"/>
        <v>-0.48630420382426554</v>
      </c>
      <c r="BA355" s="829">
        <f t="shared" si="787"/>
        <v>0</v>
      </c>
      <c r="BB355" s="829">
        <f t="shared" si="787"/>
        <v>-0.93686145379868702</v>
      </c>
    </row>
    <row r="356" spans="1:54" ht="15" customHeight="1">
      <c r="A356" s="683">
        <v>2018</v>
      </c>
      <c r="B356" s="449"/>
      <c r="C356" s="51"/>
      <c r="D356" s="51"/>
      <c r="E356" s="51"/>
      <c r="F356" s="51"/>
      <c r="G356" s="51"/>
      <c r="H356" s="51"/>
      <c r="I356" s="536" t="s">
        <v>341</v>
      </c>
      <c r="J356" s="677" t="s">
        <v>1000</v>
      </c>
      <c r="K356" s="543">
        <f t="shared" ref="K356:O356" si="788">LN(K173)</f>
        <v>11.181301741157258</v>
      </c>
      <c r="L356" s="543">
        <f t="shared" si="788"/>
        <v>11.186425355126</v>
      </c>
      <c r="M356" s="543">
        <f t="shared" si="788"/>
        <v>11.063783339563413</v>
      </c>
      <c r="N356" s="543">
        <f t="shared" si="788"/>
        <v>11.020952460926933</v>
      </c>
      <c r="O356" s="543">
        <f t="shared" si="788"/>
        <v>10.96576979414224</v>
      </c>
      <c r="P356" s="149">
        <f t="shared" si="601"/>
        <v>6.9737245325102462E-2</v>
      </c>
      <c r="Q356" s="149">
        <f t="shared" si="602"/>
        <v>7.9027676667880006E-2</v>
      </c>
      <c r="R356" s="149">
        <f t="shared" si="603"/>
        <v>7.4259616860425731E-2</v>
      </c>
      <c r="S356" s="149">
        <f t="shared" si="604"/>
        <v>5.9619101751665168E-2</v>
      </c>
      <c r="T356" s="149">
        <f t="shared" si="605"/>
        <v>6.2386190200515737E-2</v>
      </c>
      <c r="U356" s="51">
        <f t="shared" si="606"/>
        <v>0.82121005196015295</v>
      </c>
      <c r="V356" s="51">
        <f t="shared" si="607"/>
        <v>0.84698433350562274</v>
      </c>
      <c r="W356" s="51">
        <f t="shared" si="608"/>
        <v>0.80777346195140676</v>
      </c>
      <c r="X356" s="51">
        <f t="shared" si="609"/>
        <v>0.75653775889320007</v>
      </c>
      <c r="Y356" s="51">
        <f t="shared" si="610"/>
        <v>0.76312034841021437</v>
      </c>
      <c r="Z356" s="51">
        <f t="shared" si="611"/>
        <v>2.862836960896487</v>
      </c>
      <c r="AA356" s="51">
        <f t="shared" si="612"/>
        <v>2.7420464469673957</v>
      </c>
      <c r="AB356" s="51">
        <f t="shared" si="613"/>
        <v>2.3227445892111702</v>
      </c>
      <c r="AC356" s="51">
        <f t="shared" si="614"/>
        <v>2.7265790175913946</v>
      </c>
      <c r="AD356" s="62">
        <f t="shared" si="615"/>
        <v>2.222120867657444</v>
      </c>
      <c r="AF356" s="701">
        <f t="shared" si="596"/>
        <v>3.3856468161236081E-2</v>
      </c>
      <c r="AI356" s="701">
        <f t="shared" si="597"/>
        <v>0.31207407208119287</v>
      </c>
      <c r="AK356" s="678">
        <f t="shared" si="616"/>
        <v>9.8013545421174006E-2</v>
      </c>
      <c r="AL356" s="51">
        <f t="shared" si="617"/>
        <v>4.4653113541192391E-2</v>
      </c>
      <c r="AM356" s="827">
        <f t="shared" ref="AM356:AV356" si="789">AM173</f>
        <v>4482.5395416021302</v>
      </c>
      <c r="AN356" s="827">
        <f t="shared" si="789"/>
        <v>4025.9084554463602</v>
      </c>
      <c r="AO356" s="827">
        <f t="shared" si="789"/>
        <v>5281.43501912802</v>
      </c>
      <c r="AP356" s="827">
        <f t="shared" si="789"/>
        <v>5459.4936635643198</v>
      </c>
      <c r="AQ356" s="827">
        <f t="shared" si="789"/>
        <v>6167.8441196829099</v>
      </c>
      <c r="AR356" s="827">
        <f t="shared" si="789"/>
        <v>2468.9341627359399</v>
      </c>
      <c r="AS356" s="827">
        <f t="shared" si="789"/>
        <v>3010.0819866061202</v>
      </c>
      <c r="AT356" s="827">
        <f t="shared" si="789"/>
        <v>4174.82910927385</v>
      </c>
      <c r="AU356" s="827">
        <f t="shared" si="789"/>
        <v>645.91484378278301</v>
      </c>
      <c r="AV356" s="827">
        <f t="shared" si="789"/>
        <v>828.136422641575</v>
      </c>
      <c r="AW356" s="829">
        <f t="shared" ref="AW356:BB356" si="790">AW173</f>
        <v>4.3587292248860159</v>
      </c>
      <c r="AX356" s="829">
        <f t="shared" si="790"/>
        <v>5.6435061464457466</v>
      </c>
      <c r="AY356" s="829">
        <f t="shared" si="790"/>
        <v>1.1351520938480428</v>
      </c>
      <c r="AZ356" s="829">
        <f t="shared" si="790"/>
        <v>3.4648646198190143</v>
      </c>
      <c r="BA356" s="829">
        <f t="shared" si="790"/>
        <v>4.4320816842158006</v>
      </c>
      <c r="BB356" s="829">
        <f t="shared" si="790"/>
        <v>1.0894318599484711</v>
      </c>
    </row>
    <row r="357" spans="1:54" ht="15" customHeight="1">
      <c r="A357" s="535">
        <v>2018</v>
      </c>
      <c r="B357" s="449"/>
      <c r="C357" s="51"/>
      <c r="D357" s="51"/>
      <c r="E357" s="51"/>
      <c r="F357" s="51"/>
      <c r="G357" s="51"/>
      <c r="H357" s="51"/>
      <c r="I357" s="536" t="s">
        <v>341</v>
      </c>
      <c r="J357" s="677" t="s">
        <v>999</v>
      </c>
      <c r="K357" s="543">
        <f t="shared" ref="K357:O357" si="791">LN(K174)</f>
        <v>12.656005589993031</v>
      </c>
      <c r="L357" s="543">
        <f t="shared" si="791"/>
        <v>12.453403842701976</v>
      </c>
      <c r="M357" s="543">
        <f t="shared" si="791"/>
        <v>12.398412371024772</v>
      </c>
      <c r="N357" s="543">
        <f t="shared" si="791"/>
        <v>12.332906732588018</v>
      </c>
      <c r="O357" s="543">
        <f t="shared" si="791"/>
        <v>12.178679857020983</v>
      </c>
      <c r="P357" s="149">
        <f t="shared" si="601"/>
        <v>9.8648608534322835E-2</v>
      </c>
      <c r="Q357" s="149">
        <f t="shared" si="602"/>
        <v>0.10042242543645631</v>
      </c>
      <c r="R357" s="149">
        <f t="shared" si="603"/>
        <v>8.4488089408701103E-2</v>
      </c>
      <c r="S357" s="149">
        <f t="shared" si="604"/>
        <v>8.1494613937968641E-2</v>
      </c>
      <c r="T357" s="149">
        <f t="shared" si="605"/>
        <v>6.9693464970047025E-2</v>
      </c>
      <c r="U357" s="51">
        <f t="shared" si="606"/>
        <v>0.66972396803213552</v>
      </c>
      <c r="V357" s="51">
        <f t="shared" si="607"/>
        <v>0.67350680591410472</v>
      </c>
      <c r="W357" s="51">
        <f t="shared" si="608"/>
        <v>0.70563729440995171</v>
      </c>
      <c r="X357" s="51">
        <f t="shared" si="609"/>
        <v>0.63387689228967548</v>
      </c>
      <c r="Y357" s="51">
        <f t="shared" si="610"/>
        <v>0.65779831327396265</v>
      </c>
      <c r="Z357" s="51">
        <f t="shared" si="611"/>
        <v>1.9812665549707735</v>
      </c>
      <c r="AA357" s="51">
        <f t="shared" si="612"/>
        <v>1.8542132437406589</v>
      </c>
      <c r="AB357" s="51">
        <f t="shared" si="613"/>
        <v>1.9751207554930548</v>
      </c>
      <c r="AC357" s="51">
        <f t="shared" si="614"/>
        <v>2.4409409998189164</v>
      </c>
      <c r="AD357" s="62">
        <f t="shared" si="615"/>
        <v>2.4955487448920022</v>
      </c>
      <c r="AE357" s="165"/>
      <c r="AF357" s="701">
        <f t="shared" si="596"/>
        <v>-7.0492600500971225E-3</v>
      </c>
      <c r="AG357" s="165"/>
      <c r="AH357" s="165"/>
      <c r="AI357" s="701">
        <f t="shared" si="597"/>
        <v>5.86515286925271E-2</v>
      </c>
      <c r="AJ357" s="165"/>
      <c r="AK357" s="678">
        <f t="shared" si="616"/>
        <v>0.21973251400378885</v>
      </c>
      <c r="AL357" s="51">
        <f t="shared" si="617"/>
        <v>4.7838981135989056E-2</v>
      </c>
      <c r="AM357" s="827">
        <f t="shared" ref="AM357:AV357" si="792">AM174</f>
        <v>52283.847645000002</v>
      </c>
      <c r="AN357" s="827">
        <f t="shared" si="792"/>
        <v>45098.180834999999</v>
      </c>
      <c r="AO357" s="827">
        <f t="shared" si="792"/>
        <v>36128.606451</v>
      </c>
      <c r="AP357" s="827">
        <f t="shared" si="792"/>
        <v>34055.181378000001</v>
      </c>
      <c r="AQ357" s="827">
        <f t="shared" si="792"/>
        <v>26683.914928000002</v>
      </c>
      <c r="AR357" s="827">
        <f t="shared" si="792"/>
        <v>19576.227969</v>
      </c>
      <c r="AS357" s="827">
        <f t="shared" si="792"/>
        <v>20120.744879999998</v>
      </c>
      <c r="AT357" s="827">
        <f t="shared" si="792"/>
        <v>22893.923751999999</v>
      </c>
      <c r="AU357" s="827">
        <f t="shared" si="792"/>
        <v>70.571004000000002</v>
      </c>
      <c r="AV357" s="827">
        <f t="shared" si="792"/>
        <v>26.392388</v>
      </c>
      <c r="AW357" s="829">
        <f t="shared" ref="AW357:BB357" si="793">AW174</f>
        <v>513.86238532110087</v>
      </c>
      <c r="AX357" s="829">
        <f t="shared" si="793"/>
        <v>262.18989547038331</v>
      </c>
      <c r="AY357" s="829">
        <f t="shared" si="793"/>
        <v>0.89461738646747979</v>
      </c>
      <c r="AZ357" s="829">
        <f t="shared" si="793"/>
        <v>338.19173375818838</v>
      </c>
      <c r="BA357" s="829">
        <f t="shared" si="793"/>
        <v>166.39503967494704</v>
      </c>
      <c r="BB357" s="829">
        <f t="shared" si="793"/>
        <v>0.79814957110209306</v>
      </c>
    </row>
  </sheetData>
  <mergeCells count="46">
    <mergeCell ref="AW232:AY232"/>
    <mergeCell ref="AZ232:BB232"/>
    <mergeCell ref="AR232:AV232"/>
    <mergeCell ref="AM49:AQ49"/>
    <mergeCell ref="AE49:AG49"/>
    <mergeCell ref="AH49:AJ49"/>
    <mergeCell ref="AE186:AG186"/>
    <mergeCell ref="AH186:AJ186"/>
    <mergeCell ref="AH232:AJ232"/>
    <mergeCell ref="AM232:AQ232"/>
    <mergeCell ref="AW186:AY186"/>
    <mergeCell ref="AZ186:BB186"/>
    <mergeCell ref="AR49:AV49"/>
    <mergeCell ref="A1:A2"/>
    <mergeCell ref="AE1:AG1"/>
    <mergeCell ref="AH1:AJ1"/>
    <mergeCell ref="AM1:AQ1"/>
    <mergeCell ref="D1:D2"/>
    <mergeCell ref="C1:C2"/>
    <mergeCell ref="J1:J2"/>
    <mergeCell ref="I1:I2"/>
    <mergeCell ref="K1:O1"/>
    <mergeCell ref="P1:T1"/>
    <mergeCell ref="U1:Y1"/>
    <mergeCell ref="Z1:AD1"/>
    <mergeCell ref="K232:O232"/>
    <mergeCell ref="P232:T232"/>
    <mergeCell ref="U232:Y232"/>
    <mergeCell ref="Z232:AD232"/>
    <mergeCell ref="AE232:AG232"/>
    <mergeCell ref="AW1:AY1"/>
    <mergeCell ref="AZ1:BB1"/>
    <mergeCell ref="AW49:AY49"/>
    <mergeCell ref="AZ49:BB49"/>
    <mergeCell ref="A186:J187"/>
    <mergeCell ref="AR1:AV1"/>
    <mergeCell ref="AR186:AV186"/>
    <mergeCell ref="K186:O186"/>
    <mergeCell ref="P186:T186"/>
    <mergeCell ref="Z186:AD186"/>
    <mergeCell ref="AM186:AQ186"/>
    <mergeCell ref="U186:Y186"/>
    <mergeCell ref="K49:O49"/>
    <mergeCell ref="P49:T49"/>
    <mergeCell ref="U49:Y49"/>
    <mergeCell ref="Z49:AD4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3E248-E414-4666-B739-56489992B8F7}">
  <dimension ref="A1:F5"/>
  <sheetViews>
    <sheetView workbookViewId="0">
      <selection sqref="A1:E5"/>
    </sheetView>
  </sheetViews>
  <sheetFormatPr baseColWidth="10" defaultRowHeight="15"/>
  <cols>
    <col min="4" max="4" width="20.83203125" bestFit="1" customWidth="1"/>
  </cols>
  <sheetData>
    <row r="1" spans="1:6">
      <c r="A1" s="252" t="s">
        <v>1112</v>
      </c>
      <c r="B1" s="252" t="s">
        <v>486</v>
      </c>
      <c r="C1" s="252" t="s">
        <v>1087</v>
      </c>
      <c r="D1" s="252" t="s">
        <v>1113</v>
      </c>
    </row>
    <row r="2" spans="1:6">
      <c r="A2" s="685" t="s">
        <v>1108</v>
      </c>
      <c r="B2" s="685" t="s">
        <v>487</v>
      </c>
      <c r="C2">
        <v>2016</v>
      </c>
      <c r="D2" s="848">
        <v>261179</v>
      </c>
    </row>
    <row r="3" spans="1:6">
      <c r="A3" s="685" t="s">
        <v>1109</v>
      </c>
      <c r="C3">
        <v>2010</v>
      </c>
      <c r="D3" s="850" t="s">
        <v>1115</v>
      </c>
      <c r="E3" s="685" t="s">
        <v>487</v>
      </c>
    </row>
    <row r="4" spans="1:6">
      <c r="A4" s="685" t="s">
        <v>1110</v>
      </c>
      <c r="B4" s="685" t="s">
        <v>1114</v>
      </c>
      <c r="C4">
        <v>2010</v>
      </c>
      <c r="D4" s="848">
        <v>90000</v>
      </c>
      <c r="E4" s="849">
        <f>D4*1.327</f>
        <v>119430</v>
      </c>
      <c r="F4" s="849"/>
    </row>
    <row r="5" spans="1:6">
      <c r="A5" s="685" t="s">
        <v>1111</v>
      </c>
      <c r="B5" s="685" t="s">
        <v>487</v>
      </c>
      <c r="C5">
        <v>2011</v>
      </c>
      <c r="D5" s="848">
        <v>484000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25C65-0C2B-44ED-9C4B-42F592DD4881}">
  <dimension ref="A1:AC174"/>
  <sheetViews>
    <sheetView workbookViewId="0">
      <selection activeCell="J20" sqref="J20"/>
    </sheetView>
  </sheetViews>
  <sheetFormatPr baseColWidth="10" defaultRowHeight="15"/>
  <cols>
    <col min="3" max="4" width="16.5" bestFit="1" customWidth="1"/>
    <col min="5" max="5" width="20.6640625" bestFit="1" customWidth="1"/>
    <col min="6" max="6" width="16.5" style="848" bestFit="1" customWidth="1"/>
    <col min="7" max="7" width="13.83203125" bestFit="1" customWidth="1"/>
    <col min="8" max="8" width="18.83203125" bestFit="1" customWidth="1"/>
    <col min="9" max="13" width="13.5" bestFit="1" customWidth="1"/>
    <col min="14" max="14" width="11.83203125" bestFit="1" customWidth="1"/>
    <col min="15" max="29" width="13.5" bestFit="1" customWidth="1"/>
  </cols>
  <sheetData>
    <row r="1" spans="1:29">
      <c r="A1" s="950" t="s">
        <v>72</v>
      </c>
      <c r="B1" s="858"/>
      <c r="C1" s="858" t="s">
        <v>23</v>
      </c>
      <c r="D1" s="858" t="s">
        <v>23</v>
      </c>
      <c r="E1" s="858"/>
      <c r="F1" s="870" t="s">
        <v>23</v>
      </c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R1" s="858"/>
      <c r="S1" s="858"/>
      <c r="T1" s="858"/>
      <c r="U1" s="858"/>
      <c r="V1" s="858"/>
      <c r="W1" s="858"/>
      <c r="X1" s="858"/>
      <c r="Y1" s="858"/>
      <c r="Z1" s="858"/>
      <c r="AA1" s="858"/>
      <c r="AB1" s="858"/>
      <c r="AC1" s="858"/>
    </row>
    <row r="2" spans="1:29">
      <c r="A2" s="950"/>
      <c r="B2" s="858" t="s">
        <v>1116</v>
      </c>
      <c r="C2" s="858" t="s">
        <v>1117</v>
      </c>
      <c r="D2" s="858" t="s">
        <v>1118</v>
      </c>
      <c r="E2" s="858"/>
      <c r="F2" s="870" t="s">
        <v>1118</v>
      </c>
      <c r="G2" s="858"/>
      <c r="H2" s="858"/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858"/>
      <c r="Z2" s="858"/>
      <c r="AA2" s="858"/>
      <c r="AB2" s="858"/>
      <c r="AC2" s="858"/>
    </row>
    <row r="3" spans="1:29" ht="17">
      <c r="A3" s="866" t="s">
        <v>73</v>
      </c>
      <c r="B3" s="869">
        <v>2015</v>
      </c>
      <c r="C3" s="891">
        <v>-9245</v>
      </c>
      <c r="D3" s="876">
        <v>-10.973000000000001</v>
      </c>
      <c r="E3" s="858"/>
      <c r="F3" s="850">
        <v>-10973</v>
      </c>
      <c r="G3" s="896"/>
      <c r="H3" s="858"/>
      <c r="I3" s="858"/>
      <c r="J3" s="858"/>
      <c r="K3" s="858"/>
      <c r="L3" s="858"/>
      <c r="M3" s="858"/>
      <c r="N3" s="858"/>
      <c r="O3" s="858"/>
      <c r="P3" s="858"/>
      <c r="Q3" s="858"/>
      <c r="R3" s="858"/>
      <c r="S3" s="858"/>
      <c r="T3" s="858"/>
      <c r="U3" s="858"/>
      <c r="V3" s="858"/>
      <c r="W3" s="858"/>
      <c r="X3" s="858"/>
      <c r="Y3" s="858"/>
      <c r="Z3" s="858"/>
      <c r="AA3" s="858"/>
      <c r="AB3" s="858"/>
      <c r="AC3" s="858"/>
    </row>
    <row r="4" spans="1:29" ht="17">
      <c r="A4" s="867" t="s">
        <v>137</v>
      </c>
      <c r="B4" s="869">
        <v>2014</v>
      </c>
      <c r="C4" s="891">
        <v>237529.76747158199</v>
      </c>
      <c r="D4" s="876">
        <v>275.18700000000001</v>
      </c>
      <c r="E4" s="858"/>
      <c r="F4" s="850">
        <v>275187</v>
      </c>
      <c r="G4" s="897"/>
      <c r="H4" s="858"/>
      <c r="I4" s="858"/>
      <c r="J4" s="858"/>
      <c r="K4" s="858"/>
      <c r="L4" s="858"/>
      <c r="M4" s="858"/>
      <c r="N4" s="858"/>
      <c r="O4" s="858"/>
      <c r="P4" s="858"/>
      <c r="Q4" s="858"/>
      <c r="R4" s="858"/>
      <c r="S4" s="858"/>
      <c r="T4" s="858"/>
      <c r="U4" s="858"/>
      <c r="V4" s="858"/>
      <c r="W4" s="858"/>
      <c r="X4" s="858"/>
      <c r="Y4" s="858"/>
      <c r="Z4" s="858"/>
      <c r="AA4" s="858"/>
      <c r="AB4" s="858"/>
      <c r="AC4" s="858"/>
    </row>
    <row r="5" spans="1:29" ht="17">
      <c r="A5" s="867" t="s">
        <v>139</v>
      </c>
      <c r="B5" s="869">
        <v>2014</v>
      </c>
      <c r="C5" s="891">
        <v>184331.74166312799</v>
      </c>
      <c r="D5" s="892">
        <v>435.92</v>
      </c>
      <c r="E5" s="858"/>
      <c r="F5" s="850">
        <v>435920</v>
      </c>
      <c r="G5" s="897"/>
      <c r="H5" s="858"/>
      <c r="I5" s="858"/>
      <c r="J5" s="858"/>
      <c r="K5" s="858"/>
      <c r="L5" s="858"/>
      <c r="M5" s="858"/>
      <c r="N5" s="858"/>
      <c r="O5" s="858"/>
      <c r="P5" s="858"/>
      <c r="Q5" s="858"/>
      <c r="R5" s="858"/>
      <c r="S5" s="858"/>
      <c r="T5" s="858"/>
      <c r="U5" s="858"/>
      <c r="V5" s="858"/>
      <c r="W5" s="858"/>
      <c r="X5" s="858"/>
      <c r="Y5" s="858"/>
      <c r="Z5" s="858"/>
      <c r="AA5" s="858"/>
      <c r="AB5" s="858"/>
      <c r="AC5" s="858"/>
    </row>
    <row r="6" spans="1:29" ht="17">
      <c r="A6" s="867" t="s">
        <v>140</v>
      </c>
      <c r="B6" s="869">
        <v>2014</v>
      </c>
      <c r="C6" s="891">
        <v>831809.20259356499</v>
      </c>
      <c r="D6" s="876">
        <v>968.34799999999996</v>
      </c>
      <c r="E6" s="858"/>
      <c r="F6" s="850">
        <v>968348</v>
      </c>
      <c r="G6" s="897"/>
      <c r="H6" s="858"/>
      <c r="I6" s="858"/>
      <c r="J6" s="858"/>
      <c r="K6" s="858"/>
      <c r="L6" s="858"/>
      <c r="M6" s="858"/>
      <c r="N6" s="858"/>
      <c r="O6" s="858"/>
      <c r="P6" s="858"/>
      <c r="Q6" s="858"/>
      <c r="R6" s="858"/>
      <c r="S6" s="858"/>
      <c r="T6" s="858"/>
      <c r="U6" s="858"/>
      <c r="V6" s="858"/>
      <c r="W6" s="858"/>
      <c r="X6" s="858"/>
      <c r="Y6" s="858"/>
      <c r="Z6" s="858"/>
      <c r="AA6" s="858"/>
      <c r="AB6" s="858"/>
      <c r="AC6" s="858"/>
    </row>
    <row r="7" spans="1:29" ht="17">
      <c r="A7" s="887" t="s">
        <v>141</v>
      </c>
      <c r="B7" s="877">
        <v>2014</v>
      </c>
      <c r="C7" s="891">
        <v>2137.0065585672901</v>
      </c>
      <c r="D7" s="876">
        <v>2.1840000000000002</v>
      </c>
      <c r="E7" s="858"/>
      <c r="F7" s="850">
        <v>2184</v>
      </c>
      <c r="G7" s="897"/>
      <c r="H7" s="858"/>
      <c r="I7" s="858"/>
      <c r="J7" s="858"/>
      <c r="K7" s="858"/>
      <c r="L7" s="858"/>
      <c r="M7" s="858"/>
      <c r="N7" s="858"/>
      <c r="O7" s="858"/>
      <c r="P7" s="858"/>
      <c r="Q7" s="858"/>
      <c r="R7" s="858"/>
      <c r="S7" s="858"/>
      <c r="T7" s="858"/>
      <c r="U7" s="858"/>
      <c r="V7" s="858"/>
      <c r="W7" s="858"/>
      <c r="X7" s="858"/>
      <c r="Y7" s="858"/>
      <c r="Z7" s="858"/>
      <c r="AA7" s="858"/>
      <c r="AB7" s="858"/>
      <c r="AC7" s="858"/>
    </row>
    <row r="8" spans="1:29" ht="17">
      <c r="A8" s="867" t="s">
        <v>142</v>
      </c>
      <c r="B8" s="869">
        <v>2014</v>
      </c>
      <c r="C8" s="891">
        <v>307441</v>
      </c>
      <c r="D8" s="876">
        <v>277.69400000000002</v>
      </c>
      <c r="E8" s="858"/>
      <c r="F8" s="850">
        <v>277694</v>
      </c>
      <c r="G8" s="897"/>
      <c r="H8" s="858"/>
      <c r="I8" s="858"/>
      <c r="J8" s="858"/>
      <c r="K8" s="858"/>
      <c r="L8" s="858"/>
      <c r="M8" s="858"/>
      <c r="N8" s="858"/>
      <c r="O8" s="858"/>
      <c r="P8" s="858"/>
      <c r="Q8" s="858"/>
      <c r="R8" s="858"/>
      <c r="S8" s="858"/>
      <c r="T8" s="858"/>
      <c r="U8" s="858"/>
      <c r="V8" s="858"/>
      <c r="W8" s="858"/>
      <c r="X8" s="858"/>
      <c r="Y8" s="858"/>
      <c r="Z8" s="858"/>
      <c r="AA8" s="858"/>
      <c r="AB8" s="858"/>
      <c r="AC8" s="858"/>
    </row>
    <row r="9" spans="1:29" ht="17">
      <c r="A9" s="867" t="s">
        <v>143</v>
      </c>
      <c r="B9" s="869">
        <v>2014</v>
      </c>
      <c r="C9" s="891">
        <v>40825.328558027701</v>
      </c>
      <c r="D9" s="876">
        <v>55.473999999999997</v>
      </c>
      <c r="E9" s="858"/>
      <c r="F9" s="850">
        <v>55474</v>
      </c>
      <c r="G9" s="897"/>
      <c r="H9" s="858"/>
      <c r="I9" s="858"/>
      <c r="J9" s="858"/>
      <c r="K9" s="858"/>
      <c r="L9" s="858"/>
      <c r="M9" s="858"/>
      <c r="N9" s="858"/>
      <c r="O9" s="858"/>
      <c r="P9" s="858"/>
      <c r="Q9" s="858"/>
      <c r="R9" s="858"/>
      <c r="S9" s="858"/>
      <c r="T9" s="858"/>
      <c r="U9" s="858"/>
      <c r="V9" s="858"/>
      <c r="W9" s="858"/>
      <c r="X9" s="858"/>
      <c r="Y9" s="858"/>
      <c r="Z9" s="858"/>
      <c r="AA9" s="858"/>
      <c r="AB9" s="858"/>
      <c r="AC9" s="858"/>
    </row>
    <row r="10" spans="1:29">
      <c r="A10" s="867" t="s">
        <v>144</v>
      </c>
      <c r="B10" s="869">
        <v>2013</v>
      </c>
      <c r="C10" s="891">
        <v>95930.340970158606</v>
      </c>
      <c r="D10" s="858"/>
      <c r="E10" s="858"/>
      <c r="F10" s="850">
        <f>D156*P12</f>
        <v>77328.679999999993</v>
      </c>
      <c r="G10" s="897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</row>
    <row r="11" spans="1:29" ht="42">
      <c r="A11" s="868" t="s">
        <v>145</v>
      </c>
      <c r="B11" s="869">
        <v>2012</v>
      </c>
      <c r="C11" s="891">
        <v>29272.999971842401</v>
      </c>
      <c r="D11" s="876">
        <v>26.818000000000001</v>
      </c>
      <c r="E11" s="858"/>
      <c r="F11" s="850">
        <v>26818</v>
      </c>
      <c r="G11" s="898"/>
      <c r="H11" s="894" t="s">
        <v>347</v>
      </c>
      <c r="I11" s="860">
        <v>2002</v>
      </c>
      <c r="J11" s="860">
        <v>2003</v>
      </c>
      <c r="K11" s="860">
        <v>2004</v>
      </c>
      <c r="L11" s="860">
        <v>2005</v>
      </c>
      <c r="M11" s="860">
        <v>2006</v>
      </c>
      <c r="N11" s="860">
        <v>2007</v>
      </c>
      <c r="O11" s="860">
        <v>2008</v>
      </c>
      <c r="P11" s="860">
        <v>2009</v>
      </c>
      <c r="Q11" s="860">
        <v>2010</v>
      </c>
      <c r="R11" s="860">
        <v>2011</v>
      </c>
      <c r="S11" s="860">
        <v>2012</v>
      </c>
      <c r="T11" s="860">
        <v>2013</v>
      </c>
      <c r="U11" s="860">
        <v>2014</v>
      </c>
      <c r="V11" s="860">
        <v>2015</v>
      </c>
      <c r="W11" s="860">
        <v>2016</v>
      </c>
      <c r="X11" s="860">
        <v>2017</v>
      </c>
      <c r="Y11" s="860">
        <v>2018</v>
      </c>
      <c r="Z11" s="860">
        <v>2019</v>
      </c>
      <c r="AA11" s="860">
        <v>2020</v>
      </c>
      <c r="AB11" s="860">
        <v>2021</v>
      </c>
      <c r="AC11" s="860">
        <v>2022</v>
      </c>
    </row>
    <row r="12" spans="1:29" ht="28">
      <c r="A12" s="868" t="s">
        <v>146</v>
      </c>
      <c r="B12" s="869">
        <v>2015</v>
      </c>
      <c r="C12" s="891">
        <v>823649</v>
      </c>
      <c r="D12" s="876">
        <v>793.88800000000003</v>
      </c>
      <c r="E12" s="858"/>
      <c r="F12" s="850">
        <v>793888</v>
      </c>
      <c r="G12" s="899">
        <v>0.111301</v>
      </c>
      <c r="H12" s="895" t="s">
        <v>346</v>
      </c>
      <c r="I12" s="864">
        <v>0.12554599999999999</v>
      </c>
      <c r="J12" s="864">
        <v>0.141177</v>
      </c>
      <c r="K12" s="864">
        <v>0.14866199999999999</v>
      </c>
      <c r="L12" s="864">
        <v>0.15548899999999999</v>
      </c>
      <c r="M12" s="864">
        <v>0.156108</v>
      </c>
      <c r="N12" s="863">
        <v>0.17111199999999999</v>
      </c>
      <c r="O12" s="864">
        <v>0.179786</v>
      </c>
      <c r="P12" s="865">
        <v>0.15977</v>
      </c>
      <c r="Q12" s="864">
        <v>0.165661</v>
      </c>
      <c r="R12" s="864">
        <v>0.178596</v>
      </c>
      <c r="S12" s="865">
        <v>0.17192399999999999</v>
      </c>
      <c r="T12" s="864">
        <v>0.170267</v>
      </c>
      <c r="U12" s="864">
        <v>0.159195</v>
      </c>
      <c r="V12" s="864">
        <v>0.124226</v>
      </c>
      <c r="W12" s="864">
        <v>0.11905300000000001</v>
      </c>
      <c r="X12" s="864">
        <v>0.12106600000000001</v>
      </c>
      <c r="Y12" s="864">
        <v>0.122946</v>
      </c>
      <c r="Z12" s="864">
        <v>0.113701</v>
      </c>
      <c r="AA12" s="864">
        <v>0.10663499999999999</v>
      </c>
      <c r="AB12" s="864">
        <v>0.116379</v>
      </c>
      <c r="AC12" s="864">
        <v>0.112745</v>
      </c>
    </row>
    <row r="13" spans="1:29" ht="42">
      <c r="A13" s="868" t="s">
        <v>147</v>
      </c>
      <c r="B13" s="869">
        <v>2016</v>
      </c>
      <c r="C13" s="891">
        <v>174337.00003646497</v>
      </c>
      <c r="D13" s="876">
        <v>190.99700000000001</v>
      </c>
      <c r="E13" s="858"/>
      <c r="F13" s="850">
        <v>190997</v>
      </c>
      <c r="G13" s="898"/>
      <c r="H13" s="858"/>
      <c r="I13" s="858"/>
      <c r="J13" s="858"/>
      <c r="K13" s="858"/>
      <c r="L13" s="858"/>
      <c r="M13" s="858"/>
      <c r="N13" s="858"/>
      <c r="O13" s="858"/>
      <c r="P13" s="858"/>
      <c r="Q13" s="858"/>
      <c r="R13" s="858"/>
      <c r="S13" s="858"/>
      <c r="T13" s="858"/>
      <c r="U13" s="858"/>
      <c r="V13" s="858"/>
      <c r="W13" s="858"/>
      <c r="X13" s="858"/>
      <c r="Y13" s="858"/>
      <c r="Z13" s="858"/>
      <c r="AA13" s="858"/>
      <c r="AB13" s="858"/>
      <c r="AC13" s="858"/>
    </row>
    <row r="14" spans="1:29" ht="17">
      <c r="A14" s="868" t="s">
        <v>150</v>
      </c>
      <c r="B14" s="869">
        <v>2017</v>
      </c>
      <c r="C14" s="891">
        <v>10063000</v>
      </c>
      <c r="D14" s="876" t="s">
        <v>1119</v>
      </c>
      <c r="E14" s="858"/>
      <c r="F14" s="850">
        <v>10068000</v>
      </c>
      <c r="G14" s="898"/>
      <c r="H14" s="858"/>
      <c r="I14" s="858"/>
      <c r="J14" s="858"/>
      <c r="K14" s="858"/>
      <c r="L14" s="858"/>
      <c r="M14" s="858"/>
      <c r="N14" s="858"/>
      <c r="O14" s="858"/>
      <c r="P14" s="858"/>
      <c r="Q14" s="858"/>
      <c r="R14" s="858"/>
      <c r="S14" s="858"/>
      <c r="T14" s="858"/>
      <c r="U14" s="858"/>
      <c r="V14" s="858"/>
      <c r="W14" s="858"/>
      <c r="X14" s="858"/>
      <c r="Y14" s="858"/>
      <c r="Z14" s="858"/>
      <c r="AA14" s="858"/>
      <c r="AB14" s="858"/>
      <c r="AC14" s="858"/>
    </row>
    <row r="15" spans="1:29" ht="17">
      <c r="A15" s="868" t="s">
        <v>157</v>
      </c>
      <c r="B15" s="875">
        <v>2014</v>
      </c>
      <c r="C15" s="891">
        <v>879326</v>
      </c>
      <c r="D15" s="876">
        <v>978.72500000000002</v>
      </c>
      <c r="E15" s="858"/>
      <c r="F15" s="850">
        <v>978725</v>
      </c>
      <c r="G15" s="898"/>
      <c r="H15" s="858"/>
      <c r="I15" s="858"/>
      <c r="J15" s="858"/>
      <c r="K15" s="858"/>
      <c r="L15" s="858"/>
      <c r="M15" s="858"/>
      <c r="N15" s="858"/>
      <c r="O15" s="858"/>
      <c r="P15" s="858"/>
      <c r="Q15" s="858"/>
      <c r="R15" s="858"/>
      <c r="S15" s="858"/>
      <c r="T15" s="858"/>
      <c r="U15" s="858"/>
      <c r="V15" s="858"/>
      <c r="W15" s="858"/>
      <c r="X15" s="858"/>
      <c r="Y15" s="858"/>
      <c r="Z15" s="858"/>
      <c r="AA15" s="858"/>
      <c r="AB15" s="858"/>
      <c r="AC15" s="858"/>
    </row>
    <row r="16" spans="1:29" ht="28">
      <c r="A16" s="868" t="s">
        <v>202</v>
      </c>
      <c r="B16" s="869">
        <v>2018</v>
      </c>
      <c r="C16" s="891">
        <v>129768.22408000001</v>
      </c>
      <c r="D16" s="878" t="s">
        <v>1120</v>
      </c>
      <c r="E16" s="893">
        <v>1071880</v>
      </c>
      <c r="F16" s="850">
        <f>1654172*W12</f>
        <v>196934.13911600001</v>
      </c>
      <c r="G16" s="898"/>
      <c r="H16" s="858"/>
      <c r="I16" s="858"/>
      <c r="J16" s="858"/>
      <c r="K16" s="858"/>
      <c r="L16" s="858"/>
      <c r="M16" s="858"/>
      <c r="N16" s="858"/>
      <c r="O16" s="858"/>
      <c r="P16" s="858"/>
      <c r="Q16" s="858"/>
      <c r="R16" s="858"/>
      <c r="S16" s="858"/>
      <c r="T16" s="858"/>
      <c r="U16" s="858"/>
      <c r="V16" s="858"/>
      <c r="W16" s="858"/>
      <c r="X16" s="858"/>
      <c r="Y16" s="858"/>
      <c r="Z16" s="858"/>
      <c r="AA16" s="858"/>
      <c r="AB16" s="858"/>
      <c r="AC16" s="858"/>
    </row>
    <row r="17" spans="1:7" ht="56">
      <c r="A17" s="868" t="s">
        <v>203</v>
      </c>
      <c r="B17" s="869">
        <v>2018</v>
      </c>
      <c r="C17" s="891">
        <v>474984.41134495998</v>
      </c>
      <c r="D17" s="876">
        <v>367.10500000000002</v>
      </c>
      <c r="E17" s="893">
        <v>3923350.9932182441</v>
      </c>
      <c r="F17" s="850">
        <v>367105</v>
      </c>
      <c r="G17" s="898"/>
    </row>
    <row r="18" spans="1:7" ht="28">
      <c r="A18" s="868" t="s">
        <v>204</v>
      </c>
      <c r="B18" s="869">
        <v>2012</v>
      </c>
      <c r="C18" s="891">
        <v>164454.691622124</v>
      </c>
      <c r="D18" s="888"/>
      <c r="E18" s="888"/>
      <c r="F18" s="850">
        <f>E155</f>
        <v>119430</v>
      </c>
      <c r="G18" s="898"/>
    </row>
    <row r="19" spans="1:7" ht="28">
      <c r="A19" s="868" t="s">
        <v>205</v>
      </c>
      <c r="B19" s="869">
        <v>2013</v>
      </c>
      <c r="C19" s="891">
        <v>662400</v>
      </c>
      <c r="D19" s="892">
        <v>673.5</v>
      </c>
      <c r="E19" s="858"/>
      <c r="F19" s="850">
        <v>673500</v>
      </c>
      <c r="G19" s="898"/>
    </row>
    <row r="20" spans="1:7" ht="18">
      <c r="A20" s="868" t="s">
        <v>206</v>
      </c>
      <c r="B20" s="869">
        <v>2012</v>
      </c>
      <c r="C20" s="891">
        <v>-32455.425308108301</v>
      </c>
      <c r="D20" s="878" t="s">
        <v>1121</v>
      </c>
      <c r="E20" s="893">
        <v>-181725.37631362572</v>
      </c>
      <c r="F20" s="848">
        <f>107853*Q12</f>
        <v>17867.035833000002</v>
      </c>
      <c r="G20" s="861" t="s">
        <v>1122</v>
      </c>
    </row>
    <row r="21" spans="1:7" ht="28">
      <c r="A21" s="868" t="s">
        <v>207</v>
      </c>
      <c r="B21" s="869">
        <v>2016</v>
      </c>
      <c r="C21" s="891">
        <v>13425.5388219506</v>
      </c>
      <c r="D21" s="876">
        <v>14.971</v>
      </c>
      <c r="E21" s="858"/>
      <c r="F21" s="850">
        <v>14970</v>
      </c>
      <c r="G21" s="898"/>
    </row>
    <row r="22" spans="1:7" ht="28">
      <c r="A22" s="868" t="s">
        <v>210</v>
      </c>
      <c r="B22" s="873">
        <v>2012</v>
      </c>
      <c r="C22" s="891">
        <v>182803.543164</v>
      </c>
      <c r="D22" s="878" t="s">
        <v>1123</v>
      </c>
      <c r="E22" s="893">
        <v>1023559</v>
      </c>
      <c r="F22" s="850">
        <f>1315113*Q12</f>
        <v>217862.93469300002</v>
      </c>
      <c r="G22" s="898"/>
    </row>
    <row r="23" spans="1:7" ht="18">
      <c r="A23" s="868" t="s">
        <v>211</v>
      </c>
      <c r="B23" s="869">
        <v>2007</v>
      </c>
      <c r="C23" s="891">
        <v>23572.308000000001</v>
      </c>
      <c r="D23" s="878" t="s">
        <v>1124</v>
      </c>
      <c r="E23" s="893">
        <v>151000</v>
      </c>
      <c r="F23" s="850">
        <f>150000*L12</f>
        <v>23323.35</v>
      </c>
      <c r="G23" s="898"/>
    </row>
    <row r="24" spans="1:7" ht="28">
      <c r="A24" s="868" t="s">
        <v>212</v>
      </c>
      <c r="B24" s="869">
        <v>2004</v>
      </c>
      <c r="C24" s="891">
        <v>279953.99099999998</v>
      </c>
      <c r="D24" s="878" t="s">
        <v>699</v>
      </c>
      <c r="E24" s="893">
        <v>1983000</v>
      </c>
      <c r="F24" s="850">
        <f>1886000*I12</f>
        <v>236779.75599999999</v>
      </c>
      <c r="G24" s="898"/>
    </row>
    <row r="25" spans="1:7" ht="28">
      <c r="A25" s="868" t="s">
        <v>245</v>
      </c>
      <c r="B25" s="869">
        <v>2008</v>
      </c>
      <c r="C25" s="891">
        <v>176457.53887999998</v>
      </c>
      <c r="D25" s="878" t="s">
        <v>1125</v>
      </c>
      <c r="E25" s="893">
        <v>1031240</v>
      </c>
      <c r="F25" s="850">
        <f>1067913*M12</f>
        <v>166709.76260399999</v>
      </c>
      <c r="G25" s="898"/>
    </row>
    <row r="26" spans="1:7" ht="28">
      <c r="A26" s="868" t="s">
        <v>256</v>
      </c>
      <c r="B26" s="869">
        <v>2008</v>
      </c>
      <c r="C26" s="891">
        <v>293245</v>
      </c>
      <c r="D26" s="878" t="s">
        <v>1126</v>
      </c>
      <c r="E26" s="893">
        <v>1713760.5778671282</v>
      </c>
      <c r="F26" s="850">
        <f>959714*M12</f>
        <v>149819.033112</v>
      </c>
      <c r="G26" s="898"/>
    </row>
    <row r="27" spans="1:7" ht="28">
      <c r="A27" s="868" t="s">
        <v>257</v>
      </c>
      <c r="B27" s="869">
        <v>2006</v>
      </c>
      <c r="C27" s="891">
        <v>16862.937538999999</v>
      </c>
      <c r="D27" s="878" t="s">
        <v>1127</v>
      </c>
      <c r="E27" s="893">
        <v>108451</v>
      </c>
      <c r="F27" s="850">
        <f>83931*K12</f>
        <v>12477.350321999998</v>
      </c>
      <c r="G27" s="898"/>
    </row>
    <row r="28" spans="1:7" ht="28">
      <c r="A28" s="868" t="s">
        <v>258</v>
      </c>
      <c r="B28" s="869">
        <v>2005</v>
      </c>
      <c r="C28" s="891">
        <v>4478.4427499999993</v>
      </c>
      <c r="D28" s="878" t="s">
        <v>1128</v>
      </c>
      <c r="E28" s="893">
        <v>30124.999999999996</v>
      </c>
      <c r="F28" s="850">
        <f>21481*J12</f>
        <v>3032.623137</v>
      </c>
      <c r="G28" s="898"/>
    </row>
    <row r="29" spans="1:7" ht="42">
      <c r="A29" s="880" t="s">
        <v>259</v>
      </c>
      <c r="B29" s="877">
        <v>2013</v>
      </c>
      <c r="C29" s="891">
        <v>5412.9263833165196</v>
      </c>
      <c r="D29" s="876">
        <v>723</v>
      </c>
      <c r="E29" s="893">
        <v>31484.413946374676</v>
      </c>
      <c r="F29" s="850">
        <v>723</v>
      </c>
      <c r="G29" s="898"/>
    </row>
    <row r="30" spans="1:7" ht="18">
      <c r="A30" s="880" t="s">
        <v>260</v>
      </c>
      <c r="B30" s="877">
        <v>2010</v>
      </c>
      <c r="C30" s="891">
        <v>91390.197469999999</v>
      </c>
      <c r="D30" s="878" t="s">
        <v>1129</v>
      </c>
      <c r="E30" s="893">
        <v>572011</v>
      </c>
      <c r="F30" s="850">
        <f>643668*O12</f>
        <v>115722.495048</v>
      </c>
      <c r="G30" s="898"/>
    </row>
    <row r="31" spans="1:7" ht="42">
      <c r="A31" s="868" t="s">
        <v>309</v>
      </c>
      <c r="B31" s="869">
        <v>2010</v>
      </c>
      <c r="C31" s="891">
        <v>18233.751250000001</v>
      </c>
      <c r="D31" s="878" t="s">
        <v>1130</v>
      </c>
      <c r="E31" s="893">
        <v>114125.00000000001</v>
      </c>
      <c r="F31" s="850">
        <f>167451*O12</f>
        <v>30105.345486000002</v>
      </c>
      <c r="G31" s="898"/>
    </row>
    <row r="32" spans="1:7" ht="28">
      <c r="A32" s="868" t="s">
        <v>310</v>
      </c>
      <c r="B32" s="869">
        <v>2016</v>
      </c>
      <c r="C32" s="891">
        <v>11230.403078000001</v>
      </c>
      <c r="D32" s="878" t="s">
        <v>1131</v>
      </c>
      <c r="E32" s="893">
        <v>90403.000000000015</v>
      </c>
      <c r="F32" s="850">
        <f>90028*U12</f>
        <v>14332.007460000001</v>
      </c>
      <c r="G32" s="898"/>
    </row>
    <row r="33" spans="1:7" ht="28">
      <c r="A33" s="868" t="s">
        <v>311</v>
      </c>
      <c r="B33" s="869">
        <v>2008</v>
      </c>
      <c r="C33" s="891">
        <v>346155.64042399998</v>
      </c>
      <c r="D33" s="878" t="s">
        <v>1132</v>
      </c>
      <c r="E33" s="893">
        <v>2022977</v>
      </c>
      <c r="F33" s="850">
        <f>1712925*M12</f>
        <v>267401.29589999997</v>
      </c>
      <c r="G33" s="898"/>
    </row>
    <row r="34" spans="1:7" ht="28">
      <c r="A34" s="868" t="s">
        <v>313</v>
      </c>
      <c r="B34" s="869">
        <v>2008</v>
      </c>
      <c r="C34" s="891">
        <v>1361024.848</v>
      </c>
      <c r="D34" s="878" t="s">
        <v>1133</v>
      </c>
      <c r="E34" s="893">
        <v>7954000.0000000009</v>
      </c>
      <c r="F34" s="850">
        <f>12026000*M12</f>
        <v>1877354.808</v>
      </c>
      <c r="G34" s="898"/>
    </row>
    <row r="35" spans="1:7" ht="28">
      <c r="A35" s="880" t="s">
        <v>314</v>
      </c>
      <c r="B35" s="877">
        <v>2008</v>
      </c>
      <c r="C35" s="891">
        <v>22531.857047999998</v>
      </c>
      <c r="D35" s="878" t="s">
        <v>1134</v>
      </c>
      <c r="E35" s="893">
        <v>131679</v>
      </c>
      <c r="F35" s="850">
        <f>129244*M12</f>
        <v>20176.022352</v>
      </c>
      <c r="G35" s="898"/>
    </row>
    <row r="36" spans="1:7" ht="18">
      <c r="A36" s="887" t="s">
        <v>315</v>
      </c>
      <c r="B36" s="877">
        <v>2008</v>
      </c>
      <c r="C36" s="891">
        <v>10224.113111999999</v>
      </c>
      <c r="D36" s="878" t="s">
        <v>1135</v>
      </c>
      <c r="E36" s="893">
        <v>59751</v>
      </c>
      <c r="F36" s="850">
        <f>52516*M12</f>
        <v>8198.1677280000004</v>
      </c>
      <c r="G36" s="897"/>
    </row>
    <row r="37" spans="1:7" ht="18">
      <c r="A37" s="867" t="s">
        <v>316</v>
      </c>
      <c r="B37" s="869">
        <v>2006</v>
      </c>
      <c r="C37" s="891">
        <v>27962.053336999998</v>
      </c>
      <c r="D37" s="878" t="s">
        <v>1136</v>
      </c>
      <c r="E37" s="893">
        <v>179833</v>
      </c>
      <c r="F37" s="850">
        <f>162224*K12</f>
        <v>24116.544287999997</v>
      </c>
      <c r="G37" s="897"/>
    </row>
    <row r="38" spans="1:7" ht="18">
      <c r="A38" s="867" t="s">
        <v>305</v>
      </c>
      <c r="B38" s="869">
        <v>2005</v>
      </c>
      <c r="C38" s="891">
        <v>2701.4858639999998</v>
      </c>
      <c r="D38" s="878" t="s">
        <v>1137</v>
      </c>
      <c r="E38" s="893">
        <v>18172</v>
      </c>
      <c r="F38" s="850">
        <f>14279*J12</f>
        <v>2015.866383</v>
      </c>
      <c r="G38" s="897"/>
    </row>
    <row r="39" spans="1:7" ht="17">
      <c r="A39" s="867" t="s">
        <v>326</v>
      </c>
      <c r="B39" s="872">
        <v>2005</v>
      </c>
      <c r="C39" s="891">
        <v>83013.4100517482</v>
      </c>
      <c r="D39" s="876">
        <v>71.346000000000004</v>
      </c>
      <c r="E39" s="893">
        <v>558403.69463446073</v>
      </c>
      <c r="F39" s="850">
        <v>71346</v>
      </c>
      <c r="G39" s="897"/>
    </row>
    <row r="40" spans="1:7" ht="17">
      <c r="A40" s="867" t="s">
        <v>327</v>
      </c>
      <c r="B40" s="872">
        <v>2007</v>
      </c>
      <c r="C40" s="891">
        <v>73733.068367153406</v>
      </c>
      <c r="D40" s="876">
        <v>18.742000000000001</v>
      </c>
      <c r="E40" s="893">
        <v>472320.8827680414</v>
      </c>
      <c r="F40" s="850">
        <v>18742</v>
      </c>
      <c r="G40" s="897"/>
    </row>
    <row r="41" spans="1:7" ht="17">
      <c r="A41" s="867" t="s">
        <v>328</v>
      </c>
      <c r="B41" s="872">
        <v>2007</v>
      </c>
      <c r="C41" s="891">
        <v>30204.792854368701</v>
      </c>
      <c r="D41" s="876">
        <v>13.351000000000001</v>
      </c>
      <c r="E41" s="893">
        <v>193486.5148126214</v>
      </c>
      <c r="F41" s="850">
        <v>13351</v>
      </c>
      <c r="G41" s="897"/>
    </row>
    <row r="42" spans="1:7" ht="18">
      <c r="A42" s="867" t="s">
        <v>343</v>
      </c>
      <c r="B42" s="872">
        <v>2005</v>
      </c>
      <c r="C42" s="891">
        <v>50452.909559999993</v>
      </c>
      <c r="D42" s="878" t="s">
        <v>1138</v>
      </c>
      <c r="E42" s="893">
        <v>339380</v>
      </c>
      <c r="F42" s="850">
        <f>-163376*J12</f>
        <v>-23064.933551999999</v>
      </c>
      <c r="G42" s="897"/>
    </row>
    <row r="43" spans="1:7" ht="18">
      <c r="A43" s="867" t="s">
        <v>335</v>
      </c>
      <c r="B43" s="872">
        <v>2007</v>
      </c>
      <c r="C43" s="891">
        <v>470899.78200000001</v>
      </c>
      <c r="D43" s="878" t="s">
        <v>1139</v>
      </c>
      <c r="E43" s="893">
        <v>3016500</v>
      </c>
      <c r="F43" s="850">
        <f>1801709*L12</f>
        <v>280145.93070099998</v>
      </c>
      <c r="G43" s="897"/>
    </row>
    <row r="44" spans="1:7" ht="18">
      <c r="A44" s="867" t="s">
        <v>344</v>
      </c>
      <c r="B44" s="872">
        <v>2003</v>
      </c>
      <c r="C44" s="891">
        <v>12207.214217999999</v>
      </c>
      <c r="D44" s="878" t="s">
        <v>1140</v>
      </c>
      <c r="E44" s="893">
        <v>97233</v>
      </c>
      <c r="F44" s="850">
        <f>151631*G12</f>
        <v>16876.681930999999</v>
      </c>
      <c r="G44" s="897"/>
    </row>
    <row r="45" spans="1:7">
      <c r="A45" s="866" t="s">
        <v>341</v>
      </c>
      <c r="B45" s="872">
        <v>2018</v>
      </c>
      <c r="C45" s="891">
        <v>68940.073384657502</v>
      </c>
      <c r="D45" s="858"/>
      <c r="E45" s="893">
        <v>569442.06783620093</v>
      </c>
      <c r="F45" s="850">
        <v>31094.143487000001</v>
      </c>
      <c r="G45" s="896"/>
    </row>
    <row r="46" spans="1:7" ht="18">
      <c r="A46" s="881" t="s">
        <v>349</v>
      </c>
      <c r="B46" s="885">
        <v>2006</v>
      </c>
      <c r="C46" s="891">
        <v>214268.35118099998</v>
      </c>
      <c r="D46" s="878" t="s">
        <v>1141</v>
      </c>
      <c r="E46" s="893">
        <v>1378029</v>
      </c>
      <c r="F46" s="850">
        <f>1082499*K12</f>
        <v>160926.466338</v>
      </c>
      <c r="G46" s="896"/>
    </row>
    <row r="47" spans="1:7">
      <c r="A47" s="883"/>
      <c r="B47" s="858"/>
      <c r="C47" s="858"/>
      <c r="D47" s="858"/>
      <c r="E47" s="858"/>
      <c r="F47" s="850"/>
      <c r="G47" s="858"/>
    </row>
    <row r="48" spans="1:7">
      <c r="A48" s="882" t="s">
        <v>491</v>
      </c>
      <c r="B48" s="858"/>
      <c r="C48" s="858"/>
      <c r="D48" s="858"/>
      <c r="E48" s="858"/>
      <c r="F48" s="850"/>
      <c r="G48" s="858"/>
    </row>
    <row r="49" spans="1:6">
      <c r="A49" s="874"/>
      <c r="B49" s="858"/>
      <c r="C49" s="858"/>
      <c r="D49" s="858"/>
      <c r="E49" s="858"/>
      <c r="F49" s="850"/>
    </row>
    <row r="50" spans="1:6">
      <c r="A50" s="882"/>
      <c r="B50" s="858"/>
      <c r="C50" s="859" t="s">
        <v>1142</v>
      </c>
      <c r="D50" s="859" t="s">
        <v>1143</v>
      </c>
      <c r="E50" s="858"/>
      <c r="F50" s="850"/>
    </row>
    <row r="51" spans="1:6" ht="18">
      <c r="A51" s="890" t="s">
        <v>1080</v>
      </c>
      <c r="B51" s="889">
        <v>2012</v>
      </c>
      <c r="C51" s="900">
        <v>662077.33930800005</v>
      </c>
      <c r="D51" s="878" t="s">
        <v>1144</v>
      </c>
      <c r="E51" s="902">
        <v>3707123</v>
      </c>
      <c r="F51" s="850">
        <f>3417921*Q12</f>
        <v>566216.21078099997</v>
      </c>
    </row>
    <row r="52" spans="1:6" ht="18">
      <c r="A52" s="890" t="s">
        <v>657</v>
      </c>
      <c r="B52" s="889">
        <v>2012</v>
      </c>
      <c r="C52" s="900">
        <v>150089.04226799999</v>
      </c>
      <c r="D52" s="878" t="s">
        <v>1145</v>
      </c>
      <c r="E52" s="902">
        <v>840382.99999999988</v>
      </c>
      <c r="F52" s="850">
        <f>802735*Q12</f>
        <v>132981.882835</v>
      </c>
    </row>
    <row r="53" spans="1:6">
      <c r="A53" s="867" t="s">
        <v>526</v>
      </c>
      <c r="B53" s="869">
        <v>2016</v>
      </c>
      <c r="C53" s="900">
        <v>22848.142824000002</v>
      </c>
      <c r="D53" s="900">
        <v>22848.142824000002</v>
      </c>
      <c r="E53" s="902">
        <v>183924</v>
      </c>
      <c r="F53" s="856">
        <f>D53</f>
        <v>22848.142824000002</v>
      </c>
    </row>
    <row r="54" spans="1:6" ht="18">
      <c r="A54" s="867" t="s">
        <v>527</v>
      </c>
      <c r="B54" s="869">
        <v>2016</v>
      </c>
      <c r="C54" s="900">
        <v>26094.913560000001</v>
      </c>
      <c r="D54" s="878" t="s">
        <v>1146</v>
      </c>
      <c r="E54" s="902">
        <v>210060</v>
      </c>
      <c r="F54" s="850">
        <f>240058*U12</f>
        <v>38216.033309999999</v>
      </c>
    </row>
    <row r="55" spans="1:6" ht="18">
      <c r="A55" s="867" t="s">
        <v>359</v>
      </c>
      <c r="B55" s="869">
        <v>2012</v>
      </c>
      <c r="C55" s="900">
        <v>16651.755251999999</v>
      </c>
      <c r="D55" s="878" t="s">
        <v>1147</v>
      </c>
      <c r="E55" s="902">
        <v>93236.999999999985</v>
      </c>
      <c r="F55" s="850">
        <f>100205*Q12</f>
        <v>16600.060505000001</v>
      </c>
    </row>
    <row r="56" spans="1:6" ht="18">
      <c r="A56" s="867" t="s">
        <v>527</v>
      </c>
      <c r="B56" s="869">
        <v>2012</v>
      </c>
      <c r="C56" s="900">
        <v>78463.830851999999</v>
      </c>
      <c r="D56" s="878" t="s">
        <v>1148</v>
      </c>
      <c r="E56" s="902">
        <v>439337</v>
      </c>
      <c r="F56" s="850">
        <f>458854*Q12</f>
        <v>76014.212494000007</v>
      </c>
    </row>
    <row r="57" spans="1:6" ht="18">
      <c r="A57" s="867" t="s">
        <v>528</v>
      </c>
      <c r="B57" s="869">
        <v>2007</v>
      </c>
      <c r="C57" s="900">
        <v>513729.72898800002</v>
      </c>
      <c r="D57" s="878" t="s">
        <v>1149</v>
      </c>
      <c r="E57" s="901">
        <v>3290861</v>
      </c>
      <c r="F57" s="850">
        <f>2059898*L12</f>
        <v>320291.48012199998</v>
      </c>
    </row>
    <row r="58" spans="1:6" ht="18">
      <c r="A58" s="867" t="s">
        <v>529</v>
      </c>
      <c r="B58" s="869">
        <v>2007</v>
      </c>
      <c r="C58" s="900">
        <v>495453.85321199999</v>
      </c>
      <c r="D58" s="878" t="s">
        <v>1150</v>
      </c>
      <c r="E58" s="901">
        <v>3173789</v>
      </c>
      <c r="F58" s="850">
        <f>2693538*L12</f>
        <v>418815.53008199995</v>
      </c>
    </row>
    <row r="59" spans="1:6" ht="18">
      <c r="A59" s="867" t="s">
        <v>531</v>
      </c>
      <c r="B59" s="869">
        <v>2004</v>
      </c>
      <c r="C59" s="900">
        <v>33015.794396999998</v>
      </c>
      <c r="D59" s="878" t="s">
        <v>1151</v>
      </c>
      <c r="E59" s="901">
        <v>233861</v>
      </c>
      <c r="F59" s="850">
        <f>171427*I12</f>
        <v>21521.974141999999</v>
      </c>
    </row>
    <row r="60" spans="1:6" ht="18">
      <c r="A60" s="867" t="s">
        <v>533</v>
      </c>
      <c r="B60" s="869">
        <v>2004</v>
      </c>
      <c r="C60" s="900">
        <v>378495.53700000001</v>
      </c>
      <c r="D60" s="878" t="s">
        <v>1152</v>
      </c>
      <c r="E60" s="901">
        <v>2681000</v>
      </c>
      <c r="F60" s="850">
        <f>2469000*I12</f>
        <v>309973.07399999996</v>
      </c>
    </row>
    <row r="61" spans="1:6" ht="18">
      <c r="A61" s="867" t="s">
        <v>534</v>
      </c>
      <c r="B61" s="869">
        <v>2004</v>
      </c>
      <c r="C61" s="900">
        <v>332471.83500000002</v>
      </c>
      <c r="D61" s="878" t="s">
        <v>1153</v>
      </c>
      <c r="E61" s="901">
        <v>2355000</v>
      </c>
      <c r="F61" s="850">
        <f>2241000*I12</f>
        <v>281348.58599999995</v>
      </c>
    </row>
    <row r="62" spans="1:6" ht="18">
      <c r="A62" s="871" t="s">
        <v>356</v>
      </c>
      <c r="B62" s="869">
        <v>2008</v>
      </c>
      <c r="C62" s="900">
        <v>740734</v>
      </c>
      <c r="D62" s="862" t="s">
        <v>1154</v>
      </c>
      <c r="E62" s="901">
        <v>4328942.4470522236</v>
      </c>
      <c r="F62" s="850">
        <v>615145</v>
      </c>
    </row>
    <row r="63" spans="1:6" ht="18">
      <c r="A63" s="871" t="s">
        <v>535</v>
      </c>
      <c r="B63" s="869">
        <v>2008</v>
      </c>
      <c r="C63" s="900">
        <v>101196.32124799999</v>
      </c>
      <c r="D63" s="878" t="s">
        <v>1155</v>
      </c>
      <c r="E63" s="901">
        <v>591404</v>
      </c>
      <c r="F63" s="850">
        <f>128939*M12</f>
        <v>20128.409412000001</v>
      </c>
    </row>
    <row r="64" spans="1:6" ht="18">
      <c r="A64" s="871" t="s">
        <v>356</v>
      </c>
      <c r="B64" s="869">
        <v>2008</v>
      </c>
      <c r="C64" s="900">
        <v>740734</v>
      </c>
      <c r="D64" s="862" t="s">
        <v>1154</v>
      </c>
      <c r="E64" s="901">
        <v>4328942.4470522236</v>
      </c>
      <c r="F64" s="850">
        <v>615145</v>
      </c>
    </row>
    <row r="65" spans="1:6" ht="18">
      <c r="A65" s="867" t="s">
        <v>530</v>
      </c>
      <c r="B65" s="869">
        <v>2008</v>
      </c>
      <c r="C65" s="900">
        <v>567834</v>
      </c>
      <c r="D65" s="862" t="s">
        <v>1156</v>
      </c>
      <c r="E65" s="901">
        <v>3318493.1506849318</v>
      </c>
      <c r="F65" s="848">
        <v>477038</v>
      </c>
    </row>
    <row r="66" spans="1:6" ht="18">
      <c r="A66" s="871" t="s">
        <v>535</v>
      </c>
      <c r="B66" s="869">
        <v>2008</v>
      </c>
      <c r="C66" s="900">
        <v>101196.32124799999</v>
      </c>
      <c r="D66" s="878" t="s">
        <v>1155</v>
      </c>
      <c r="E66" s="901">
        <v>591404</v>
      </c>
      <c r="F66" s="848">
        <f>128939*M12</f>
        <v>20128.409412000001</v>
      </c>
    </row>
    <row r="67" spans="1:6" ht="32">
      <c r="A67" s="871" t="s">
        <v>517</v>
      </c>
      <c r="B67" s="869">
        <v>2008</v>
      </c>
      <c r="C67" s="900">
        <v>39762.664335999994</v>
      </c>
      <c r="D67" s="878" t="s">
        <v>1157</v>
      </c>
      <c r="E67" s="901">
        <v>232378</v>
      </c>
      <c r="F67" s="848">
        <f>531569*M12</f>
        <v>82982.173452000003</v>
      </c>
    </row>
    <row r="68" spans="1:6" ht="18">
      <c r="A68" s="871" t="s">
        <v>536</v>
      </c>
      <c r="B68" s="869">
        <v>2006</v>
      </c>
      <c r="C68" s="900">
        <v>500830.06899999996</v>
      </c>
      <c r="D68" s="878" t="s">
        <v>1158</v>
      </c>
      <c r="E68" s="901">
        <v>3221000</v>
      </c>
      <c r="F68" s="848">
        <f>2396000*K12</f>
        <v>356194.15199999994</v>
      </c>
    </row>
    <row r="69" spans="1:6" ht="18">
      <c r="A69" s="871" t="s">
        <v>537</v>
      </c>
      <c r="B69" s="872">
        <v>2006</v>
      </c>
      <c r="C69" s="900">
        <v>90867.305132999987</v>
      </c>
      <c r="D69" s="878" t="s">
        <v>1159</v>
      </c>
      <c r="E69" s="901">
        <v>584397</v>
      </c>
      <c r="F69" s="848">
        <f>574431*K12</f>
        <v>85396.061321999994</v>
      </c>
    </row>
    <row r="70" spans="1:6" ht="18">
      <c r="A70" s="884" t="s">
        <v>538</v>
      </c>
      <c r="B70" s="877">
        <v>2006</v>
      </c>
      <c r="C70" s="900">
        <v>45084.035549999993</v>
      </c>
      <c r="D70" s="878" t="s">
        <v>1160</v>
      </c>
      <c r="E70" s="901">
        <v>289950</v>
      </c>
      <c r="F70" s="848">
        <f>262332*K12</f>
        <v>38998.799783999995</v>
      </c>
    </row>
    <row r="71" spans="1:6" ht="32">
      <c r="A71" s="871" t="s">
        <v>539</v>
      </c>
      <c r="B71" s="869">
        <v>2005</v>
      </c>
      <c r="C71" s="900">
        <v>16361.442395999999</v>
      </c>
      <c r="D71" s="878" t="s">
        <v>1161</v>
      </c>
      <c r="E71" s="901">
        <v>110058</v>
      </c>
      <c r="F71" s="848">
        <f>75513*J12</f>
        <v>10660.698801</v>
      </c>
    </row>
    <row r="72" spans="1:6" ht="18">
      <c r="A72" s="871" t="s">
        <v>540</v>
      </c>
      <c r="B72" s="869">
        <v>2005</v>
      </c>
      <c r="C72" s="900">
        <v>118037.628</v>
      </c>
      <c r="D72" s="878" t="s">
        <v>1162</v>
      </c>
      <c r="E72" s="901">
        <v>794000</v>
      </c>
      <c r="F72" s="848">
        <f>808500*J12</f>
        <v>114141.6045</v>
      </c>
    </row>
    <row r="73" spans="1:6" ht="18">
      <c r="A73" s="871" t="s">
        <v>542</v>
      </c>
      <c r="B73" s="869">
        <v>2013</v>
      </c>
      <c r="C73" s="900">
        <v>80790.698003999991</v>
      </c>
      <c r="D73" s="878" t="s">
        <v>1163</v>
      </c>
      <c r="E73" s="901">
        <v>469920.99999999994</v>
      </c>
      <c r="F73" s="848">
        <f>436009*R12</f>
        <v>77869.463363999996</v>
      </c>
    </row>
    <row r="74" spans="1:6" ht="18">
      <c r="A74" s="871" t="s">
        <v>543</v>
      </c>
      <c r="B74" s="869">
        <v>2013</v>
      </c>
      <c r="C74" s="900">
        <v>6961.5466079999997</v>
      </c>
      <c r="D74" s="878" t="s">
        <v>1164</v>
      </c>
      <c r="E74" s="901">
        <v>40492</v>
      </c>
      <c r="F74" s="848">
        <f>24643*R12</f>
        <v>4401.1412280000004</v>
      </c>
    </row>
    <row r="75" spans="1:6" ht="18">
      <c r="A75" s="871" t="s">
        <v>1043</v>
      </c>
      <c r="B75" s="869">
        <v>2015</v>
      </c>
      <c r="C75" s="900">
        <v>651662</v>
      </c>
      <c r="D75" s="878" t="s">
        <v>1165</v>
      </c>
      <c r="E75" s="901">
        <v>4093482.8355161906</v>
      </c>
      <c r="F75" s="848">
        <f>3188470*T12</f>
        <v>542891.22149000003</v>
      </c>
    </row>
    <row r="76" spans="1:6" ht="32">
      <c r="A76" s="871" t="s">
        <v>1044</v>
      </c>
      <c r="B76" s="869">
        <v>2015</v>
      </c>
      <c r="C76" s="900">
        <v>10627</v>
      </c>
      <c r="D76" s="876">
        <v>16.715</v>
      </c>
      <c r="E76" s="901">
        <v>66754.609127171076</v>
      </c>
      <c r="F76" s="848">
        <v>16715</v>
      </c>
    </row>
    <row r="77" spans="1:6" ht="17">
      <c r="A77" s="871" t="s">
        <v>356</v>
      </c>
      <c r="B77" s="869">
        <v>2015</v>
      </c>
      <c r="C77" s="900">
        <v>1901600</v>
      </c>
      <c r="D77" s="876" t="s">
        <v>1166</v>
      </c>
      <c r="E77" s="904">
        <v>11945098.778227959</v>
      </c>
      <c r="F77" s="848">
        <v>2065600</v>
      </c>
    </row>
    <row r="78" spans="1:6" ht="48">
      <c r="A78" s="871" t="s">
        <v>1045</v>
      </c>
      <c r="B78" s="869">
        <v>2015</v>
      </c>
      <c r="C78" s="900">
        <v>-108075</v>
      </c>
      <c r="D78" s="876">
        <v>287.82900000000001</v>
      </c>
      <c r="E78" s="901">
        <v>-678884.38707245828</v>
      </c>
      <c r="F78" s="848">
        <v>287829</v>
      </c>
    </row>
    <row r="79" spans="1:6" ht="32">
      <c r="A79" s="871" t="s">
        <v>545</v>
      </c>
      <c r="B79" s="869">
        <v>2015</v>
      </c>
      <c r="C79" s="900">
        <v>148057</v>
      </c>
      <c r="D79" s="876">
        <v>118.44799999999999</v>
      </c>
      <c r="E79" s="901">
        <v>930035.49106441787</v>
      </c>
      <c r="F79" s="848">
        <v>118448</v>
      </c>
    </row>
    <row r="80" spans="1:6" ht="18">
      <c r="A80" s="871" t="s">
        <v>547</v>
      </c>
      <c r="B80" s="869">
        <v>2014</v>
      </c>
      <c r="C80" s="900">
        <v>73631.623615999997</v>
      </c>
      <c r="D80" s="878" t="s">
        <v>1167</v>
      </c>
      <c r="E80" s="901">
        <v>432448</v>
      </c>
      <c r="F80" s="848">
        <f>565377*S12</f>
        <v>97201.875348000001</v>
      </c>
    </row>
    <row r="81" spans="1:6" ht="18">
      <c r="A81" s="871" t="s">
        <v>548</v>
      </c>
      <c r="B81" s="869">
        <v>2014</v>
      </c>
      <c r="C81" s="900">
        <v>283392.39480000001</v>
      </c>
      <c r="D81" s="878" t="s">
        <v>1168</v>
      </c>
      <c r="E81" s="901">
        <v>1664400</v>
      </c>
      <c r="F81" s="848">
        <f>1768700*S12</f>
        <v>304081.97879999998</v>
      </c>
    </row>
    <row r="82" spans="1:6" ht="18">
      <c r="A82" s="871" t="s">
        <v>550</v>
      </c>
      <c r="B82" s="869">
        <v>2014</v>
      </c>
      <c r="C82" s="900">
        <v>68794.508413000003</v>
      </c>
      <c r="D82" s="878" t="s">
        <v>1169</v>
      </c>
      <c r="E82" s="901">
        <v>404039</v>
      </c>
      <c r="F82" s="848">
        <f>18534*S12</f>
        <v>3186.4394159999997</v>
      </c>
    </row>
    <row r="83" spans="1:6" ht="32">
      <c r="A83" s="871" t="s">
        <v>552</v>
      </c>
      <c r="B83" s="869">
        <v>2014</v>
      </c>
      <c r="C83" s="900">
        <v>2575118.108</v>
      </c>
      <c r="D83" s="878" t="s">
        <v>1170</v>
      </c>
      <c r="E83" s="903">
        <v>15124000</v>
      </c>
      <c r="F83" s="848">
        <f>7922000*S12</f>
        <v>1361981.9279999998</v>
      </c>
    </row>
    <row r="84" spans="1:6" ht="18">
      <c r="A84" s="871" t="s">
        <v>553</v>
      </c>
      <c r="B84" s="869">
        <v>2014</v>
      </c>
      <c r="C84" s="900">
        <v>384630.76926199999</v>
      </c>
      <c r="D84" s="878" t="s">
        <v>1171</v>
      </c>
      <c r="E84" s="901">
        <v>2258986</v>
      </c>
      <c r="F84" s="848">
        <f>2146621*S12</f>
        <v>369055.66880399996</v>
      </c>
    </row>
    <row r="85" spans="1:6" ht="17">
      <c r="A85" s="871" t="s">
        <v>540</v>
      </c>
      <c r="B85" s="872">
        <v>2014</v>
      </c>
      <c r="C85" s="900">
        <v>581053</v>
      </c>
      <c r="D85" s="876">
        <v>688.47400000000005</v>
      </c>
      <c r="E85" s="901">
        <v>3412599.0356322718</v>
      </c>
      <c r="F85" s="848">
        <v>688474</v>
      </c>
    </row>
    <row r="86" spans="1:6" ht="17">
      <c r="A86" s="871" t="s">
        <v>1047</v>
      </c>
      <c r="B86" s="872">
        <v>2014</v>
      </c>
      <c r="C86" s="900">
        <v>26288</v>
      </c>
      <c r="D86" s="876">
        <v>25.135999999999999</v>
      </c>
      <c r="E86" s="901">
        <v>154392.80659199963</v>
      </c>
      <c r="F86" s="848">
        <v>25136</v>
      </c>
    </row>
    <row r="87" spans="1:6" ht="17">
      <c r="A87" s="871" t="s">
        <v>1048</v>
      </c>
      <c r="B87" s="872">
        <v>2014</v>
      </c>
      <c r="C87" s="900">
        <v>14299</v>
      </c>
      <c r="D87" s="876">
        <v>13.006</v>
      </c>
      <c r="E87" s="901">
        <v>83979.86691490424</v>
      </c>
      <c r="F87" s="848">
        <v>13006</v>
      </c>
    </row>
    <row r="88" spans="1:6" ht="32">
      <c r="A88" s="871" t="s">
        <v>1049</v>
      </c>
      <c r="B88" s="872">
        <v>2014</v>
      </c>
      <c r="C88" s="900">
        <v>37788</v>
      </c>
      <c r="D88" s="876">
        <v>33.094000000000001</v>
      </c>
      <c r="E88" s="901">
        <v>221933.78634732508</v>
      </c>
      <c r="F88" s="848">
        <v>33094</v>
      </c>
    </row>
    <row r="89" spans="1:6" ht="17">
      <c r="A89" s="871" t="s">
        <v>524</v>
      </c>
      <c r="B89" s="872">
        <v>2014</v>
      </c>
      <c r="C89" s="900">
        <v>313900</v>
      </c>
      <c r="D89" s="876">
        <v>143.80000000000001</v>
      </c>
      <c r="E89" s="901">
        <v>1843575.0908866662</v>
      </c>
      <c r="F89" s="848">
        <v>143800</v>
      </c>
    </row>
    <row r="90" spans="1:6" ht="18">
      <c r="A90" s="871" t="s">
        <v>522</v>
      </c>
      <c r="B90" s="869">
        <v>2014</v>
      </c>
      <c r="C90" s="900">
        <v>42702.623066</v>
      </c>
      <c r="D90" s="878" t="s">
        <v>1172</v>
      </c>
      <c r="E90" s="901">
        <v>250798</v>
      </c>
      <c r="F90" s="848">
        <f>188359*S12</f>
        <v>32383.432715999999</v>
      </c>
    </row>
    <row r="91" spans="1:6" ht="18">
      <c r="A91" s="871" t="s">
        <v>515</v>
      </c>
      <c r="B91" s="869">
        <v>2014</v>
      </c>
      <c r="C91" s="900">
        <v>62283.157799000001</v>
      </c>
      <c r="D91" s="878" t="s">
        <v>1173</v>
      </c>
      <c r="E91" s="901">
        <v>365797</v>
      </c>
      <c r="F91" s="848">
        <f>290728*S12</f>
        <v>49983.120671999997</v>
      </c>
    </row>
    <row r="92" spans="1:6" ht="17">
      <c r="A92" s="871" t="s">
        <v>1050</v>
      </c>
      <c r="B92" s="869">
        <v>2014</v>
      </c>
      <c r="C92" s="900">
        <v>159719</v>
      </c>
      <c r="D92" s="876">
        <v>171.65899999999999</v>
      </c>
      <c r="E92" s="901">
        <v>938050.23874268064</v>
      </c>
      <c r="F92" s="848">
        <v>171659</v>
      </c>
    </row>
    <row r="93" spans="1:6" ht="32">
      <c r="A93" s="871" t="s">
        <v>517</v>
      </c>
      <c r="B93" s="869">
        <v>2014</v>
      </c>
      <c r="C93" s="900">
        <v>344212.61853500002</v>
      </c>
      <c r="D93" s="878" t="s">
        <v>1174</v>
      </c>
      <c r="E93" s="901">
        <v>2021605</v>
      </c>
      <c r="F93" s="848">
        <f>2008164*S12</f>
        <v>345251.58753600001</v>
      </c>
    </row>
    <row r="94" spans="1:6" ht="32">
      <c r="A94" s="871" t="s">
        <v>555</v>
      </c>
      <c r="B94" s="869">
        <v>2014</v>
      </c>
      <c r="C94" s="900">
        <v>21946.564965000001</v>
      </c>
      <c r="D94" s="878" t="s">
        <v>1175</v>
      </c>
      <c r="E94" s="901">
        <v>128895</v>
      </c>
      <c r="F94" s="848">
        <f>44225*S12</f>
        <v>7603.3388999999997</v>
      </c>
    </row>
    <row r="95" spans="1:6" ht="48">
      <c r="A95" s="871" t="s">
        <v>518</v>
      </c>
      <c r="B95" s="869">
        <v>2013</v>
      </c>
      <c r="C95" s="900">
        <v>510142.34862</v>
      </c>
      <c r="D95" s="878" t="s">
        <v>1176</v>
      </c>
      <c r="E95" s="901">
        <v>2967255</v>
      </c>
      <c r="F95" s="848">
        <f>2483894*R12</f>
        <v>443613.53282399999</v>
      </c>
    </row>
    <row r="96" spans="1:6" ht="18">
      <c r="A96" s="884" t="s">
        <v>556</v>
      </c>
      <c r="B96" s="877">
        <v>2013</v>
      </c>
      <c r="C96" s="900">
        <v>17825.252243999999</v>
      </c>
      <c r="D96" s="878" t="s">
        <v>1177</v>
      </c>
      <c r="E96" s="901">
        <v>103681</v>
      </c>
      <c r="F96" s="848">
        <f>116785*R12</f>
        <v>20857.333859999999</v>
      </c>
    </row>
    <row r="97" spans="1:6" ht="32">
      <c r="A97" s="871" t="s">
        <v>1069</v>
      </c>
      <c r="B97" s="869">
        <v>2012</v>
      </c>
      <c r="C97" s="900">
        <v>50769</v>
      </c>
      <c r="D97" s="862" t="s">
        <v>1178</v>
      </c>
      <c r="E97" s="901">
        <v>284267.28482160851</v>
      </c>
      <c r="F97" s="848">
        <v>58233</v>
      </c>
    </row>
    <row r="98" spans="1:6" ht="18">
      <c r="A98" s="871" t="s">
        <v>515</v>
      </c>
      <c r="B98" s="869">
        <v>2012</v>
      </c>
      <c r="C98" s="900">
        <v>56727.804671999998</v>
      </c>
      <c r="D98" s="878" t="s">
        <v>1179</v>
      </c>
      <c r="E98" s="901">
        <v>317632</v>
      </c>
      <c r="F98" s="848">
        <f>294181*Q12</f>
        <v>48734.318640999998</v>
      </c>
    </row>
    <row r="99" spans="1:6" ht="18">
      <c r="A99" s="871" t="s">
        <v>557</v>
      </c>
      <c r="B99" s="869">
        <v>2012</v>
      </c>
      <c r="C99" s="900">
        <v>137464.80541200002</v>
      </c>
      <c r="D99" s="878" t="s">
        <v>1180</v>
      </c>
      <c r="E99" s="901">
        <v>769697.00000000012</v>
      </c>
      <c r="F99" s="848">
        <f>747551*Q12</f>
        <v>123840.04621100001</v>
      </c>
    </row>
    <row r="100" spans="1:6" ht="18">
      <c r="A100" s="871" t="s">
        <v>522</v>
      </c>
      <c r="B100" s="869">
        <v>2006</v>
      </c>
      <c r="C100" s="900">
        <v>23453.338803999999</v>
      </c>
      <c r="D100" s="878" t="s">
        <v>1181</v>
      </c>
      <c r="E100" s="901">
        <v>150836</v>
      </c>
      <c r="F100" s="848">
        <f>119797*K12</f>
        <v>17809.261613999999</v>
      </c>
    </row>
    <row r="101" spans="1:6" ht="18">
      <c r="A101" s="871" t="s">
        <v>523</v>
      </c>
      <c r="B101" s="869">
        <v>2006</v>
      </c>
      <c r="C101" s="900">
        <v>13449.798499999999</v>
      </c>
      <c r="D101" s="878" t="s">
        <v>1182</v>
      </c>
      <c r="E101" s="858"/>
      <c r="F101" s="848">
        <f>794000*K12</f>
        <v>118037.628</v>
      </c>
    </row>
    <row r="102" spans="1:6" ht="18">
      <c r="A102" s="884" t="s">
        <v>524</v>
      </c>
      <c r="B102" s="877">
        <v>2006</v>
      </c>
      <c r="C102" s="900">
        <v>45084.035549999993</v>
      </c>
      <c r="D102" s="878" t="s">
        <v>1160</v>
      </c>
      <c r="E102" s="858"/>
      <c r="F102" s="848">
        <f>262332*K12</f>
        <v>38998.799783999995</v>
      </c>
    </row>
    <row r="103" spans="1:6" ht="18">
      <c r="A103" s="871" t="s">
        <v>642</v>
      </c>
      <c r="B103" s="872">
        <v>2015</v>
      </c>
      <c r="C103" s="900">
        <v>38968.070489999998</v>
      </c>
      <c r="D103" s="878" t="s">
        <v>1183</v>
      </c>
      <c r="E103" s="901">
        <v>244781.99999999997</v>
      </c>
      <c r="F103" s="848">
        <f>285042*T12</f>
        <v>48533.246213999999</v>
      </c>
    </row>
    <row r="104" spans="1:6" ht="32">
      <c r="A104" s="871" t="s">
        <v>643</v>
      </c>
      <c r="B104" s="872">
        <v>2015</v>
      </c>
      <c r="C104" s="900">
        <v>805133.80674000003</v>
      </c>
      <c r="D104" s="878" t="s">
        <v>1184</v>
      </c>
      <c r="E104" s="901">
        <v>5057532</v>
      </c>
      <c r="F104" s="848">
        <f>4954275*T12</f>
        <v>843549.54142500006</v>
      </c>
    </row>
    <row r="105" spans="1:6" ht="32">
      <c r="A105" s="871" t="s">
        <v>1044</v>
      </c>
      <c r="B105" s="872">
        <v>2016</v>
      </c>
      <c r="C105" s="900">
        <v>7515</v>
      </c>
      <c r="D105" s="876">
        <v>10.627000000000001</v>
      </c>
      <c r="E105" s="901">
        <v>60494.582454558622</v>
      </c>
      <c r="F105" s="848">
        <v>10627</v>
      </c>
    </row>
    <row r="106" spans="1:6" ht="18">
      <c r="A106" s="871" t="s">
        <v>1083</v>
      </c>
      <c r="B106" s="872">
        <v>2016</v>
      </c>
      <c r="C106" s="900">
        <v>59953.082538000002</v>
      </c>
      <c r="D106" s="878" t="s">
        <v>1185</v>
      </c>
      <c r="E106" s="901">
        <v>482613</v>
      </c>
      <c r="F106" s="848">
        <f>313149*U12</f>
        <v>49851.755055000001</v>
      </c>
    </row>
    <row r="107" spans="1:6" ht="17">
      <c r="A107" s="871" t="s">
        <v>644</v>
      </c>
      <c r="B107" s="872">
        <v>2016</v>
      </c>
      <c r="C107" s="900">
        <v>155563</v>
      </c>
      <c r="D107" s="876">
        <v>191.83799999999999</v>
      </c>
      <c r="E107" s="901">
        <v>1252257.9814209586</v>
      </c>
      <c r="F107" s="848">
        <v>191838</v>
      </c>
    </row>
    <row r="108" spans="1:6" ht="32">
      <c r="A108" s="871" t="s">
        <v>649</v>
      </c>
      <c r="B108" s="872">
        <v>2017</v>
      </c>
      <c r="C108" s="900">
        <v>722086</v>
      </c>
      <c r="D108" s="876">
        <v>791.524</v>
      </c>
      <c r="E108" s="858"/>
      <c r="F108" s="848">
        <v>791524</v>
      </c>
    </row>
    <row r="109" spans="1:6" ht="18">
      <c r="A109" s="871" t="s">
        <v>650</v>
      </c>
      <c r="B109" s="872">
        <v>2017</v>
      </c>
      <c r="C109" s="900">
        <v>20023.881229000002</v>
      </c>
      <c r="D109" s="878" t="s">
        <v>1186</v>
      </c>
      <c r="E109" s="901">
        <v>168193</v>
      </c>
      <c r="F109" s="848">
        <f>154672*V12</f>
        <v>19214.283872</v>
      </c>
    </row>
    <row r="110" spans="1:6" ht="18">
      <c r="A110" s="871" t="s">
        <v>653</v>
      </c>
      <c r="B110" s="872">
        <v>2018</v>
      </c>
      <c r="C110" s="900">
        <v>465619.83600000001</v>
      </c>
      <c r="D110" s="878" t="s">
        <v>1187</v>
      </c>
      <c r="E110" s="901">
        <v>3846000</v>
      </c>
      <c r="F110" s="848">
        <f>3608000*W12</f>
        <v>429543.22400000005</v>
      </c>
    </row>
    <row r="111" spans="1:6" ht="32">
      <c r="A111" s="871" t="s">
        <v>654</v>
      </c>
      <c r="B111" s="872">
        <v>2018</v>
      </c>
      <c r="C111" s="900">
        <v>2119841.2046680003</v>
      </c>
      <c r="D111" s="878" t="s">
        <v>1188</v>
      </c>
      <c r="E111" s="901">
        <v>17509798</v>
      </c>
      <c r="F111" s="848">
        <f>15299000*W12</f>
        <v>1821391.8470000001</v>
      </c>
    </row>
    <row r="112" spans="1:6" ht="32">
      <c r="A112" s="871" t="s">
        <v>655</v>
      </c>
      <c r="B112" s="872">
        <v>2018</v>
      </c>
      <c r="C112" s="900">
        <v>1488990.7340000002</v>
      </c>
      <c r="D112" s="878" t="s">
        <v>1189</v>
      </c>
      <c r="E112" s="901">
        <v>12299000</v>
      </c>
      <c r="F112" s="848">
        <f>11011000*W12</f>
        <v>1310892.5830000001</v>
      </c>
    </row>
    <row r="113" spans="1:6" ht="18">
      <c r="A113" s="871" t="s">
        <v>1082</v>
      </c>
      <c r="B113" s="872">
        <v>2012</v>
      </c>
      <c r="C113" s="900">
        <v>50413.364496000002</v>
      </c>
      <c r="D113" s="878" t="s">
        <v>1190</v>
      </c>
      <c r="E113" s="901">
        <v>282276</v>
      </c>
      <c r="F113" s="848">
        <f>352725*Q12</f>
        <v>58432.776225000001</v>
      </c>
    </row>
    <row r="114" spans="1:6" ht="18">
      <c r="A114" s="871" t="s">
        <v>919</v>
      </c>
      <c r="B114" s="872">
        <v>2012</v>
      </c>
      <c r="C114" s="900">
        <v>57824.026920000004</v>
      </c>
      <c r="D114" s="878" t="s">
        <v>1191</v>
      </c>
      <c r="E114" s="901">
        <v>323770</v>
      </c>
      <c r="F114" s="848">
        <f>227561*Q12</f>
        <v>37697.982820999998</v>
      </c>
    </row>
    <row r="115" spans="1:6" ht="18">
      <c r="A115" s="871" t="s">
        <v>650</v>
      </c>
      <c r="B115" s="872">
        <v>2013</v>
      </c>
      <c r="C115" s="900">
        <v>52802.674271999997</v>
      </c>
      <c r="D115" s="878" t="s">
        <v>1192</v>
      </c>
      <c r="E115" s="901">
        <v>307128</v>
      </c>
      <c r="F115" s="848">
        <f>530499*R12</f>
        <v>94744.999404000002</v>
      </c>
    </row>
    <row r="116" spans="1:6" ht="32">
      <c r="A116" s="871" t="s">
        <v>702</v>
      </c>
      <c r="B116" s="872">
        <v>2010</v>
      </c>
      <c r="C116" s="900">
        <v>32039.636719999999</v>
      </c>
      <c r="D116" s="878" t="s">
        <v>1193</v>
      </c>
      <c r="E116" s="901">
        <v>200536</v>
      </c>
      <c r="F116" s="848">
        <f>212160*O12</f>
        <v>38143.39776</v>
      </c>
    </row>
    <row r="117" spans="1:6" ht="32">
      <c r="A117" s="871" t="s">
        <v>704</v>
      </c>
      <c r="B117" s="872">
        <v>2010</v>
      </c>
      <c r="C117" s="900">
        <v>41204.523229999999</v>
      </c>
      <c r="D117" s="878" t="s">
        <v>1194</v>
      </c>
      <c r="E117" s="901">
        <v>257899</v>
      </c>
      <c r="F117" s="848">
        <f>200868*O12</f>
        <v>36113.254247999997</v>
      </c>
    </row>
    <row r="118" spans="1:6" ht="18">
      <c r="A118" s="871" t="s">
        <v>1070</v>
      </c>
      <c r="B118" s="872">
        <v>2016</v>
      </c>
      <c r="C118" s="900">
        <v>10034.727828000001</v>
      </c>
      <c r="D118" s="878" t="s">
        <v>1195</v>
      </c>
      <c r="E118" s="901">
        <v>80778</v>
      </c>
      <c r="F118" s="848">
        <f>184346*U12</f>
        <v>29346.961470000002</v>
      </c>
    </row>
    <row r="119" spans="1:6" ht="18">
      <c r="A119" s="871" t="s">
        <v>657</v>
      </c>
      <c r="B119" s="872">
        <v>2016</v>
      </c>
      <c r="C119" s="900">
        <v>106159.31591600001</v>
      </c>
      <c r="D119" s="878" t="s">
        <v>1196</v>
      </c>
      <c r="E119" s="901">
        <v>854566</v>
      </c>
      <c r="F119" s="848">
        <f>610363*U12</f>
        <v>97166.737785000005</v>
      </c>
    </row>
    <row r="120" spans="1:6" ht="18">
      <c r="A120" s="871" t="s">
        <v>1079</v>
      </c>
      <c r="B120" s="872">
        <v>2016</v>
      </c>
      <c r="C120" s="900">
        <v>21394.450172000001</v>
      </c>
      <c r="D120" s="693">
        <v>65991</v>
      </c>
      <c r="E120" s="901">
        <v>172222</v>
      </c>
      <c r="F120" s="848">
        <f>D120*U12</f>
        <v>10505.437245000001</v>
      </c>
    </row>
    <row r="121" spans="1:6" ht="18">
      <c r="A121" s="871" t="s">
        <v>736</v>
      </c>
      <c r="B121" s="872">
        <v>2016</v>
      </c>
      <c r="C121" s="900">
        <v>22644.909088</v>
      </c>
      <c r="D121" s="693">
        <v>153954</v>
      </c>
      <c r="E121" s="901">
        <v>182288</v>
      </c>
      <c r="F121" s="848">
        <f>D121*U12</f>
        <v>24508.707030000001</v>
      </c>
    </row>
    <row r="122" spans="1:6" ht="18">
      <c r="A122" s="871" t="s">
        <v>730</v>
      </c>
      <c r="B122" s="872">
        <v>2016</v>
      </c>
      <c r="C122" s="900">
        <v>4192130.5959999999</v>
      </c>
      <c r="D122" s="693">
        <v>31304000</v>
      </c>
      <c r="E122" s="901">
        <v>33746000</v>
      </c>
      <c r="F122" s="848">
        <f>D122*U12</f>
        <v>4983440.28</v>
      </c>
    </row>
    <row r="123" spans="1:6" ht="18">
      <c r="A123" s="871" t="s">
        <v>762</v>
      </c>
      <c r="B123" s="872">
        <v>2008</v>
      </c>
      <c r="C123" s="900">
        <v>20570.057967999997</v>
      </c>
      <c r="D123" s="693">
        <v>184375</v>
      </c>
      <c r="E123" s="858"/>
      <c r="F123" s="848">
        <f>D123*M12</f>
        <v>28782.412499999999</v>
      </c>
    </row>
    <row r="124" spans="1:6" ht="32">
      <c r="A124" s="871" t="s">
        <v>1069</v>
      </c>
      <c r="B124" s="872">
        <v>2008</v>
      </c>
      <c r="C124" s="900">
        <v>155734</v>
      </c>
      <c r="D124" s="688">
        <v>191658</v>
      </c>
      <c r="E124" s="858"/>
      <c r="F124" s="848">
        <f>D124</f>
        <v>191658</v>
      </c>
    </row>
    <row r="125" spans="1:6" ht="18">
      <c r="A125" s="871" t="s">
        <v>785</v>
      </c>
      <c r="B125" s="872">
        <v>2008</v>
      </c>
      <c r="C125" s="900">
        <v>105286.41138399999</v>
      </c>
      <c r="D125" s="693">
        <v>586538</v>
      </c>
      <c r="E125" s="858"/>
      <c r="F125" s="848">
        <f>D125*M12</f>
        <v>91563.274103999996</v>
      </c>
    </row>
    <row r="126" spans="1:6" ht="18">
      <c r="A126" s="884" t="s">
        <v>524</v>
      </c>
      <c r="B126" s="877">
        <v>2008</v>
      </c>
      <c r="C126" s="900">
        <v>91060.330815999987</v>
      </c>
      <c r="D126" s="693">
        <v>499470</v>
      </c>
      <c r="E126" s="858"/>
      <c r="F126" s="848">
        <f>D126*M12</f>
        <v>77971.262759999998</v>
      </c>
    </row>
    <row r="127" spans="1:6" ht="18">
      <c r="A127" s="871" t="s">
        <v>537</v>
      </c>
      <c r="B127" s="872">
        <v>2008</v>
      </c>
      <c r="C127" s="900">
        <v>100841.26384799999</v>
      </c>
      <c r="D127" s="693">
        <v>587293</v>
      </c>
      <c r="E127" s="858"/>
      <c r="F127" s="848">
        <f>D127*M12</f>
        <v>91681.135643999994</v>
      </c>
    </row>
    <row r="128" spans="1:6" ht="18">
      <c r="A128" s="871" t="s">
        <v>522</v>
      </c>
      <c r="B128" s="872">
        <v>2008</v>
      </c>
      <c r="C128" s="900">
        <v>20616.771543999999</v>
      </c>
      <c r="D128" s="693">
        <v>89724</v>
      </c>
      <c r="E128" s="858"/>
      <c r="F128" s="848">
        <f>D128*M12</f>
        <v>14006.634192</v>
      </c>
    </row>
    <row r="129" spans="1:6" ht="18">
      <c r="A129" s="884" t="s">
        <v>524</v>
      </c>
      <c r="B129" s="877">
        <v>2008</v>
      </c>
      <c r="C129" s="900">
        <v>91060.330815999987</v>
      </c>
      <c r="D129" s="693">
        <v>499470</v>
      </c>
      <c r="F129" s="848">
        <f>D129*M12</f>
        <v>77971.262759999998</v>
      </c>
    </row>
    <row r="130" spans="1:6" ht="18">
      <c r="A130" s="871" t="s">
        <v>861</v>
      </c>
      <c r="B130" s="872">
        <v>2006</v>
      </c>
      <c r="C130" s="900">
        <v>8323792.6369999992</v>
      </c>
      <c r="D130" s="693">
        <v>41668000</v>
      </c>
      <c r="F130" s="848">
        <f>D130*K12</f>
        <v>6194448.2159999991</v>
      </c>
    </row>
    <row r="131" spans="1:6" ht="18">
      <c r="A131" s="871" t="s">
        <v>862</v>
      </c>
      <c r="B131" s="872">
        <v>2006</v>
      </c>
      <c r="C131" s="900">
        <v>95.470245999999989</v>
      </c>
      <c r="D131" s="693">
        <v>102</v>
      </c>
      <c r="F131" s="848">
        <f>D131*K12</f>
        <v>15.163523999999999</v>
      </c>
    </row>
    <row r="132" spans="1:6" ht="32">
      <c r="A132" s="871" t="s">
        <v>888</v>
      </c>
      <c r="B132" s="872">
        <v>2005</v>
      </c>
      <c r="C132" s="900">
        <v>233486.00994599998</v>
      </c>
      <c r="D132" s="693">
        <v>1407155</v>
      </c>
      <c r="F132" s="848">
        <f>D132*J12</f>
        <v>198657.921435</v>
      </c>
    </row>
    <row r="133" spans="1:6" ht="32">
      <c r="A133" s="871" t="s">
        <v>914</v>
      </c>
      <c r="B133" s="872">
        <v>2005</v>
      </c>
      <c r="C133" s="900">
        <v>25555.146461999997</v>
      </c>
      <c r="D133" s="693">
        <v>166099</v>
      </c>
      <c r="F133" s="848">
        <f>D133*J12</f>
        <v>23449.358522999999</v>
      </c>
    </row>
    <row r="134" spans="1:6" ht="32">
      <c r="A134" s="871" t="s">
        <v>915</v>
      </c>
      <c r="B134" s="872">
        <v>2005</v>
      </c>
      <c r="C134" s="900">
        <v>38017.035936</v>
      </c>
      <c r="D134" s="693">
        <v>233861</v>
      </c>
      <c r="F134" s="848">
        <f>D134*J12</f>
        <v>33015.794396999998</v>
      </c>
    </row>
    <row r="135" spans="1:6" ht="32">
      <c r="A135" s="871" t="s">
        <v>532</v>
      </c>
      <c r="B135" s="872">
        <v>2007</v>
      </c>
      <c r="C135" s="900">
        <v>41329.124675999999</v>
      </c>
      <c r="D135" s="693">
        <v>243489</v>
      </c>
      <c r="F135" s="848">
        <f>D135*L12</f>
        <v>37859.861120999994</v>
      </c>
    </row>
    <row r="136" spans="1:6" ht="32">
      <c r="A136" s="871" t="s">
        <v>531</v>
      </c>
      <c r="B136" s="872">
        <v>2007</v>
      </c>
      <c r="C136" s="900">
        <v>48593.142132000001</v>
      </c>
      <c r="D136" s="693">
        <v>289412</v>
      </c>
      <c r="F136" s="848">
        <f>D136*L12</f>
        <v>45000.382467999996</v>
      </c>
    </row>
    <row r="137" spans="1:6" ht="18">
      <c r="A137" s="871" t="s">
        <v>916</v>
      </c>
      <c r="B137" s="872">
        <v>2007</v>
      </c>
      <c r="C137" s="900">
        <v>65728.336752000003</v>
      </c>
      <c r="D137" s="693">
        <v>374497</v>
      </c>
      <c r="F137" s="848">
        <f>D137*L12</f>
        <v>58230.164032999994</v>
      </c>
    </row>
    <row r="138" spans="1:6" ht="32">
      <c r="A138" s="871" t="s">
        <v>917</v>
      </c>
      <c r="B138" s="872">
        <v>2007</v>
      </c>
      <c r="C138" s="900">
        <v>544348.59600000002</v>
      </c>
      <c r="D138" s="693">
        <v>3122000</v>
      </c>
      <c r="F138" s="848">
        <f>D138*L12</f>
        <v>485436.65799999994</v>
      </c>
    </row>
    <row r="139" spans="1:6" ht="18">
      <c r="A139" s="871" t="s">
        <v>927</v>
      </c>
      <c r="B139" s="872">
        <v>2007</v>
      </c>
      <c r="C139" s="900">
        <v>10372.59606</v>
      </c>
      <c r="D139" s="693">
        <v>61136</v>
      </c>
      <c r="F139" s="848">
        <f>D139*L12</f>
        <v>9505.975504</v>
      </c>
    </row>
    <row r="140" spans="1:6" ht="18">
      <c r="A140" s="871" t="s">
        <v>1066</v>
      </c>
      <c r="B140" s="872">
        <v>2007</v>
      </c>
      <c r="C140" s="900">
        <v>77467.814459999994</v>
      </c>
      <c r="D140" s="693">
        <v>196676</v>
      </c>
      <c r="F140" s="848">
        <f>D140*L12</f>
        <v>30580.954563999996</v>
      </c>
    </row>
    <row r="141" spans="1:6" ht="18">
      <c r="A141" s="871" t="s">
        <v>920</v>
      </c>
      <c r="B141" s="872">
        <v>2007</v>
      </c>
      <c r="C141" s="900">
        <v>7510199.7719999999</v>
      </c>
      <c r="D141" s="693">
        <v>37923000</v>
      </c>
      <c r="F141" s="848">
        <f>D141*L12</f>
        <v>5896609.3469999991</v>
      </c>
    </row>
    <row r="142" spans="1:6" ht="18">
      <c r="A142" s="871" t="s">
        <v>919</v>
      </c>
      <c r="B142" s="872">
        <v>2007</v>
      </c>
      <c r="C142" s="900">
        <v>46053.264971999997</v>
      </c>
      <c r="D142" s="693">
        <v>37744</v>
      </c>
      <c r="F142" s="848">
        <f>D142*L12</f>
        <v>5868.7768159999996</v>
      </c>
    </row>
    <row r="143" spans="1:6" ht="18">
      <c r="A143" s="871" t="s">
        <v>921</v>
      </c>
      <c r="B143" s="872">
        <v>2005</v>
      </c>
      <c r="C143" s="900">
        <v>15990.382043999998</v>
      </c>
      <c r="D143" s="693">
        <v>112443</v>
      </c>
      <c r="F143" s="848">
        <f>D143*J12</f>
        <v>15874.365410999999</v>
      </c>
    </row>
    <row r="144" spans="1:6" ht="18">
      <c r="A144" s="871" t="s">
        <v>927</v>
      </c>
      <c r="B144" s="872">
        <v>2005</v>
      </c>
      <c r="C144" s="900">
        <v>6368.3827559999991</v>
      </c>
      <c r="D144" s="693">
        <v>41094</v>
      </c>
      <c r="F144" s="848">
        <f>D144*J12</f>
        <v>5801.5276379999996</v>
      </c>
    </row>
    <row r="145" spans="1:6" ht="32">
      <c r="A145" s="871" t="s">
        <v>888</v>
      </c>
      <c r="B145" s="872">
        <v>2007</v>
      </c>
      <c r="C145" s="900">
        <v>1078153.1893559999</v>
      </c>
      <c r="D145" s="693">
        <v>5619230</v>
      </c>
      <c r="F145" s="848">
        <f>D145*L12</f>
        <v>873728.45346999995</v>
      </c>
    </row>
    <row r="146" spans="1:6" ht="18">
      <c r="A146" s="871" t="s">
        <v>861</v>
      </c>
      <c r="B146" s="872">
        <v>2003</v>
      </c>
      <c r="C146" s="900">
        <v>4681359.2479999997</v>
      </c>
      <c r="D146" s="693">
        <v>45683000</v>
      </c>
      <c r="F146" s="848">
        <f>D146*G12</f>
        <v>5084563.5829999996</v>
      </c>
    </row>
    <row r="147" spans="1:6" ht="18">
      <c r="A147" s="871" t="s">
        <v>542</v>
      </c>
      <c r="B147" s="872">
        <v>2003</v>
      </c>
      <c r="C147" s="900">
        <v>28524.051199999998</v>
      </c>
      <c r="D147" s="693">
        <v>288786</v>
      </c>
      <c r="F147" s="848">
        <f>D147*G12</f>
        <v>32142.170586</v>
      </c>
    </row>
    <row r="148" spans="1:6" ht="17">
      <c r="A148" s="871" t="s">
        <v>1000</v>
      </c>
      <c r="B148" s="872">
        <v>2018</v>
      </c>
      <c r="C148" s="900">
        <v>6167.8441196829099</v>
      </c>
      <c r="D148" s="694">
        <v>6301</v>
      </c>
      <c r="F148" s="848">
        <f>D148</f>
        <v>6301</v>
      </c>
    </row>
    <row r="149" spans="1:6" ht="18">
      <c r="A149" s="879" t="s">
        <v>999</v>
      </c>
      <c r="B149" s="886">
        <v>2018</v>
      </c>
      <c r="C149" s="900">
        <v>26683.914928000002</v>
      </c>
      <c r="D149" s="693">
        <v>176158</v>
      </c>
      <c r="F149" s="848">
        <f>D149*W12</f>
        <v>20972.138374000002</v>
      </c>
    </row>
    <row r="150" spans="1:6">
      <c r="A150" s="871"/>
      <c r="B150" s="872"/>
      <c r="C150" s="858"/>
    </row>
    <row r="151" spans="1:6">
      <c r="A151" s="871"/>
      <c r="B151" s="872"/>
      <c r="C151" s="858"/>
    </row>
    <row r="152" spans="1:6">
      <c r="A152" s="252" t="s">
        <v>1112</v>
      </c>
      <c r="B152" s="252" t="s">
        <v>486</v>
      </c>
      <c r="C152" s="252" t="s">
        <v>1087</v>
      </c>
      <c r="D152" s="252" t="s">
        <v>1113</v>
      </c>
      <c r="E152" s="684"/>
    </row>
    <row r="153" spans="1:6">
      <c r="A153" s="685" t="s">
        <v>1108</v>
      </c>
      <c r="B153" s="685" t="s">
        <v>487</v>
      </c>
      <c r="C153" s="684">
        <v>2016</v>
      </c>
      <c r="D153" s="848">
        <v>261179</v>
      </c>
      <c r="E153" s="857">
        <f>D153*R12</f>
        <v>46645.524684000004</v>
      </c>
    </row>
    <row r="154" spans="1:6">
      <c r="A154" s="685" t="s">
        <v>1109</v>
      </c>
      <c r="B154" s="684"/>
      <c r="C154" s="684">
        <v>2010</v>
      </c>
      <c r="D154" s="850" t="s">
        <v>1115</v>
      </c>
      <c r="E154" s="685" t="s">
        <v>487</v>
      </c>
    </row>
    <row r="155" spans="1:6">
      <c r="A155" s="685" t="s">
        <v>1110</v>
      </c>
      <c r="B155" s="685" t="s">
        <v>1114</v>
      </c>
      <c r="C155" s="684">
        <v>2010</v>
      </c>
      <c r="D155" s="848">
        <v>90000</v>
      </c>
      <c r="E155" s="849">
        <f>D155*1.327</f>
        <v>119430</v>
      </c>
    </row>
    <row r="156" spans="1:6">
      <c r="A156" s="685" t="s">
        <v>1111</v>
      </c>
      <c r="B156" s="685" t="s">
        <v>487</v>
      </c>
      <c r="C156" s="684">
        <v>2011</v>
      </c>
      <c r="D156" s="848">
        <v>484000</v>
      </c>
      <c r="E156" s="684"/>
    </row>
    <row r="157" spans="1:6">
      <c r="A157" s="871"/>
      <c r="B157" s="872"/>
      <c r="C157" s="858"/>
    </row>
    <row r="158" spans="1:6">
      <c r="A158" s="871"/>
      <c r="B158" s="872"/>
      <c r="C158" s="858"/>
    </row>
    <row r="159" spans="1:6">
      <c r="A159" s="871"/>
      <c r="B159" s="872"/>
      <c r="C159" s="858"/>
    </row>
    <row r="160" spans="1:6">
      <c r="A160" s="871"/>
      <c r="B160" s="872"/>
      <c r="C160" s="858"/>
    </row>
    <row r="161" spans="1:2">
      <c r="A161" s="871"/>
      <c r="B161" s="872"/>
    </row>
    <row r="162" spans="1:2">
      <c r="A162" s="871"/>
      <c r="B162" s="872"/>
    </row>
    <row r="163" spans="1:2">
      <c r="A163" s="871"/>
      <c r="B163" s="872"/>
    </row>
    <row r="164" spans="1:2">
      <c r="A164" s="871"/>
      <c r="B164" s="872"/>
    </row>
    <row r="165" spans="1:2">
      <c r="A165" s="871"/>
      <c r="B165" s="872"/>
    </row>
    <row r="166" spans="1:2">
      <c r="A166" s="871"/>
      <c r="B166" s="872"/>
    </row>
    <row r="167" spans="1:2">
      <c r="A167" s="871"/>
      <c r="B167" s="872"/>
    </row>
    <row r="168" spans="1:2">
      <c r="A168" s="871"/>
      <c r="B168" s="872"/>
    </row>
    <row r="169" spans="1:2">
      <c r="A169" s="871"/>
      <c r="B169" s="872"/>
    </row>
    <row r="170" spans="1:2">
      <c r="A170" s="871"/>
      <c r="B170" s="872"/>
    </row>
    <row r="171" spans="1:2">
      <c r="A171" s="871"/>
      <c r="B171" s="872"/>
    </row>
    <row r="172" spans="1:2">
      <c r="A172" s="871"/>
      <c r="B172" s="872"/>
    </row>
    <row r="173" spans="1:2">
      <c r="A173" s="871"/>
      <c r="B173" s="872"/>
    </row>
    <row r="174" spans="1:2">
      <c r="A174" s="879"/>
      <c r="B174" s="886"/>
    </row>
  </sheetData>
  <mergeCells count="1">
    <mergeCell ref="A1:A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F6797-C6FA-420E-A7F5-52C01BA9F2BC}">
  <dimension ref="A1:CI307"/>
  <sheetViews>
    <sheetView zoomScale="70" zoomScaleNormal="70" workbookViewId="0">
      <selection activeCell="AM209" sqref="AM209:AP307"/>
    </sheetView>
  </sheetViews>
  <sheetFormatPr baseColWidth="10" defaultColWidth="14.33203125" defaultRowHeight="15"/>
  <cols>
    <col min="1" max="1" width="6.6640625" style="435" customWidth="1"/>
    <col min="2" max="2" width="20.83203125" style="435" customWidth="1"/>
    <col min="3" max="5" width="5.6640625" style="684" customWidth="1"/>
    <col min="6" max="6" width="25.5" style="684" customWidth="1"/>
    <col min="7" max="7" width="65.1640625" style="684" bestFit="1" customWidth="1"/>
    <col min="8" max="8" width="13.5" style="684" customWidth="1"/>
    <col min="9" max="9" width="24.5" style="684" customWidth="1"/>
    <col min="10" max="10" width="37.5" style="523" customWidth="1"/>
    <col min="11" max="20" width="22.33203125" style="195" customWidth="1"/>
    <col min="21" max="42" width="22.33203125" style="684" customWidth="1"/>
    <col min="43" max="48" width="28.83203125" style="684" customWidth="1"/>
    <col min="49" max="65" width="14.33203125" style="684"/>
    <col min="66" max="87" width="18" style="684" customWidth="1"/>
    <col min="88" max="16384" width="14.33203125" style="684"/>
  </cols>
  <sheetData>
    <row r="1" spans="1:87" ht="15" customHeight="1">
      <c r="A1" s="941" t="s">
        <v>484</v>
      </c>
      <c r="B1" s="833"/>
      <c r="C1" s="941" t="s">
        <v>486</v>
      </c>
      <c r="D1" s="941" t="s">
        <v>485</v>
      </c>
      <c r="E1" s="834"/>
      <c r="F1" s="834"/>
      <c r="G1" s="834"/>
      <c r="H1" s="834"/>
      <c r="I1" s="947" t="s">
        <v>544</v>
      </c>
      <c r="J1" s="946" t="s">
        <v>72</v>
      </c>
      <c r="K1" s="914" t="s">
        <v>5</v>
      </c>
      <c r="L1" s="914"/>
      <c r="M1" s="914"/>
      <c r="N1" s="914"/>
      <c r="O1" s="914"/>
      <c r="P1" s="934" t="s">
        <v>6</v>
      </c>
      <c r="Q1" s="934"/>
      <c r="R1" s="934"/>
      <c r="S1" s="934"/>
      <c r="T1" s="934"/>
      <c r="U1" s="935" t="s">
        <v>84</v>
      </c>
      <c r="V1" s="935"/>
      <c r="W1" s="935"/>
      <c r="X1" s="935"/>
      <c r="Y1" s="935"/>
      <c r="Z1" s="936" t="s">
        <v>90</v>
      </c>
      <c r="AA1" s="936"/>
      <c r="AB1" s="936"/>
      <c r="AC1" s="936"/>
      <c r="AD1" s="936"/>
      <c r="AE1" s="942" t="s">
        <v>9</v>
      </c>
      <c r="AF1" s="942"/>
      <c r="AG1" s="942"/>
      <c r="AH1" s="942"/>
      <c r="AI1" s="942"/>
      <c r="AJ1" s="919" t="s">
        <v>10</v>
      </c>
      <c r="AK1" s="919"/>
      <c r="AL1" s="919"/>
      <c r="AM1" s="919"/>
      <c r="AN1" s="919"/>
      <c r="AO1" s="64" t="s">
        <v>115</v>
      </c>
      <c r="AP1" s="64" t="s">
        <v>116</v>
      </c>
      <c r="AQ1" s="943" t="s">
        <v>105</v>
      </c>
      <c r="AR1" s="944"/>
      <c r="AS1" s="944"/>
      <c r="AT1" s="944"/>
      <c r="AU1" s="945"/>
      <c r="AV1" s="837"/>
      <c r="AW1" s="926" t="s">
        <v>563</v>
      </c>
      <c r="AX1" s="927"/>
      <c r="AY1" s="927"/>
      <c r="AZ1" s="927"/>
      <c r="BA1" s="928"/>
      <c r="BB1" s="917" t="s">
        <v>565</v>
      </c>
      <c r="BC1" s="918"/>
      <c r="BD1" s="918"/>
      <c r="BE1" s="919" t="s">
        <v>564</v>
      </c>
      <c r="BF1" s="919"/>
      <c r="BG1" s="919"/>
    </row>
    <row r="2" spans="1:87" ht="15" customHeight="1">
      <c r="A2" s="941"/>
      <c r="B2" s="833"/>
      <c r="C2" s="941"/>
      <c r="D2" s="941"/>
      <c r="E2" s="835"/>
      <c r="F2" s="835" t="s">
        <v>575</v>
      </c>
      <c r="G2" s="835" t="s">
        <v>602</v>
      </c>
      <c r="H2" s="835" t="s">
        <v>611</v>
      </c>
      <c r="I2" s="948"/>
      <c r="J2" s="946"/>
      <c r="K2" s="513" t="s">
        <v>78</v>
      </c>
      <c r="L2" s="514" t="s">
        <v>77</v>
      </c>
      <c r="M2" s="514" t="s">
        <v>76</v>
      </c>
      <c r="N2" s="514" t="s">
        <v>74</v>
      </c>
      <c r="O2" s="514" t="s">
        <v>75</v>
      </c>
      <c r="P2" s="515" t="s">
        <v>83</v>
      </c>
      <c r="Q2" s="515" t="s">
        <v>82</v>
      </c>
      <c r="R2" s="515" t="s">
        <v>81</v>
      </c>
      <c r="S2" s="515" t="s">
        <v>80</v>
      </c>
      <c r="T2" s="515" t="s">
        <v>79</v>
      </c>
      <c r="U2" s="516" t="s">
        <v>89</v>
      </c>
      <c r="V2" s="516" t="s">
        <v>88</v>
      </c>
      <c r="W2" s="516" t="s">
        <v>87</v>
      </c>
      <c r="X2" s="516" t="s">
        <v>86</v>
      </c>
      <c r="Y2" s="516" t="s">
        <v>85</v>
      </c>
      <c r="Z2" s="517" t="s">
        <v>95</v>
      </c>
      <c r="AA2" s="517" t="s">
        <v>94</v>
      </c>
      <c r="AB2" s="517" t="s">
        <v>93</v>
      </c>
      <c r="AC2" s="517" t="s">
        <v>92</v>
      </c>
      <c r="AD2" s="517" t="s">
        <v>91</v>
      </c>
      <c r="AE2" s="518" t="s">
        <v>1095</v>
      </c>
      <c r="AF2" s="518" t="s">
        <v>1094</v>
      </c>
      <c r="AG2" s="518" t="s">
        <v>98</v>
      </c>
      <c r="AH2" s="518" t="s">
        <v>97</v>
      </c>
      <c r="AI2" s="518" t="s">
        <v>96</v>
      </c>
      <c r="AJ2" s="519" t="s">
        <v>1097</v>
      </c>
      <c r="AK2" s="519" t="s">
        <v>1096</v>
      </c>
      <c r="AL2" s="519" t="s">
        <v>101</v>
      </c>
      <c r="AM2" s="519" t="s">
        <v>100</v>
      </c>
      <c r="AN2" s="519" t="s">
        <v>99</v>
      </c>
      <c r="AO2" s="64" t="s">
        <v>115</v>
      </c>
      <c r="AP2" s="64" t="s">
        <v>116</v>
      </c>
      <c r="AQ2" s="522" t="s">
        <v>107</v>
      </c>
      <c r="AR2" s="522" t="s">
        <v>106</v>
      </c>
      <c r="AS2" s="522" t="s">
        <v>104</v>
      </c>
      <c r="AT2" s="522" t="s">
        <v>103</v>
      </c>
      <c r="AU2" s="522" t="s">
        <v>102</v>
      </c>
      <c r="AV2" s="522" t="s">
        <v>1102</v>
      </c>
      <c r="AW2" s="516" t="s">
        <v>89</v>
      </c>
      <c r="AX2" s="516" t="s">
        <v>88</v>
      </c>
      <c r="AY2" s="516" t="s">
        <v>87</v>
      </c>
      <c r="AZ2" s="516" t="s">
        <v>86</v>
      </c>
      <c r="BA2" s="516" t="s">
        <v>85</v>
      </c>
      <c r="BB2" s="557" t="s">
        <v>566</v>
      </c>
      <c r="BC2" s="557" t="s">
        <v>567</v>
      </c>
      <c r="BD2" s="557" t="s">
        <v>568</v>
      </c>
      <c r="BE2" s="519" t="s">
        <v>99</v>
      </c>
      <c r="BF2" s="519" t="s">
        <v>100</v>
      </c>
      <c r="BG2" s="519" t="s">
        <v>101</v>
      </c>
    </row>
    <row r="3" spans="1:87" ht="15" customHeight="1">
      <c r="A3" s="449">
        <v>2015</v>
      </c>
      <c r="B3" s="449"/>
      <c r="C3" s="449"/>
      <c r="D3" s="441"/>
      <c r="E3" s="641" t="s">
        <v>576</v>
      </c>
      <c r="F3" s="641" t="s">
        <v>576</v>
      </c>
      <c r="G3" s="631" t="s">
        <v>599</v>
      </c>
      <c r="H3" s="631" t="s">
        <v>612</v>
      </c>
      <c r="I3" s="441"/>
      <c r="J3" s="436" t="s">
        <v>73</v>
      </c>
      <c r="K3" s="442">
        <f>'First Draft'!C570</f>
        <v>23504</v>
      </c>
      <c r="L3" s="442">
        <f>'First Draft'!D570</f>
        <v>16927</v>
      </c>
      <c r="M3" s="442">
        <f>'First Draft'!E570</f>
        <v>15580</v>
      </c>
      <c r="N3" s="442">
        <f>'First Draft'!F570</f>
        <v>20669</v>
      </c>
      <c r="O3" s="442">
        <f>'First Draft'!G570</f>
        <v>79957</v>
      </c>
      <c r="P3" s="442">
        <f>'First Draft'!C574</f>
        <v>-7172</v>
      </c>
      <c r="Q3" s="442">
        <f>'First Draft'!D574</f>
        <v>-5689</v>
      </c>
      <c r="R3" s="442">
        <f>'First Draft'!E574</f>
        <v>-4744</v>
      </c>
      <c r="S3" s="442">
        <f>'First Draft'!F574</f>
        <v>5522</v>
      </c>
      <c r="T3" s="442">
        <f>'First Draft'!G574</f>
        <v>1443</v>
      </c>
      <c r="U3" s="443">
        <f>'First Draft'!C573</f>
        <v>52949</v>
      </c>
      <c r="V3" s="443">
        <f>'First Draft'!D573</f>
        <v>51268</v>
      </c>
      <c r="W3" s="443">
        <f>'First Draft'!E573</f>
        <v>50341</v>
      </c>
      <c r="X3" s="443">
        <f>'First Draft'!F573</f>
        <v>56863</v>
      </c>
      <c r="Y3" s="443">
        <f>'First Draft'!G573</f>
        <v>75714</v>
      </c>
      <c r="Z3" s="443">
        <f>'First Draft'!C567</f>
        <v>39123</v>
      </c>
      <c r="AA3" s="443">
        <f>'First Draft'!D567</f>
        <v>44614</v>
      </c>
      <c r="AB3" s="443">
        <f>'First Draft'!E567</f>
        <v>49376</v>
      </c>
      <c r="AC3" s="443">
        <f>'First Draft'!F567</f>
        <v>60642</v>
      </c>
      <c r="AD3" s="443">
        <f>'First Draft'!G567</f>
        <v>66469</v>
      </c>
      <c r="AE3" s="61">
        <f>P3/Z3</f>
        <v>-0.18331927510671472</v>
      </c>
      <c r="AF3" s="61">
        <f t="shared" ref="AF3:AI18" si="0">Q3/AA3</f>
        <v>-0.12751602635943873</v>
      </c>
      <c r="AG3" s="61">
        <f t="shared" si="0"/>
        <v>-9.6079066753078424E-2</v>
      </c>
      <c r="AH3" s="61">
        <f t="shared" si="0"/>
        <v>9.1059002011807E-2</v>
      </c>
      <c r="AI3" s="61">
        <f t="shared" si="0"/>
        <v>2.1709368276941129E-2</v>
      </c>
      <c r="AJ3" s="61">
        <f>P3/(AVERAGE(AQ3:AR3))</f>
        <v>0.70039062500000004</v>
      </c>
      <c r="AK3" s="61">
        <f>Q3/(AVERAGE(AR3:AS3))</f>
        <v>1.4933718335739599</v>
      </c>
      <c r="AL3" s="61">
        <f>R3/(AVERAGE(AS3:AT3))</f>
        <v>-3.3717128642501777</v>
      </c>
      <c r="AM3" s="61">
        <f>S3/(AVERAGE(AT3:AU3))</f>
        <v>-2.0204903036955728</v>
      </c>
      <c r="AN3" s="61">
        <f>T3/(AVERAGE(AU3:AV3))</f>
        <v>-0.14274408942526462</v>
      </c>
      <c r="AO3" s="434"/>
      <c r="AP3" s="434"/>
      <c r="AQ3" s="443">
        <f>'First Draft'!C578</f>
        <v>-13826</v>
      </c>
      <c r="AR3" s="443">
        <f>'First Draft'!D578</f>
        <v>-6654</v>
      </c>
      <c r="AS3" s="443">
        <f>'First Draft'!E578</f>
        <v>-965</v>
      </c>
      <c r="AT3" s="443">
        <f>'First Draft'!F578</f>
        <v>3779</v>
      </c>
      <c r="AU3" s="443">
        <f>'First Draft'!G578</f>
        <v>-9245</v>
      </c>
      <c r="AV3" s="443">
        <f>'Shareholder funds'!F3</f>
        <v>-10973</v>
      </c>
      <c r="AW3" s="591">
        <f>'First Draft'!C571</f>
        <v>42791</v>
      </c>
      <c r="AX3" s="591">
        <f>'First Draft'!D571</f>
        <v>42995</v>
      </c>
      <c r="AY3" s="591">
        <f>'First Draft'!E571</f>
        <v>41491</v>
      </c>
      <c r="AZ3" s="591">
        <f>'First Draft'!F571</f>
        <v>44854</v>
      </c>
      <c r="BA3" s="591">
        <f>'First Draft'!G571</f>
        <v>6224</v>
      </c>
      <c r="BB3" s="553">
        <f t="shared" ref="BB3:BB46" si="1">T3/BA3</f>
        <v>0.23184447300771208</v>
      </c>
      <c r="BC3" s="553">
        <f t="shared" ref="BC3:BC46" si="2">S3/AZ3</f>
        <v>0.1231105364070094</v>
      </c>
      <c r="BD3" s="553">
        <f t="shared" ref="BD3:BD46" si="3">R3/AY3</f>
        <v>-0.11433804921549251</v>
      </c>
      <c r="BE3" s="538">
        <f t="shared" ref="BE3:BE46" si="4">((AU3/(AU3+Y3))*AJ3)+(Y3/(AU3+Y3))*BB3</f>
        <v>0.16667560970047557</v>
      </c>
      <c r="BF3" s="538">
        <f t="shared" ref="BF3:BF46" si="5">((AT3/(AT3+X3))*AK3)+(X3/(AT3+X3))*BC3</f>
        <v>0.20850048795863874</v>
      </c>
      <c r="BG3" s="455">
        <f t="shared" ref="BG3:BG46" si="6">((AS3/(AS3+W3))*AL3)+(W3/(AS3+W3))*BD3</f>
        <v>-5.0676215601824517E-2</v>
      </c>
    </row>
    <row r="4" spans="1:87" ht="15" customHeight="1">
      <c r="A4" s="449">
        <v>2014</v>
      </c>
      <c r="B4" s="449"/>
      <c r="C4" s="449"/>
      <c r="D4" s="441"/>
      <c r="E4" s="641" t="s">
        <v>626</v>
      </c>
      <c r="F4" s="642" t="s">
        <v>577</v>
      </c>
      <c r="G4" s="631" t="s">
        <v>600</v>
      </c>
      <c r="H4" s="631" t="s">
        <v>613</v>
      </c>
      <c r="I4" s="441"/>
      <c r="J4" s="437" t="s">
        <v>137</v>
      </c>
      <c r="K4" s="444">
        <f>'First Draft'!C581</f>
        <v>258983.070565976</v>
      </c>
      <c r="L4" s="444">
        <f>'First Draft'!D581</f>
        <v>260412.52752775</v>
      </c>
      <c r="M4" s="444">
        <f>'First Draft'!E581</f>
        <v>277798.744423047</v>
      </c>
      <c r="N4" s="444">
        <f>'First Draft'!F581</f>
        <v>261098.935228363</v>
      </c>
      <c r="O4" s="444">
        <f>'First Draft'!G581</f>
        <v>313850.16148057597</v>
      </c>
      <c r="P4" s="444">
        <f>'First Draft'!C586</f>
        <v>30923.629855789201</v>
      </c>
      <c r="Q4" s="444">
        <f>'First Draft'!D586</f>
        <v>948.95591109991096</v>
      </c>
      <c r="R4" s="444">
        <f>'First Draft'!E586</f>
        <v>25845.402300328002</v>
      </c>
      <c r="S4" s="444">
        <f>'First Draft'!F586</f>
        <v>21129.610657051198</v>
      </c>
      <c r="T4" s="444">
        <f>'First Draft'!G586</f>
        <v>10074.342009186699</v>
      </c>
      <c r="U4" s="443">
        <f>'First Draft'!C585</f>
        <v>178630.57325782612</v>
      </c>
      <c r="V4" s="443">
        <f>'First Draft'!D585</f>
        <v>199844.89446003718</v>
      </c>
      <c r="W4" s="443">
        <f>'First Draft'!E585</f>
        <v>214593.86519747999</v>
      </c>
      <c r="X4" s="443">
        <f>'First Draft'!F585</f>
        <v>100559.35857063538</v>
      </c>
      <c r="Y4" s="443">
        <f>'First Draft'!G585</f>
        <v>98820.887215465351</v>
      </c>
      <c r="Z4" s="443">
        <f>'First Draft'!C584</f>
        <v>311065</v>
      </c>
      <c r="AA4" s="443">
        <f>'First Draft'!D584</f>
        <v>296910</v>
      </c>
      <c r="AB4" s="443">
        <f>'First Draft'!E584</f>
        <v>277876</v>
      </c>
      <c r="AC4" s="443">
        <f>'First Draft'!F584</f>
        <v>299663</v>
      </c>
      <c r="AD4" s="443">
        <f>'First Draft'!G584</f>
        <v>336351</v>
      </c>
      <c r="AE4" s="61">
        <f t="shared" ref="AE4:AI46" si="7">P4/Z4</f>
        <v>9.9412115975083024E-2</v>
      </c>
      <c r="AF4" s="61">
        <f t="shared" si="0"/>
        <v>3.1961062648611059E-3</v>
      </c>
      <c r="AG4" s="61">
        <f t="shared" si="0"/>
        <v>9.3010559747254182E-2</v>
      </c>
      <c r="AH4" s="61">
        <f t="shared" si="0"/>
        <v>7.0511243153312878E-2</v>
      </c>
      <c r="AI4" s="61">
        <f t="shared" si="0"/>
        <v>2.995187173276339E-2</v>
      </c>
      <c r="AJ4" s="61">
        <f t="shared" ref="AJ4:AJ46" si="8">P4/(AVERAGE(AQ4:AR4))</f>
        <v>0.26948679566658773</v>
      </c>
      <c r="AK4" s="61">
        <f t="shared" ref="AK4:AK46" si="9">Q4/(AVERAGE(AR4:AS4))</f>
        <v>1.1836209242810975E-2</v>
      </c>
      <c r="AL4" s="61">
        <f t="shared" ref="AL4:AL46" si="10">R4/(AVERAGE(AS4:AT4))</f>
        <v>0.19700280113392524</v>
      </c>
      <c r="AM4" s="61">
        <f t="shared" ref="AM4:AM46" si="11">S4/(AVERAGE(AT4:AU4))</f>
        <v>9.6784243542421919E-2</v>
      </c>
      <c r="AN4" s="61">
        <f t="shared" ref="AN4:AN46" si="12">T4/(AVERAGE(AU4:AV4))</f>
        <v>3.929788393255574E-2</v>
      </c>
      <c r="AO4" s="434"/>
      <c r="AP4" s="434"/>
      <c r="AQ4" s="443">
        <f>'First Draft'!C590</f>
        <v>132434.836148545</v>
      </c>
      <c r="AR4" s="443">
        <f>'First Draft'!D590</f>
        <v>97065.3126754314</v>
      </c>
      <c r="AS4" s="443">
        <f>'First Draft'!E590</f>
        <v>63282.631777524897</v>
      </c>
      <c r="AT4" s="443">
        <f>'First Draft'!F590</f>
        <v>199103.50843535399</v>
      </c>
      <c r="AU4" s="443">
        <f>'First Draft'!G590</f>
        <v>237529.76747158199</v>
      </c>
      <c r="AV4" s="443">
        <f>'Shareholder funds'!F4</f>
        <v>275187</v>
      </c>
      <c r="AW4" s="534">
        <f>'First Draft'!C582</f>
        <v>8047.86848848313</v>
      </c>
      <c r="AX4" s="534">
        <f>'First Draft'!D582</f>
        <v>7355.5684038251602</v>
      </c>
      <c r="AY4" s="534">
        <f>'First Draft'!E582</f>
        <v>0</v>
      </c>
      <c r="AZ4" s="534">
        <f>'First Draft'!F582</f>
        <v>7.9407809823751396</v>
      </c>
      <c r="BA4" s="534">
        <f>'First Draft'!G582</f>
        <v>59.374999433755903</v>
      </c>
      <c r="BB4" s="553">
        <f t="shared" si="1"/>
        <v>169.67313019390497</v>
      </c>
      <c r="BC4" s="553">
        <f t="shared" si="2"/>
        <v>2660.8983050847464</v>
      </c>
      <c r="BD4" s="553" t="e">
        <f t="shared" si="3"/>
        <v>#DIV/0!</v>
      </c>
      <c r="BE4" s="538">
        <f t="shared" si="4"/>
        <v>50.0408135490582</v>
      </c>
      <c r="BF4" s="538">
        <f t="shared" si="5"/>
        <v>892.93874174424036</v>
      </c>
      <c r="BG4" s="455" t="e">
        <f t="shared" si="6"/>
        <v>#DIV/0!</v>
      </c>
      <c r="BN4" s="529" t="s">
        <v>347</v>
      </c>
      <c r="BO4" s="530">
        <v>2002</v>
      </c>
      <c r="BP4" s="530">
        <v>2003</v>
      </c>
      <c r="BQ4" s="530">
        <v>2004</v>
      </c>
      <c r="BR4" s="531">
        <v>2005</v>
      </c>
      <c r="BS4" s="530">
        <v>2006</v>
      </c>
      <c r="BT4" s="530">
        <v>2007</v>
      </c>
      <c r="BU4" s="530">
        <v>2008</v>
      </c>
      <c r="BV4" s="530">
        <v>2009</v>
      </c>
      <c r="BW4" s="530">
        <v>2010</v>
      </c>
      <c r="BX4" s="530">
        <v>2011</v>
      </c>
      <c r="BY4" s="530">
        <v>2012</v>
      </c>
      <c r="BZ4" s="530">
        <v>2013</v>
      </c>
      <c r="CA4" s="530">
        <v>2014</v>
      </c>
      <c r="CB4" s="530">
        <v>2015</v>
      </c>
      <c r="CC4" s="530">
        <v>2016</v>
      </c>
      <c r="CD4" s="530">
        <v>2017</v>
      </c>
      <c r="CE4" s="530">
        <v>2018</v>
      </c>
      <c r="CF4" s="530">
        <v>2019</v>
      </c>
      <c r="CG4" s="530">
        <v>2020</v>
      </c>
      <c r="CH4" s="530">
        <v>2021</v>
      </c>
      <c r="CI4" s="530">
        <v>2022</v>
      </c>
    </row>
    <row r="5" spans="1:87" ht="15" customHeight="1">
      <c r="A5" s="449">
        <v>2014</v>
      </c>
      <c r="B5" s="449"/>
      <c r="C5" s="449"/>
      <c r="D5" s="441"/>
      <c r="E5" s="641" t="s">
        <v>627</v>
      </c>
      <c r="F5" s="641" t="s">
        <v>578</v>
      </c>
      <c r="G5" s="640" t="s">
        <v>601</v>
      </c>
      <c r="H5" s="640" t="s">
        <v>614</v>
      </c>
      <c r="I5" s="441"/>
      <c r="J5" s="437" t="s">
        <v>139</v>
      </c>
      <c r="K5" s="445">
        <f>'First Draft'!C595</f>
        <v>131357.49144222599</v>
      </c>
      <c r="L5" s="445">
        <f>'First Draft'!D595</f>
        <v>87087.122476711898</v>
      </c>
      <c r="M5" s="445">
        <f>'First Draft'!E595</f>
        <v>88488.306511670395</v>
      </c>
      <c r="N5" s="445">
        <f>'First Draft'!F595</f>
        <v>65058.549409583204</v>
      </c>
      <c r="O5" s="445">
        <f>'First Draft'!G595</f>
        <v>22389.473470687899</v>
      </c>
      <c r="P5" s="445">
        <f>'First Draft'!C599</f>
        <v>-18751.522615924499</v>
      </c>
      <c r="Q5" s="445">
        <f>'First Draft'!D599</f>
        <v>-25795.1274641454</v>
      </c>
      <c r="R5" s="445">
        <f>'First Draft'!E599</f>
        <v>-57097.955429300702</v>
      </c>
      <c r="S5" s="445">
        <f>'First Draft'!F599</f>
        <v>-93981.834716573401</v>
      </c>
      <c r="T5" s="445">
        <f>'First Draft'!G599</f>
        <v>-101304.439823359</v>
      </c>
      <c r="U5" s="443">
        <f>'First Draft'!C598</f>
        <v>24445.432506971065</v>
      </c>
      <c r="V5" s="443">
        <f>'First Draft'!D598</f>
        <v>19589.443044528318</v>
      </c>
      <c r="W5" s="443">
        <f>'First Draft'!E598</f>
        <v>348683.19212718261</v>
      </c>
      <c r="X5" s="443">
        <f>'First Draft'!F598</f>
        <v>391912.26557332324</v>
      </c>
      <c r="Y5" s="443">
        <f>'First Draft'!G598</f>
        <v>488517.26507797849</v>
      </c>
      <c r="Z5" s="443">
        <f>'First Draft'!C593</f>
        <v>459800.48923192901</v>
      </c>
      <c r="AA5" s="443">
        <f>'First Draft'!D593</f>
        <v>452920.87910589599</v>
      </c>
      <c r="AB5" s="443">
        <f>'First Draft'!E593</f>
        <v>473128.36492972099</v>
      </c>
      <c r="AC5" s="443">
        <f>'First Draft'!F593</f>
        <v>607718.19738379098</v>
      </c>
      <c r="AD5" s="443">
        <f>'First Draft'!G593</f>
        <v>672849.00674110698</v>
      </c>
      <c r="AE5" s="61">
        <f t="shared" si="7"/>
        <v>-4.0781867473103105E-2</v>
      </c>
      <c r="AF5" s="61">
        <f t="shared" si="0"/>
        <v>-5.6952833605434919E-2</v>
      </c>
      <c r="AG5" s="61">
        <f t="shared" si="0"/>
        <v>-0.12068174233811177</v>
      </c>
      <c r="AH5" s="61">
        <f t="shared" si="0"/>
        <v>-0.15464706359158314</v>
      </c>
      <c r="AI5" s="61">
        <f t="shared" si="0"/>
        <v>-0.15056043600929034</v>
      </c>
      <c r="AJ5" s="61">
        <f t="shared" si="8"/>
        <v>-4.31721288903174E-2</v>
      </c>
      <c r="AK5" s="61">
        <f t="shared" si="9"/>
        <v>-9.249268274869267E-2</v>
      </c>
      <c r="AL5" s="61">
        <f t="shared" si="10"/>
        <v>-0.33562245444723915</v>
      </c>
      <c r="AM5" s="61">
        <f t="shared" si="11"/>
        <v>-0.46974749415978201</v>
      </c>
      <c r="AN5" s="61">
        <f t="shared" si="12"/>
        <v>-0.32665588185765904</v>
      </c>
      <c r="AO5" s="434"/>
      <c r="AP5" s="434"/>
      <c r="AQ5" s="443">
        <f>'First Draft'!C603</f>
        <v>435355.05672495801</v>
      </c>
      <c r="AR5" s="443">
        <f>'First Draft'!D603</f>
        <v>433331.43606136699</v>
      </c>
      <c r="AS5" s="443">
        <f>'First Draft'!E603</f>
        <v>124445.172802538</v>
      </c>
      <c r="AT5" s="443">
        <f>'First Draft'!F603</f>
        <v>215805.931810468</v>
      </c>
      <c r="AU5" s="443">
        <f>'First Draft'!G603</f>
        <v>184331.74166312799</v>
      </c>
      <c r="AV5" s="443">
        <f>'Shareholder funds'!F5</f>
        <v>435920</v>
      </c>
      <c r="AW5" s="534">
        <f>'First Draft'!C596</f>
        <v>392.93544630706299</v>
      </c>
      <c r="AX5" s="534">
        <f>'First Draft'!D596</f>
        <v>339.79118137061602</v>
      </c>
      <c r="AY5" s="534">
        <f>'First Draft'!E596</f>
        <v>331215.54216979403</v>
      </c>
      <c r="AZ5" s="534">
        <f>'First Draft'!F596</f>
        <v>337466.23347291397</v>
      </c>
      <c r="BA5" s="534">
        <f>'First Draft'!G596</f>
        <v>469905.75209757697</v>
      </c>
      <c r="BB5" s="553">
        <f t="shared" si="1"/>
        <v>-0.21558459195520321</v>
      </c>
      <c r="BC5" s="553">
        <f t="shared" si="2"/>
        <v>-0.2784925583498909</v>
      </c>
      <c r="BD5" s="553">
        <f t="shared" si="3"/>
        <v>-0.17238911874500762</v>
      </c>
      <c r="BE5" s="538">
        <f t="shared" si="4"/>
        <v>-0.16835097894132742</v>
      </c>
      <c r="BF5" s="538">
        <f t="shared" si="5"/>
        <v>-0.21244241102248046</v>
      </c>
      <c r="BG5" s="455">
        <f t="shared" si="6"/>
        <v>-0.21532376856592103</v>
      </c>
      <c r="BN5" s="528" t="s">
        <v>346</v>
      </c>
      <c r="BO5" s="254">
        <v>0.12554599999999999</v>
      </c>
      <c r="BP5" s="254">
        <v>0.141177</v>
      </c>
      <c r="BQ5" s="254">
        <v>0.14866199999999999</v>
      </c>
      <c r="BR5" s="532">
        <v>0.15548899999999999</v>
      </c>
      <c r="BS5" s="433">
        <v>0.156108</v>
      </c>
      <c r="BT5" s="433">
        <v>0.17111199999999999</v>
      </c>
      <c r="BU5" s="433">
        <v>0.179786</v>
      </c>
      <c r="BV5" s="433">
        <v>0.15977</v>
      </c>
      <c r="BW5" s="433">
        <v>0.165661</v>
      </c>
      <c r="BX5" s="433">
        <v>0.178596</v>
      </c>
      <c r="BY5" s="433">
        <v>0.17192399999999999</v>
      </c>
      <c r="BZ5" s="433">
        <v>0.170267</v>
      </c>
      <c r="CA5" s="433">
        <v>0.159195</v>
      </c>
      <c r="CB5" s="433">
        <v>0.124226</v>
      </c>
      <c r="CC5" s="254">
        <v>0.11905300000000001</v>
      </c>
      <c r="CD5" s="254">
        <v>0.12106600000000001</v>
      </c>
      <c r="CE5" s="254">
        <v>0.122946</v>
      </c>
      <c r="CF5" s="254">
        <v>0.113701</v>
      </c>
      <c r="CG5" s="254">
        <v>0.10663499999999999</v>
      </c>
      <c r="CH5" s="254">
        <v>0.116379</v>
      </c>
      <c r="CI5" s="254">
        <v>0.112745</v>
      </c>
    </row>
    <row r="6" spans="1:87" ht="15" customHeight="1">
      <c r="A6" s="449">
        <v>2014</v>
      </c>
      <c r="B6" s="449"/>
      <c r="C6" s="449"/>
      <c r="D6" s="441"/>
      <c r="E6" s="641" t="s">
        <v>628</v>
      </c>
      <c r="F6" s="642" t="s">
        <v>579</v>
      </c>
      <c r="G6" s="640" t="s">
        <v>603</v>
      </c>
      <c r="H6" s="640" t="s">
        <v>615</v>
      </c>
      <c r="I6" s="441"/>
      <c r="J6" s="437" t="s">
        <v>140</v>
      </c>
      <c r="K6" s="444">
        <f>'First Draft'!C611</f>
        <v>100182.704459876</v>
      </c>
      <c r="L6" s="444">
        <f>'First Draft'!D611</f>
        <v>104512.760429084</v>
      </c>
      <c r="M6" s="444">
        <f>'First Draft'!E611</f>
        <v>97423.380066454396</v>
      </c>
      <c r="N6" s="444">
        <f>'First Draft'!F611</f>
        <v>99407.810738682703</v>
      </c>
      <c r="O6" s="444">
        <f>'First Draft'!G611</f>
        <v>126611.840897799</v>
      </c>
      <c r="P6" s="444">
        <f>'First Draft'!C615</f>
        <v>171376.37103349</v>
      </c>
      <c r="Q6" s="444">
        <f>'First Draft'!D615</f>
        <v>113387.47035562999</v>
      </c>
      <c r="R6" s="444">
        <f>'First Draft'!E615</f>
        <v>75936.433956027002</v>
      </c>
      <c r="S6" s="444">
        <f>'First Draft'!F615</f>
        <v>17456.259210407701</v>
      </c>
      <c r="T6" s="444">
        <f>'First Draft'!G615</f>
        <v>-47302.631127834298</v>
      </c>
      <c r="U6" s="443">
        <f>'First Draft'!C614</f>
        <v>964847.75089174509</v>
      </c>
      <c r="V6" s="443">
        <f>'First Draft'!D614</f>
        <v>909779.577215016</v>
      </c>
      <c r="W6" s="443">
        <f>'First Draft'!E614</f>
        <v>1222236.0645666721</v>
      </c>
      <c r="X6" s="443">
        <f>'First Draft'!F614</f>
        <v>1449623.2157096257</v>
      </c>
      <c r="Y6" s="443">
        <f>'First Draft'!G614</f>
        <v>1642944.0632790311</v>
      </c>
      <c r="Z6" s="443">
        <f>'First Draft'!C609</f>
        <v>1897222.90724367</v>
      </c>
      <c r="AA6" s="443">
        <f>'First Draft'!D609</f>
        <v>1662552.1947622299</v>
      </c>
      <c r="AB6" s="443">
        <f>'First Draft'!E609</f>
        <v>1878036.27506644</v>
      </c>
      <c r="AC6" s="443">
        <f>'First Draft'!F609</f>
        <v>2161628.6318615102</v>
      </c>
      <c r="AD6" s="443">
        <f>'First Draft'!G609</f>
        <v>2474753.2658726</v>
      </c>
      <c r="AE6" s="61">
        <f t="shared" si="7"/>
        <v>9.0330119027747569E-2</v>
      </c>
      <c r="AF6" s="61">
        <f t="shared" si="0"/>
        <v>6.8200848498381192E-2</v>
      </c>
      <c r="AG6" s="61">
        <f t="shared" si="0"/>
        <v>4.0433954851772272E-2</v>
      </c>
      <c r="AH6" s="61">
        <f t="shared" si="0"/>
        <v>8.0755125802414313E-3</v>
      </c>
      <c r="AI6" s="61">
        <f t="shared" si="0"/>
        <v>-1.9114079686305758E-2</v>
      </c>
      <c r="AJ6" s="61">
        <f t="shared" si="8"/>
        <v>0.20339625246865439</v>
      </c>
      <c r="AK6" s="61">
        <f t="shared" si="9"/>
        <v>0.16099624825625053</v>
      </c>
      <c r="AL6" s="61">
        <f t="shared" si="10"/>
        <v>0.11103395464444404</v>
      </c>
      <c r="AM6" s="61">
        <f t="shared" si="11"/>
        <v>2.261444994554233E-2</v>
      </c>
      <c r="AN6" s="61">
        <f t="shared" si="12"/>
        <v>-5.2553889248875968E-2</v>
      </c>
      <c r="AO6" s="434"/>
      <c r="AP6" s="434"/>
      <c r="AQ6" s="443">
        <f>'First Draft'!C619</f>
        <v>932375.15635192394</v>
      </c>
      <c r="AR6" s="443">
        <f>'First Draft'!D619</f>
        <v>752772.61754721403</v>
      </c>
      <c r="AS6" s="443">
        <f>'First Draft'!E619</f>
        <v>655800.21049976302</v>
      </c>
      <c r="AT6" s="443">
        <f>'First Draft'!F619</f>
        <v>712005.41615188099</v>
      </c>
      <c r="AU6" s="443">
        <f>'First Draft'!G619</f>
        <v>831809.20259356499</v>
      </c>
      <c r="AV6" s="443">
        <f>'Shareholder funds'!F6</f>
        <v>968348</v>
      </c>
      <c r="AW6" s="534">
        <f>'First Draft'!C612</f>
        <v>945481.124740839</v>
      </c>
      <c r="AX6" s="534">
        <f>'First Draft'!D612</f>
        <v>884466.35230034601</v>
      </c>
      <c r="AY6" s="534">
        <f>'First Draft'!E612</f>
        <v>634982.95790255105</v>
      </c>
      <c r="AZ6" s="534">
        <f>'First Draft'!F612</f>
        <v>1415047.1710592499</v>
      </c>
      <c r="BA6" s="534">
        <f>'First Draft'!G612</f>
        <v>1592088.8006061299</v>
      </c>
      <c r="BB6" s="553">
        <f t="shared" si="1"/>
        <v>-2.9711050733995204E-2</v>
      </c>
      <c r="BC6" s="553">
        <f t="shared" si="2"/>
        <v>1.2336167703399327E-2</v>
      </c>
      <c r="BD6" s="553">
        <f t="shared" si="3"/>
        <v>0.11958814486432365</v>
      </c>
      <c r="BE6" s="538">
        <f t="shared" si="4"/>
        <v>4.8640517751505144E-2</v>
      </c>
      <c r="BF6" s="538">
        <f t="shared" si="5"/>
        <v>6.1302387413421408E-2</v>
      </c>
      <c r="BG6" s="455">
        <f t="shared" si="6"/>
        <v>0.11660106744663445</v>
      </c>
    </row>
    <row r="7" spans="1:87" ht="15" customHeight="1">
      <c r="A7" s="680">
        <v>2014</v>
      </c>
      <c r="B7" s="680"/>
      <c r="C7" s="680"/>
      <c r="D7" s="760"/>
      <c r="E7" s="731" t="s">
        <v>629</v>
      </c>
      <c r="F7" s="729" t="s">
        <v>580</v>
      </c>
      <c r="G7" s="728" t="s">
        <v>604</v>
      </c>
      <c r="H7" s="728" t="s">
        <v>616</v>
      </c>
      <c r="I7" s="760"/>
      <c r="J7" s="770" t="s">
        <v>141</v>
      </c>
      <c r="K7" s="722">
        <f>'First Draft'!C626</f>
        <v>30981.486128881599</v>
      </c>
      <c r="L7" s="722">
        <f>'First Draft'!D626</f>
        <v>24669.9534565955</v>
      </c>
      <c r="M7" s="722">
        <f>'First Draft'!E626</f>
        <v>29732.121839225299</v>
      </c>
      <c r="N7" s="722">
        <f>'First Draft'!F626</f>
        <v>33803.500873446501</v>
      </c>
      <c r="O7" s="722">
        <f>'First Draft'!G626</f>
        <v>36369.900968939102</v>
      </c>
      <c r="P7" s="722">
        <f>'First Draft'!C630</f>
        <v>4548.8428945392398</v>
      </c>
      <c r="Q7" s="722">
        <f>'First Draft'!D630</f>
        <v>870.18560992181301</v>
      </c>
      <c r="R7" s="722">
        <f>'First Draft'!E630</f>
        <v>857.88874116540001</v>
      </c>
      <c r="S7" s="722">
        <f>'First Draft'!F630</f>
        <v>590.71335138380505</v>
      </c>
      <c r="T7" s="722">
        <f>'First Draft'!G630</f>
        <v>2957.8947086334201</v>
      </c>
      <c r="U7" s="756">
        <f>'First Draft'!C629</f>
        <v>8261.8757975846493</v>
      </c>
      <c r="V7" s="756">
        <f>'First Draft'!D629</f>
        <v>18294.8954880536</v>
      </c>
      <c r="W7" s="756">
        <f>'First Draft'!E629</f>
        <v>15338.478614866701</v>
      </c>
      <c r="X7" s="756">
        <f>'First Draft'!F629</f>
        <v>15509.018206119501</v>
      </c>
      <c r="Y7" s="756">
        <f>'First Draft'!G629</f>
        <v>16248.190634518902</v>
      </c>
      <c r="Z7" s="756">
        <f>'First Draft'!C624</f>
        <v>15161.0232091546</v>
      </c>
      <c r="AA7" s="756">
        <f>'First Draft'!D624</f>
        <v>19642.4592855275</v>
      </c>
      <c r="AB7" s="756">
        <f>'First Draft'!E624</f>
        <v>17094.437707990401</v>
      </c>
      <c r="AC7" s="756">
        <f>'First Draft'!F624</f>
        <v>17467.16096057</v>
      </c>
      <c r="AD7" s="756">
        <f>'First Draft'!G624</f>
        <v>18385.1971930861</v>
      </c>
      <c r="AE7" s="61">
        <f t="shared" si="7"/>
        <v>0.30003534931550901</v>
      </c>
      <c r="AF7" s="61">
        <f t="shared" si="0"/>
        <v>4.4301255625509323E-2</v>
      </c>
      <c r="AG7" s="61">
        <f t="shared" si="0"/>
        <v>5.0185256503897741E-2</v>
      </c>
      <c r="AH7" s="61">
        <f t="shared" si="0"/>
        <v>3.381850964316805E-2</v>
      </c>
      <c r="AI7" s="61">
        <f t="shared" si="0"/>
        <v>0.16088457891252644</v>
      </c>
      <c r="AJ7" s="61">
        <f t="shared" si="8"/>
        <v>1.1031895695706413</v>
      </c>
      <c r="AK7" s="61">
        <f t="shared" si="9"/>
        <v>0.5607933098521769</v>
      </c>
      <c r="AL7" s="61">
        <f t="shared" si="10"/>
        <v>0.46197707832299528</v>
      </c>
      <c r="AM7" s="61">
        <f t="shared" si="11"/>
        <v>0.28849417016665813</v>
      </c>
      <c r="AN7" s="61">
        <f t="shared" si="12"/>
        <v>1.3690767040234093</v>
      </c>
      <c r="AO7" s="434"/>
      <c r="AP7" s="434"/>
      <c r="AQ7" s="756">
        <f>'First Draft'!C634</f>
        <v>6899.1474115699502</v>
      </c>
      <c r="AR7" s="756">
        <f>'First Draft'!D634</f>
        <v>1347.56379747391</v>
      </c>
      <c r="AS7" s="756">
        <f>'First Draft'!E634</f>
        <v>1755.8455857485501</v>
      </c>
      <c r="AT7" s="756">
        <f>'First Draft'!F634</f>
        <v>1958.14275445044</v>
      </c>
      <c r="AU7" s="756">
        <f>'First Draft'!G634</f>
        <v>2137.0065585672901</v>
      </c>
      <c r="AV7" s="443">
        <f>'Shareholder funds'!F7</f>
        <v>2184</v>
      </c>
      <c r="AW7" s="756">
        <f>'First Draft'!C627</f>
        <v>2187.3325309306401</v>
      </c>
      <c r="AX7" s="756">
        <f>'First Draft'!D627</f>
        <v>0</v>
      </c>
      <c r="AY7" s="756">
        <f>'First Draft'!E627</f>
        <v>0</v>
      </c>
      <c r="AZ7" s="756">
        <f>'First Draft'!F627</f>
        <v>0</v>
      </c>
      <c r="BA7" s="756">
        <f>'First Draft'!G627</f>
        <v>0</v>
      </c>
      <c r="BB7" s="743" t="e">
        <f t="shared" si="1"/>
        <v>#DIV/0!</v>
      </c>
      <c r="BC7" s="743" t="e">
        <f t="shared" si="2"/>
        <v>#DIV/0!</v>
      </c>
      <c r="BD7" s="743" t="e">
        <f t="shared" si="3"/>
        <v>#DIV/0!</v>
      </c>
      <c r="BE7" s="766" t="e">
        <f t="shared" si="4"/>
        <v>#DIV/0!</v>
      </c>
      <c r="BF7" s="766" t="e">
        <f t="shared" si="5"/>
        <v>#DIV/0!</v>
      </c>
      <c r="BG7" s="760" t="e">
        <f t="shared" si="6"/>
        <v>#DIV/0!</v>
      </c>
      <c r="BN7" s="529" t="s">
        <v>347</v>
      </c>
      <c r="BO7" s="530">
        <v>2022</v>
      </c>
      <c r="BP7" s="530">
        <v>2021</v>
      </c>
      <c r="BQ7" s="530">
        <v>2020</v>
      </c>
      <c r="BR7" s="530">
        <v>2019</v>
      </c>
      <c r="BS7" s="530">
        <v>2018</v>
      </c>
      <c r="BT7" s="530">
        <v>2017</v>
      </c>
      <c r="BU7" s="530">
        <v>2016</v>
      </c>
      <c r="BV7" s="530">
        <v>2015</v>
      </c>
      <c r="BW7" s="530">
        <v>2014</v>
      </c>
      <c r="BX7" s="530">
        <v>2013</v>
      </c>
      <c r="BY7" s="530">
        <v>2012</v>
      </c>
      <c r="BZ7" s="530">
        <v>2011</v>
      </c>
      <c r="CA7" s="530">
        <v>2010</v>
      </c>
      <c r="CB7" s="530">
        <v>2009</v>
      </c>
      <c r="CC7" s="530">
        <v>2008</v>
      </c>
      <c r="CD7" s="530">
        <v>2007</v>
      </c>
      <c r="CE7" s="530">
        <v>2006</v>
      </c>
      <c r="CF7" s="530">
        <v>2005</v>
      </c>
      <c r="CG7" s="530">
        <v>2004</v>
      </c>
      <c r="CH7" s="530">
        <v>2003</v>
      </c>
      <c r="CI7" s="530">
        <v>2002</v>
      </c>
    </row>
    <row r="8" spans="1:87" ht="15" customHeight="1">
      <c r="A8" s="449">
        <v>2014</v>
      </c>
      <c r="B8" s="449"/>
      <c r="C8" s="449"/>
      <c r="D8" s="441"/>
      <c r="E8" s="641" t="s">
        <v>630</v>
      </c>
      <c r="F8" s="642" t="s">
        <v>581</v>
      </c>
      <c r="G8" s="640" t="s">
        <v>605</v>
      </c>
      <c r="H8" s="640" t="s">
        <v>617</v>
      </c>
      <c r="I8" s="441"/>
      <c r="J8" s="437" t="s">
        <v>142</v>
      </c>
      <c r="K8" s="446">
        <f>'First Draft'!C642</f>
        <v>463904</v>
      </c>
      <c r="L8" s="446">
        <f>'First Draft'!D642</f>
        <v>257808</v>
      </c>
      <c r="M8" s="446">
        <f>'First Draft'!E642</f>
        <v>190238</v>
      </c>
      <c r="N8" s="446">
        <f>'First Draft'!F642</f>
        <v>96715</v>
      </c>
      <c r="O8" s="446">
        <f>'First Draft'!G642</f>
        <v>37546</v>
      </c>
      <c r="P8" s="446">
        <f>'First Draft'!C646</f>
        <v>-2348</v>
      </c>
      <c r="Q8" s="446">
        <f>'First Draft'!D646</f>
        <v>-127711</v>
      </c>
      <c r="R8" s="446">
        <f>'First Draft'!E646</f>
        <v>-220839</v>
      </c>
      <c r="S8" s="446">
        <f>'First Draft'!F646</f>
        <v>15995</v>
      </c>
      <c r="T8" s="446">
        <f>'First Draft'!G646</f>
        <v>-3903</v>
      </c>
      <c r="U8" s="443">
        <f>'First Draft'!C645</f>
        <v>1376009</v>
      </c>
      <c r="V8" s="443">
        <f>'First Draft'!D645</f>
        <v>1122904</v>
      </c>
      <c r="W8" s="443">
        <f>'First Draft'!E645</f>
        <v>1020018</v>
      </c>
      <c r="X8" s="443">
        <f>'First Draft'!F645</f>
        <v>378467</v>
      </c>
      <c r="Y8" s="443">
        <f>'First Draft'!G645</f>
        <v>102417</v>
      </c>
      <c r="Z8" s="443">
        <f>'First Draft'!C640</f>
        <v>2870058</v>
      </c>
      <c r="AA8" s="443">
        <f>'First Draft'!D640</f>
        <v>2361623</v>
      </c>
      <c r="AB8" s="443">
        <f>'First Draft'!E640</f>
        <v>2178667</v>
      </c>
      <c r="AC8" s="443">
        <f>'First Draft'!F640</f>
        <v>1262740</v>
      </c>
      <c r="AD8" s="443">
        <f>'First Draft'!G640</f>
        <v>409858</v>
      </c>
      <c r="AE8" s="61">
        <f t="shared" si="7"/>
        <v>-8.1810193382851496E-4</v>
      </c>
      <c r="AF8" s="61">
        <f t="shared" si="0"/>
        <v>-5.4077640673384365E-2</v>
      </c>
      <c r="AG8" s="61">
        <f t="shared" si="0"/>
        <v>-0.10136427457706937</v>
      </c>
      <c r="AH8" s="61">
        <f t="shared" si="0"/>
        <v>1.2666898965741165E-2</v>
      </c>
      <c r="AI8" s="61">
        <f t="shared" si="0"/>
        <v>-9.5228103391906457E-3</v>
      </c>
      <c r="AJ8" s="61">
        <f t="shared" si="8"/>
        <v>-1.7184041967704541E-3</v>
      </c>
      <c r="AK8" s="61">
        <f t="shared" si="9"/>
        <v>-0.10654267513372999</v>
      </c>
      <c r="AL8" s="61">
        <f t="shared" si="10"/>
        <v>-0.21619915004097073</v>
      </c>
      <c r="AM8" s="61">
        <f t="shared" si="11"/>
        <v>2.6843689005919207E-2</v>
      </c>
      <c r="AN8" s="61">
        <f t="shared" si="12"/>
        <v>-1.3340511164090338E-2</v>
      </c>
      <c r="AO8" s="434"/>
      <c r="AP8" s="434"/>
      <c r="AQ8" s="443">
        <f>'First Draft'!C650</f>
        <v>1494049</v>
      </c>
      <c r="AR8" s="443">
        <f>'First Draft'!D650</f>
        <v>1238719</v>
      </c>
      <c r="AS8" s="443">
        <f>'First Draft'!E650</f>
        <v>1158649</v>
      </c>
      <c r="AT8" s="443">
        <f>'First Draft'!F650</f>
        <v>884273</v>
      </c>
      <c r="AU8" s="443">
        <f>'First Draft'!G650</f>
        <v>307441</v>
      </c>
      <c r="AV8" s="443">
        <f>'Shareholder funds'!F8</f>
        <v>277694</v>
      </c>
      <c r="AW8" s="534">
        <f>'First Draft'!C643</f>
        <v>1194282</v>
      </c>
      <c r="AX8" s="534">
        <f>'First Draft'!D643</f>
        <v>1079303</v>
      </c>
      <c r="AY8" s="534">
        <f>'First Draft'!E643</f>
        <v>939984</v>
      </c>
      <c r="AZ8" s="534">
        <f>'First Draft'!F643</f>
        <v>343688</v>
      </c>
      <c r="BA8" s="534">
        <f>'First Draft'!G643</f>
        <v>95000</v>
      </c>
      <c r="BB8" s="553">
        <f t="shared" si="1"/>
        <v>-4.1084210526315793E-2</v>
      </c>
      <c r="BC8" s="553">
        <f t="shared" si="2"/>
        <v>4.6539303088848023E-2</v>
      </c>
      <c r="BD8" s="553">
        <f t="shared" si="3"/>
        <v>-0.23493910534647397</v>
      </c>
      <c r="BE8" s="538">
        <f t="shared" si="4"/>
        <v>-1.1555293526374964E-2</v>
      </c>
      <c r="BF8" s="538">
        <f t="shared" si="5"/>
        <v>-6.0661118319212011E-2</v>
      </c>
      <c r="BG8" s="455">
        <f t="shared" si="6"/>
        <v>-0.22497290561298278</v>
      </c>
      <c r="BN8" s="528" t="s">
        <v>346</v>
      </c>
      <c r="BO8" s="254">
        <v>0.112745</v>
      </c>
      <c r="BP8" s="254">
        <v>0.116379</v>
      </c>
      <c r="BQ8" s="254">
        <v>0.10663499999999999</v>
      </c>
      <c r="BR8" s="532">
        <v>0.113701</v>
      </c>
      <c r="BS8" s="433">
        <v>0.122946</v>
      </c>
      <c r="BT8" s="433">
        <v>0.12106600000000001</v>
      </c>
      <c r="BU8" s="433">
        <v>0.11905300000000001</v>
      </c>
      <c r="BV8" s="433">
        <v>0.124226</v>
      </c>
      <c r="BW8" s="433">
        <v>0.159195</v>
      </c>
      <c r="BX8" s="433">
        <v>0.170267</v>
      </c>
      <c r="BY8" s="433">
        <v>0.17192399999999999</v>
      </c>
      <c r="BZ8" s="433">
        <v>0.178596</v>
      </c>
      <c r="CA8" s="433">
        <v>0.165661</v>
      </c>
      <c r="CB8" s="433">
        <v>0.15977</v>
      </c>
      <c r="CC8" s="254">
        <v>0.179786</v>
      </c>
      <c r="CD8" s="254">
        <v>0.17111199999999999</v>
      </c>
      <c r="CE8" s="254">
        <v>0.156108</v>
      </c>
      <c r="CF8" s="254">
        <v>0.15548899999999999</v>
      </c>
      <c r="CG8" s="254">
        <v>0.14866199999999999</v>
      </c>
      <c r="CH8" s="254">
        <v>0.141177</v>
      </c>
      <c r="CI8" s="254">
        <v>0.12554599999999999</v>
      </c>
    </row>
    <row r="9" spans="1:87" ht="15" customHeight="1">
      <c r="A9" s="449">
        <v>2014</v>
      </c>
      <c r="B9" s="449"/>
      <c r="C9" s="449"/>
      <c r="D9" s="441"/>
      <c r="E9" s="641" t="s">
        <v>626</v>
      </c>
      <c r="F9" s="642" t="s">
        <v>577</v>
      </c>
      <c r="G9" s="640" t="s">
        <v>600</v>
      </c>
      <c r="H9" s="640" t="s">
        <v>613</v>
      </c>
      <c r="I9" s="441"/>
      <c r="J9" s="437" t="s">
        <v>143</v>
      </c>
      <c r="K9" s="446">
        <f>'First Draft'!C690</f>
        <v>8159.6833489015698</v>
      </c>
      <c r="L9" s="446">
        <f>'First Draft'!D690</f>
        <v>5861.4848856031904</v>
      </c>
      <c r="M9" s="446">
        <f>'First Draft'!E690</f>
        <v>6901.0213926136503</v>
      </c>
      <c r="N9" s="446">
        <f>'First Draft'!F690</f>
        <v>4597.9813678115597</v>
      </c>
      <c r="O9" s="446">
        <f>'First Draft'!G690</f>
        <v>3603.6183866858501</v>
      </c>
      <c r="P9" s="446">
        <f>'First Draft'!C694</f>
        <v>-2115.5907522961502</v>
      </c>
      <c r="Q9" s="446">
        <f>'First Draft'!D694</f>
        <v>-3649.8839700520002</v>
      </c>
      <c r="R9" s="446">
        <f>'First Draft'!E694</f>
        <v>-2151.53229542077</v>
      </c>
      <c r="S9" s="446">
        <f>'First Draft'!F694</f>
        <v>-27914.8061222285</v>
      </c>
      <c r="T9" s="446">
        <f>'First Draft'!G694</f>
        <v>-10546.5459520519</v>
      </c>
      <c r="U9" s="443">
        <f>'First Draft'!C693</f>
        <v>37774.665208682403</v>
      </c>
      <c r="V9" s="443">
        <f>'First Draft'!D693</f>
        <v>69127.029770985202</v>
      </c>
      <c r="W9" s="443">
        <f>'First Draft'!E693</f>
        <v>58624.289102554299</v>
      </c>
      <c r="X9" s="443">
        <f>'First Draft'!F693</f>
        <v>53483.447937935605</v>
      </c>
      <c r="Y9" s="443">
        <f>'First Draft'!G693</f>
        <v>47106.742971807769</v>
      </c>
      <c r="Z9" s="443">
        <f>'First Draft'!C688</f>
        <v>51543.361980535097</v>
      </c>
      <c r="AA9" s="443">
        <f>'First Draft'!D688</f>
        <v>68077.029776930794</v>
      </c>
      <c r="AB9" s="443">
        <f>'First Draft'!E688</f>
        <v>61168.102886393703</v>
      </c>
      <c r="AC9" s="443">
        <f>'First Draft'!F688</f>
        <v>59050.877533137798</v>
      </c>
      <c r="AD9" s="443">
        <f>'First Draft'!G688</f>
        <v>87932.071529835506</v>
      </c>
      <c r="AE9" s="61">
        <f t="shared" si="7"/>
        <v>-4.1044873112760567E-2</v>
      </c>
      <c r="AF9" s="61">
        <f t="shared" si="0"/>
        <v>-5.3614030782653699E-2</v>
      </c>
      <c r="AG9" s="61">
        <f t="shared" si="0"/>
        <v>-3.5174089008723514E-2</v>
      </c>
      <c r="AH9" s="61">
        <f t="shared" si="0"/>
        <v>-0.47272466199276114</v>
      </c>
      <c r="AI9" s="61">
        <f t="shared" si="0"/>
        <v>-0.11993969627422502</v>
      </c>
      <c r="AJ9" s="61">
        <f t="shared" si="8"/>
        <v>-0.16849651606067026</v>
      </c>
      <c r="AK9" s="61">
        <f t="shared" si="9"/>
        <v>-4.8866652524041312</v>
      </c>
      <c r="AL9" s="61">
        <f t="shared" si="10"/>
        <v>-0.53050616160281006</v>
      </c>
      <c r="AM9" s="61">
        <f t="shared" si="11"/>
        <v>-1.2034122235211422</v>
      </c>
      <c r="AN9" s="61">
        <f t="shared" si="12"/>
        <v>-0.21903674947633306</v>
      </c>
      <c r="AO9" s="434"/>
      <c r="AP9" s="434"/>
      <c r="AQ9" s="443">
        <f>'First Draft'!C698</f>
        <v>26161.388665549501</v>
      </c>
      <c r="AR9" s="443">
        <f>'First Draft'!D698</f>
        <v>-1049.9999940544399</v>
      </c>
      <c r="AS9" s="443">
        <f>'First Draft'!E698</f>
        <v>2543.81378383934</v>
      </c>
      <c r="AT9" s="443">
        <f>'First Draft'!F698</f>
        <v>5567.4295952022103</v>
      </c>
      <c r="AU9" s="443">
        <f>'First Draft'!G698</f>
        <v>40825.328558027701</v>
      </c>
      <c r="AV9" s="443">
        <f>'Shareholder funds'!F9</f>
        <v>55474</v>
      </c>
      <c r="AW9" s="534">
        <f>'First Draft'!C691</f>
        <v>15503.6541485414</v>
      </c>
      <c r="AX9" s="534">
        <f>'First Draft'!D691</f>
        <v>43256.960311904499</v>
      </c>
      <c r="AY9" s="534">
        <f>'First Draft'!E691</f>
        <v>41414.414394065701</v>
      </c>
      <c r="AZ9" s="534">
        <f>'First Draft'!F691</f>
        <v>43171.065231993802</v>
      </c>
      <c r="BA9" s="534">
        <f>'First Draft'!G691</f>
        <v>6685.6907257139701</v>
      </c>
      <c r="BB9" s="553">
        <f t="shared" si="1"/>
        <v>-1.5774803808211793</v>
      </c>
      <c r="BC9" s="553">
        <f t="shared" si="2"/>
        <v>-0.64660915759708926</v>
      </c>
      <c r="BD9" s="553">
        <f t="shared" si="3"/>
        <v>-5.1951291039601527E-2</v>
      </c>
      <c r="BE9" s="538">
        <f t="shared" si="4"/>
        <v>-0.92331372454844407</v>
      </c>
      <c r="BF9" s="538">
        <f t="shared" si="5"/>
        <v>-1.0463697500505891</v>
      </c>
      <c r="BG9" s="455">
        <f t="shared" si="6"/>
        <v>-7.1853076751725226E-2</v>
      </c>
    </row>
    <row r="10" spans="1:87" ht="15" customHeight="1">
      <c r="A10" s="449">
        <v>2013</v>
      </c>
      <c r="B10" s="449"/>
      <c r="C10" s="449"/>
      <c r="D10" s="441"/>
      <c r="E10" s="641" t="s">
        <v>631</v>
      </c>
      <c r="F10" s="642" t="s">
        <v>582</v>
      </c>
      <c r="G10" s="640" t="s">
        <v>606</v>
      </c>
      <c r="H10" s="640" t="s">
        <v>618</v>
      </c>
      <c r="I10" s="441"/>
      <c r="J10" s="437" t="s">
        <v>144</v>
      </c>
      <c r="K10" s="446">
        <f>'First Draft'!C720</f>
        <v>6616.5892896801197</v>
      </c>
      <c r="L10" s="446">
        <f>'First Draft'!D720</f>
        <v>4491.6003409177101</v>
      </c>
      <c r="M10" s="446">
        <f>'First Draft'!E720</f>
        <v>4346.5681665390703</v>
      </c>
      <c r="N10" s="446">
        <f>'First Draft'!F720</f>
        <v>2192.9276106655598</v>
      </c>
      <c r="O10" s="446">
        <f>'First Draft'!G720</f>
        <v>2396.40933215618</v>
      </c>
      <c r="P10" s="446">
        <f>'First Draft'!C724</f>
        <v>30736.194721549702</v>
      </c>
      <c r="Q10" s="446">
        <f>'First Draft'!D724</f>
        <v>36037.6835419536</v>
      </c>
      <c r="R10" s="446">
        <f>'First Draft'!E724</f>
        <v>886.40650084614799</v>
      </c>
      <c r="S10" s="446">
        <f>'First Draft'!F724</f>
        <v>-4540.6249566972301</v>
      </c>
      <c r="T10" s="446">
        <f>'First Draft'!G724</f>
        <v>5773.9676754176598</v>
      </c>
      <c r="U10" s="443">
        <f>'First Draft'!C723</f>
        <v>65907.308211490512</v>
      </c>
      <c r="V10" s="443">
        <f>'First Draft'!D723</f>
        <v>111633.02783574184</v>
      </c>
      <c r="W10" s="443">
        <f>'First Draft'!E723</f>
        <v>83742.937882095619</v>
      </c>
      <c r="X10" s="443">
        <f>'First Draft'!F723</f>
        <v>81281.907119572163</v>
      </c>
      <c r="Y10" s="443">
        <f>'First Draft'!G723</f>
        <v>132256.37323200659</v>
      </c>
      <c r="Z10" s="443">
        <f>'First Draft'!C718</f>
        <v>123602.89953212399</v>
      </c>
      <c r="AA10" s="443">
        <f>'First Draft'!D718</f>
        <v>163935.41017355002</v>
      </c>
      <c r="AB10" s="443">
        <f>'First Draft'!E718</f>
        <v>135881.02909630502</v>
      </c>
      <c r="AC10" s="443">
        <f>'First Draft'!F718</f>
        <v>164640.787903547</v>
      </c>
      <c r="AD10" s="443">
        <f>'First Draft'!G718</f>
        <v>228186.71420216598</v>
      </c>
      <c r="AE10" s="61">
        <f t="shared" si="7"/>
        <v>0.24866888105291951</v>
      </c>
      <c r="AF10" s="61">
        <f t="shared" si="0"/>
        <v>0.21982855018206471</v>
      </c>
      <c r="AG10" s="61">
        <f t="shared" si="0"/>
        <v>6.5234014397838542E-3</v>
      </c>
      <c r="AH10" s="61">
        <f t="shared" si="0"/>
        <v>-2.7578979756567402E-2</v>
      </c>
      <c r="AI10" s="61">
        <f t="shared" si="0"/>
        <v>2.5303697875688383E-2</v>
      </c>
      <c r="AJ10" s="61">
        <f t="shared" si="8"/>
        <v>0.55885077544849748</v>
      </c>
      <c r="AK10" s="61">
        <f t="shared" si="9"/>
        <v>0.69010939996389986</v>
      </c>
      <c r="AL10" s="61">
        <f t="shared" si="10"/>
        <v>1.3083770172944171E-2</v>
      </c>
      <c r="AM10" s="61">
        <f t="shared" si="11"/>
        <v>-5.0651399033054718E-2</v>
      </c>
      <c r="AN10" s="61">
        <f t="shared" si="12"/>
        <v>6.6651279028203017E-2</v>
      </c>
      <c r="AO10" s="434"/>
      <c r="AP10" s="434"/>
      <c r="AQ10" s="443">
        <f>'First Draft'!C728</f>
        <v>57695.591320633903</v>
      </c>
      <c r="AR10" s="443">
        <f>'First Draft'!D728</f>
        <v>52302.268830433502</v>
      </c>
      <c r="AS10" s="443">
        <f>'First Draft'!E728</f>
        <v>52138.225803718</v>
      </c>
      <c r="AT10" s="443">
        <f>'First Draft'!F728</f>
        <v>83358.880783975095</v>
      </c>
      <c r="AU10" s="443">
        <f>'First Draft'!G728</f>
        <v>95930.340970158606</v>
      </c>
      <c r="AV10" s="443">
        <f>'Shareholder funds'!F10</f>
        <v>77328.679999999993</v>
      </c>
      <c r="AW10" s="534">
        <f>'First Draft'!C721</f>
        <v>538.28305959701504</v>
      </c>
      <c r="AX10" s="534">
        <f>'First Draft'!D721</f>
        <v>1053.2349337488399</v>
      </c>
      <c r="AY10" s="534">
        <f>'First Draft'!E721</f>
        <v>3230.0136067122198</v>
      </c>
      <c r="AZ10" s="534">
        <f>'First Draft'!F721</f>
        <v>3207.23681151867</v>
      </c>
      <c r="BA10" s="534">
        <f>'First Draft'!G721</f>
        <v>131.238778978586</v>
      </c>
      <c r="BB10" s="553">
        <f t="shared" si="1"/>
        <v>43.995896032831787</v>
      </c>
      <c r="BC10" s="553">
        <f t="shared" si="2"/>
        <v>-1.4157435897435908</v>
      </c>
      <c r="BD10" s="553">
        <f t="shared" si="3"/>
        <v>0.27442810117088245</v>
      </c>
      <c r="BE10" s="538">
        <f t="shared" si="4"/>
        <v>25.734839174870988</v>
      </c>
      <c r="BF10" s="538">
        <f t="shared" si="5"/>
        <v>-0.34953423449898963</v>
      </c>
      <c r="BG10" s="455">
        <f t="shared" si="6"/>
        <v>0.17414908256019093</v>
      </c>
    </row>
    <row r="11" spans="1:87" ht="15" customHeight="1">
      <c r="A11" s="449">
        <v>2012</v>
      </c>
      <c r="B11" s="449"/>
      <c r="C11" s="449"/>
      <c r="D11" s="441"/>
      <c r="E11" s="641" t="s">
        <v>632</v>
      </c>
      <c r="F11" s="642" t="s">
        <v>583</v>
      </c>
      <c r="G11" s="640" t="s">
        <v>605</v>
      </c>
      <c r="H11" s="640" t="s">
        <v>617</v>
      </c>
      <c r="I11" s="441"/>
      <c r="J11" s="438" t="s">
        <v>145</v>
      </c>
      <c r="K11" s="447">
        <f>'First Draft'!C737</f>
        <v>4229.0000070086298</v>
      </c>
      <c r="L11" s="447">
        <f>'First Draft'!D737</f>
        <v>1973.99995571421</v>
      </c>
      <c r="M11" s="447">
        <f>'First Draft'!E737</f>
        <v>1651.9999842453001</v>
      </c>
      <c r="N11" s="447">
        <f>'First Draft'!F737</f>
        <v>848.99999873489094</v>
      </c>
      <c r="O11" s="447">
        <f>'First Draft'!G737</f>
        <v>116.999998552948</v>
      </c>
      <c r="P11" s="447">
        <f>'First Draft'!C741</f>
        <v>5585.9999728353496</v>
      </c>
      <c r="Q11" s="447">
        <f>'First Draft'!D741</f>
        <v>-893.000040851682</v>
      </c>
      <c r="R11" s="447">
        <f>'First Draft'!E741</f>
        <v>-1516.9999855327599</v>
      </c>
      <c r="S11" s="447">
        <f>'First Draft'!F741</f>
        <v>2904.9999956712099</v>
      </c>
      <c r="T11" s="447">
        <f>'First Draft'!G741</f>
        <v>-2674.9999669157</v>
      </c>
      <c r="U11" s="443">
        <f>'First Draft'!C740</f>
        <v>24178.999958638051</v>
      </c>
      <c r="V11" s="443">
        <f>'First Draft'!D740</f>
        <v>25047.000069098161</v>
      </c>
      <c r="W11" s="443">
        <f>'First Draft'!E740</f>
        <v>27346.999903672317</v>
      </c>
      <c r="X11" s="443">
        <f>'First Draft'!F740</f>
        <v>28709.999957218773</v>
      </c>
      <c r="Y11" s="443">
        <f>'First Draft'!G740</f>
        <v>30723.999953896531</v>
      </c>
      <c r="Z11" s="443">
        <f>'First Draft'!C735</f>
        <v>81697.999985735107</v>
      </c>
      <c r="AA11" s="443">
        <f>'First Draft'!D735</f>
        <v>191983.00003424502</v>
      </c>
      <c r="AB11" s="443">
        <f>'First Draft'!E735</f>
        <v>195189.999947734</v>
      </c>
      <c r="AC11" s="443">
        <f>'First Draft'!F735</f>
        <v>60915.000088762798</v>
      </c>
      <c r="AD11" s="443">
        <f>'First Draft'!G735</f>
        <v>59996.999925738899</v>
      </c>
      <c r="AE11" s="61">
        <f t="shared" si="7"/>
        <v>6.8373766479114473E-2</v>
      </c>
      <c r="AF11" s="61">
        <f t="shared" si="0"/>
        <v>-4.6514537260715421E-3</v>
      </c>
      <c r="AG11" s="61">
        <f t="shared" si="0"/>
        <v>-7.7719144727648277E-3</v>
      </c>
      <c r="AH11" s="61">
        <f t="shared" si="0"/>
        <v>4.7689403126293446E-2</v>
      </c>
      <c r="AI11" s="61">
        <f t="shared" si="0"/>
        <v>-4.4585562115216977E-2</v>
      </c>
      <c r="AJ11" s="61">
        <f t="shared" si="8"/>
        <v>4.97736747783886E-2</v>
      </c>
      <c r="AK11" s="61">
        <f t="shared" si="9"/>
        <v>-5.3348948155164154E-3</v>
      </c>
      <c r="AL11" s="61">
        <f t="shared" si="10"/>
        <v>-1.5166511557965711E-2</v>
      </c>
      <c r="AM11" s="61">
        <f t="shared" si="11"/>
        <v>9.450535148408698E-2</v>
      </c>
      <c r="AN11" s="61">
        <f t="shared" si="12"/>
        <v>-9.538071948293117E-2</v>
      </c>
      <c r="AO11" s="434"/>
      <c r="AP11" s="434"/>
      <c r="AQ11" s="443">
        <f>'First Draft'!C745</f>
        <v>57520.000027071903</v>
      </c>
      <c r="AR11" s="443">
        <f>'First Draft'!D745</f>
        <v>166935.999965147</v>
      </c>
      <c r="AS11" s="443">
        <f>'First Draft'!E745</f>
        <v>167841.00004407999</v>
      </c>
      <c r="AT11" s="443">
        <f>'First Draft'!F745</f>
        <v>32204.999952010799</v>
      </c>
      <c r="AU11" s="443">
        <f>'First Draft'!G745</f>
        <v>29272.999971842401</v>
      </c>
      <c r="AV11" s="443">
        <f>'Shareholder funds'!F11</f>
        <v>26818</v>
      </c>
      <c r="AW11" s="534">
        <f>'First Draft'!C738</f>
        <v>19666.999958756202</v>
      </c>
      <c r="AX11" s="534">
        <f>'First Draft'!D738</f>
        <v>21633.0000475089</v>
      </c>
      <c r="AY11" s="534">
        <f>'First Draft'!E738</f>
        <v>23599.999939406498</v>
      </c>
      <c r="AZ11" s="534">
        <f>'First Draft'!F738</f>
        <v>25566.999961902202</v>
      </c>
      <c r="BA11" s="534">
        <f>'First Draft'!G738</f>
        <v>27532.9999933627</v>
      </c>
      <c r="BB11" s="553">
        <f t="shared" si="1"/>
        <v>-9.7156138726639099E-2</v>
      </c>
      <c r="BC11" s="553">
        <f t="shared" si="2"/>
        <v>0.11362302968670542</v>
      </c>
      <c r="BD11" s="553">
        <f t="shared" si="3"/>
        <v>-6.4279660568969901E-2</v>
      </c>
      <c r="BE11" s="538">
        <f t="shared" si="4"/>
        <v>-2.5467947118406581E-2</v>
      </c>
      <c r="BF11" s="538">
        <f t="shared" si="5"/>
        <v>5.0731460145639118E-2</v>
      </c>
      <c r="BG11" s="455">
        <f t="shared" si="6"/>
        <v>-2.2047555892824894E-2</v>
      </c>
    </row>
    <row r="12" spans="1:87" ht="15" customHeight="1">
      <c r="A12" s="449">
        <v>2015</v>
      </c>
      <c r="B12" s="449"/>
      <c r="C12" s="449"/>
      <c r="D12" s="441"/>
      <c r="E12" s="641" t="s">
        <v>633</v>
      </c>
      <c r="F12" s="642" t="s">
        <v>584</v>
      </c>
      <c r="G12" s="640" t="s">
        <v>599</v>
      </c>
      <c r="H12" s="640" t="s">
        <v>612</v>
      </c>
      <c r="I12" s="441"/>
      <c r="J12" s="438" t="s">
        <v>146</v>
      </c>
      <c r="K12" s="447">
        <f>'First Draft'!C771</f>
        <v>322226</v>
      </c>
      <c r="L12" s="447">
        <f>'First Draft'!D771</f>
        <v>415309</v>
      </c>
      <c r="M12" s="447">
        <f>'First Draft'!E771</f>
        <v>487435</v>
      </c>
      <c r="N12" s="447">
        <f>'First Draft'!F771</f>
        <v>422449</v>
      </c>
      <c r="O12" s="447">
        <f>'First Draft'!G771</f>
        <v>491312</v>
      </c>
      <c r="P12" s="447">
        <f>'First Draft'!C775</f>
        <v>-94051</v>
      </c>
      <c r="Q12" s="447">
        <f>'First Draft'!D775</f>
        <v>-204044</v>
      </c>
      <c r="R12" s="447">
        <f>'First Draft'!E775</f>
        <v>-155905</v>
      </c>
      <c r="S12" s="447">
        <f>'First Draft'!F775</f>
        <v>-144106</v>
      </c>
      <c r="T12" s="447">
        <f>'First Draft'!G775</f>
        <v>117702</v>
      </c>
      <c r="U12" s="443">
        <f>'First Draft'!C774</f>
        <v>1280183</v>
      </c>
      <c r="V12" s="443">
        <f>'First Draft'!D774</f>
        <v>1571464</v>
      </c>
      <c r="W12" s="443">
        <f>'First Draft'!E774</f>
        <v>1765405</v>
      </c>
      <c r="X12" s="443">
        <f>'First Draft'!F774</f>
        <v>1369614</v>
      </c>
      <c r="Y12" s="443">
        <f>'First Draft'!G774</f>
        <v>1436935</v>
      </c>
      <c r="Z12" s="443">
        <f>'First Draft'!C769</f>
        <v>1746273</v>
      </c>
      <c r="AA12" s="443">
        <f>'First Draft'!D769</f>
        <v>2045075</v>
      </c>
      <c r="AB12" s="443">
        <f>'First Draft'!E769</f>
        <v>2413390</v>
      </c>
      <c r="AC12" s="443">
        <f>'First Draft'!F769</f>
        <v>2035122</v>
      </c>
      <c r="AD12" s="443">
        <f>'First Draft'!G769</f>
        <v>2260584</v>
      </c>
      <c r="AE12" s="61">
        <f t="shared" si="7"/>
        <v>-5.3858131002426313E-2</v>
      </c>
      <c r="AF12" s="61">
        <f t="shared" si="0"/>
        <v>-9.9773357945307631E-2</v>
      </c>
      <c r="AG12" s="61">
        <f t="shared" si="0"/>
        <v>-6.4600002486129474E-2</v>
      </c>
      <c r="AH12" s="61">
        <f t="shared" si="0"/>
        <v>-7.0809514122494865E-2</v>
      </c>
      <c r="AI12" s="61">
        <f t="shared" si="0"/>
        <v>5.2067076472274418E-2</v>
      </c>
      <c r="AJ12" s="61">
        <f t="shared" si="8"/>
        <v>-0.20017218242824047</v>
      </c>
      <c r="AK12" s="61">
        <f t="shared" si="9"/>
        <v>-0.36384580544153156</v>
      </c>
      <c r="AL12" s="61">
        <f t="shared" si="10"/>
        <v>-0.23738992137757872</v>
      </c>
      <c r="AM12" s="61">
        <f t="shared" si="11"/>
        <v>-0.19354037217029502</v>
      </c>
      <c r="AN12" s="61">
        <f t="shared" si="12"/>
        <v>0.14553237422080609</v>
      </c>
      <c r="AO12" s="434"/>
      <c r="AP12" s="434"/>
      <c r="AQ12" s="443">
        <f>'First Draft'!C779</f>
        <v>466090</v>
      </c>
      <c r="AR12" s="443">
        <f>'First Draft'!D779</f>
        <v>473611</v>
      </c>
      <c r="AS12" s="443">
        <f>'First Draft'!E779</f>
        <v>647985</v>
      </c>
      <c r="AT12" s="443">
        <f>'First Draft'!F779</f>
        <v>665508</v>
      </c>
      <c r="AU12" s="443">
        <f>'First Draft'!G779</f>
        <v>823649</v>
      </c>
      <c r="AV12" s="443">
        <f>'Shareholder funds'!F12</f>
        <v>793888</v>
      </c>
      <c r="AW12" s="534">
        <f>'First Draft'!C772</f>
        <v>1099360</v>
      </c>
      <c r="AX12" s="534">
        <f>'First Draft'!D772</f>
        <v>1346648</v>
      </c>
      <c r="AY12" s="534">
        <f>'First Draft'!E772</f>
        <v>1420695</v>
      </c>
      <c r="AZ12" s="534">
        <f>'First Draft'!F772</f>
        <v>1139166</v>
      </c>
      <c r="BA12" s="534">
        <f>'First Draft'!G772</f>
        <v>1154742</v>
      </c>
      <c r="BB12" s="553">
        <f t="shared" si="1"/>
        <v>0.10192926212088935</v>
      </c>
      <c r="BC12" s="553">
        <f t="shared" si="2"/>
        <v>-0.12650131763061748</v>
      </c>
      <c r="BD12" s="553">
        <f t="shared" si="3"/>
        <v>-0.10973854345936319</v>
      </c>
      <c r="BE12" s="538">
        <f t="shared" si="4"/>
        <v>-8.1420967410004291E-3</v>
      </c>
      <c r="BF12" s="538">
        <f t="shared" si="5"/>
        <v>-0.20411565986369529</v>
      </c>
      <c r="BG12" s="455">
        <f t="shared" si="6"/>
        <v>-0.14401239812866029</v>
      </c>
    </row>
    <row r="13" spans="1:87" ht="15" customHeight="1">
      <c r="A13" s="449">
        <v>2016</v>
      </c>
      <c r="B13" s="449"/>
      <c r="C13" s="449"/>
      <c r="D13" s="441"/>
      <c r="E13" s="641" t="s">
        <v>632</v>
      </c>
      <c r="F13" s="642" t="s">
        <v>583</v>
      </c>
      <c r="G13" s="640" t="s">
        <v>605</v>
      </c>
      <c r="H13" s="640" t="s">
        <v>617</v>
      </c>
      <c r="I13" s="441"/>
      <c r="J13" s="438" t="s">
        <v>147</v>
      </c>
      <c r="K13" s="447">
        <f>'First Draft'!C787</f>
        <v>9133.5989840403199</v>
      </c>
      <c r="L13" s="447">
        <f>'First Draft'!D787</f>
        <v>22.999999969154601</v>
      </c>
      <c r="M13" s="447">
        <f>'First Draft'!E787</f>
        <v>40.000000175833705</v>
      </c>
      <c r="N13" s="447">
        <f>'First Draft'!F787</f>
        <v>86.99999950736759</v>
      </c>
      <c r="O13" s="447">
        <f>'First Draft'!G787</f>
        <v>49.9999987408519</v>
      </c>
      <c r="P13" s="447">
        <f>'First Draft'!C791</f>
        <v>7699.5443307906398</v>
      </c>
      <c r="Q13" s="447">
        <f>'First Draft'!D791</f>
        <v>-1086.9999985422201</v>
      </c>
      <c r="R13" s="447">
        <f>'First Draft'!E791</f>
        <v>7568.00003326774</v>
      </c>
      <c r="S13" s="447">
        <f>'First Draft'!F791</f>
        <v>-53962.000042471198</v>
      </c>
      <c r="T13" s="447">
        <f>'First Draft'!G791</f>
        <v>-1646.9999585236599</v>
      </c>
      <c r="U13" s="443">
        <f>'First Draft'!C790</f>
        <v>2324.82913050056</v>
      </c>
      <c r="V13" s="443">
        <f>'First Draft'!D790</f>
        <v>27053.999963717801</v>
      </c>
      <c r="W13" s="443">
        <f>'First Draft'!E790</f>
        <v>25903.999992067198</v>
      </c>
      <c r="X13" s="443">
        <f>'First Draft'!F790</f>
        <v>26230.999967477808</v>
      </c>
      <c r="Y13" s="443">
        <f>'First Draft'!G790</f>
        <v>40371.000004905</v>
      </c>
      <c r="Z13" s="443">
        <f>'First Draft'!C785</f>
        <v>24009.7947131246</v>
      </c>
      <c r="AA13" s="443">
        <f>'First Draft'!D785</f>
        <v>149846.00002919001</v>
      </c>
      <c r="AB13" s="443">
        <f>'First Draft'!E785</f>
        <v>149781.0000494</v>
      </c>
      <c r="AC13" s="443">
        <f>'First Draft'!F785</f>
        <v>142540.00000494099</v>
      </c>
      <c r="AD13" s="443">
        <f>'First Draft'!G785</f>
        <v>214708.00004137002</v>
      </c>
      <c r="AE13" s="61">
        <f t="shared" si="7"/>
        <v>0.32068347200743857</v>
      </c>
      <c r="AF13" s="61">
        <f t="shared" si="0"/>
        <v>-7.2541142127949525E-3</v>
      </c>
      <c r="AG13" s="61">
        <f t="shared" si="0"/>
        <v>5.0527103109017174E-2</v>
      </c>
      <c r="AH13" s="61">
        <f t="shared" si="0"/>
        <v>-0.37857443553108366</v>
      </c>
      <c r="AI13" s="61">
        <f t="shared" si="0"/>
        <v>-7.6708830514294543E-3</v>
      </c>
      <c r="AJ13" s="61">
        <f t="shared" si="8"/>
        <v>0.10658581588133763</v>
      </c>
      <c r="AK13" s="61">
        <f t="shared" si="9"/>
        <v>-8.8134301311322428E-3</v>
      </c>
      <c r="AL13" s="61">
        <f t="shared" si="10"/>
        <v>6.3017565732372757E-2</v>
      </c>
      <c r="AM13" s="61">
        <f t="shared" si="11"/>
        <v>-0.37132456685277321</v>
      </c>
      <c r="AN13" s="61">
        <f t="shared" si="12"/>
        <v>-9.0164066764071675E-3</v>
      </c>
      <c r="AO13" s="434"/>
      <c r="AP13" s="434"/>
      <c r="AQ13" s="443">
        <f>'First Draft'!C795</f>
        <v>21684.9655826241</v>
      </c>
      <c r="AR13" s="443">
        <f>'First Draft'!D795</f>
        <v>122790.999950399</v>
      </c>
      <c r="AS13" s="443">
        <f>'First Draft'!E795</f>
        <v>123878.00005733701</v>
      </c>
      <c r="AT13" s="443">
        <f>'First Draft'!F795</f>
        <v>116309.00003746299</v>
      </c>
      <c r="AU13" s="443">
        <f>'First Draft'!G795</f>
        <v>174337.00003646497</v>
      </c>
      <c r="AV13" s="443">
        <f>'Shareholder funds'!F13</f>
        <v>190997</v>
      </c>
      <c r="AW13" s="534">
        <f>'First Draft'!C788</f>
        <v>0</v>
      </c>
      <c r="AX13" s="534">
        <f>'First Draft'!D788</f>
        <v>0</v>
      </c>
      <c r="AY13" s="534">
        <f>'First Draft'!E788</f>
        <v>0</v>
      </c>
      <c r="AZ13" s="534">
        <f>'First Draft'!F788</f>
        <v>19737.000004249698</v>
      </c>
      <c r="BA13" s="534">
        <f>'First Draft'!G788</f>
        <v>22127.000010313499</v>
      </c>
      <c r="BB13" s="553">
        <f t="shared" si="1"/>
        <v>-7.4433947564332512E-2</v>
      </c>
      <c r="BC13" s="553">
        <f t="shared" si="2"/>
        <v>-2.7340527958074836</v>
      </c>
      <c r="BD13" s="553" t="e">
        <f t="shared" si="3"/>
        <v>#DIV/0!</v>
      </c>
      <c r="BE13" s="538">
        <f t="shared" si="4"/>
        <v>7.2549129453514924E-2</v>
      </c>
      <c r="BF13" s="538">
        <f t="shared" si="5"/>
        <v>-0.51032706637322389</v>
      </c>
      <c r="BG13" s="455" t="e">
        <f t="shared" si="6"/>
        <v>#DIV/0!</v>
      </c>
    </row>
    <row r="14" spans="1:87" ht="15" customHeight="1">
      <c r="A14" s="449">
        <v>2017</v>
      </c>
      <c r="B14" s="449"/>
      <c r="C14" s="449"/>
      <c r="D14" s="441"/>
      <c r="E14" s="641" t="s">
        <v>576</v>
      </c>
      <c r="F14" s="642" t="s">
        <v>576</v>
      </c>
      <c r="G14" s="640" t="s">
        <v>599</v>
      </c>
      <c r="H14" s="640" t="s">
        <v>612</v>
      </c>
      <c r="I14" s="441"/>
      <c r="J14" s="438" t="s">
        <v>150</v>
      </c>
      <c r="K14" s="447">
        <f>'First Draft'!C815</f>
        <v>1059000</v>
      </c>
      <c r="L14" s="447">
        <f>'First Draft'!D815</f>
        <v>1417000</v>
      </c>
      <c r="M14" s="447">
        <f>'First Draft'!E815</f>
        <v>562000</v>
      </c>
      <c r="N14" s="447">
        <f>'First Draft'!F815</f>
        <v>2115000</v>
      </c>
      <c r="O14" s="447">
        <f>'First Draft'!G815</f>
        <v>3237000</v>
      </c>
      <c r="P14" s="447">
        <f>'First Draft'!C819</f>
        <v>-4663000</v>
      </c>
      <c r="Q14" s="447">
        <f>'First Draft'!D819</f>
        <v>-1222000</v>
      </c>
      <c r="R14" s="447">
        <f>'First Draft'!E819</f>
        <v>-605000</v>
      </c>
      <c r="S14" s="447">
        <f>'First Draft'!F819</f>
        <v>-3102000</v>
      </c>
      <c r="T14" s="447">
        <f>'First Draft'!G819</f>
        <v>-155000</v>
      </c>
      <c r="U14" s="443">
        <f>'First Draft'!C818</f>
        <v>7101000</v>
      </c>
      <c r="V14" s="443">
        <f>'First Draft'!D818</f>
        <v>7486000</v>
      </c>
      <c r="W14" s="443">
        <f>'First Draft'!E818</f>
        <v>7813000</v>
      </c>
      <c r="X14" s="443">
        <f>'First Draft'!F818</f>
        <v>11023000</v>
      </c>
      <c r="Y14" s="443">
        <f>'First Draft'!G818</f>
        <v>11603000</v>
      </c>
      <c r="Z14" s="443">
        <f>'First Draft'!C813</f>
        <v>3961000</v>
      </c>
      <c r="AA14" s="443">
        <f>'First Draft'!D813</f>
        <v>9279000</v>
      </c>
      <c r="AB14" s="443">
        <f>'First Draft'!E813</f>
        <v>10848000</v>
      </c>
      <c r="AC14" s="443">
        <f>'First Draft'!F813</f>
        <v>17982000</v>
      </c>
      <c r="AD14" s="443">
        <f>'First Draft'!G813</f>
        <v>21666000</v>
      </c>
      <c r="AE14" s="61">
        <f t="shared" si="7"/>
        <v>-1.1772279727341581</v>
      </c>
      <c r="AF14" s="61">
        <f t="shared" si="0"/>
        <v>-0.13169522577863993</v>
      </c>
      <c r="AG14" s="61">
        <f t="shared" si="0"/>
        <v>-5.5770648967551621E-2</v>
      </c>
      <c r="AH14" s="61">
        <f t="shared" si="0"/>
        <v>-0.17250583917250584</v>
      </c>
      <c r="AI14" s="61">
        <f t="shared" si="0"/>
        <v>-7.1540662789624293E-3</v>
      </c>
      <c r="AJ14" s="61">
        <f t="shared" si="8"/>
        <v>6.9235337787676317</v>
      </c>
      <c r="AK14" s="61">
        <f t="shared" si="9"/>
        <v>-0.50621375310687655</v>
      </c>
      <c r="AL14" s="61">
        <f t="shared" si="10"/>
        <v>-0.12107264358615169</v>
      </c>
      <c r="AM14" s="61">
        <f t="shared" si="11"/>
        <v>-0.36446951004582306</v>
      </c>
      <c r="AN14" s="61">
        <f t="shared" si="12"/>
        <v>-1.5399135661417714E-2</v>
      </c>
      <c r="AO14" s="434"/>
      <c r="AP14" s="434"/>
      <c r="AQ14" s="443">
        <f>'First Draft'!C823</f>
        <v>-3140000</v>
      </c>
      <c r="AR14" s="443">
        <f>'First Draft'!D823</f>
        <v>1793000</v>
      </c>
      <c r="AS14" s="443">
        <f>'First Draft'!E823</f>
        <v>3035000</v>
      </c>
      <c r="AT14" s="443">
        <f>'First Draft'!F823</f>
        <v>6959000</v>
      </c>
      <c r="AU14" s="443">
        <f>'First Draft'!G823</f>
        <v>10063000</v>
      </c>
      <c r="AV14" s="443">
        <f>'Shareholder funds'!F14</f>
        <v>10068000</v>
      </c>
      <c r="AW14" s="534">
        <f>'First Draft'!C816</f>
        <v>556000</v>
      </c>
      <c r="AX14" s="534">
        <f>'First Draft'!D816</f>
        <v>6716000</v>
      </c>
      <c r="AY14" s="534">
        <f>'First Draft'!E816</f>
        <v>7349000</v>
      </c>
      <c r="AZ14" s="534">
        <f>'First Draft'!F816</f>
        <v>10164000</v>
      </c>
      <c r="BA14" s="534">
        <f>'First Draft'!G816</f>
        <v>6880000</v>
      </c>
      <c r="BB14" s="553">
        <f t="shared" si="1"/>
        <v>-2.2529069767441859E-2</v>
      </c>
      <c r="BC14" s="553">
        <f t="shared" si="2"/>
        <v>-0.30519480519480519</v>
      </c>
      <c r="BD14" s="553">
        <f t="shared" si="3"/>
        <v>-8.2324125731392028E-2</v>
      </c>
      <c r="BE14" s="538">
        <f t="shared" si="4"/>
        <v>3.2036423714219078</v>
      </c>
      <c r="BF14" s="538">
        <f t="shared" si="5"/>
        <v>-0.38298875795423715</v>
      </c>
      <c r="BG14" s="455">
        <f t="shared" si="6"/>
        <v>-9.3164995171767725E-2</v>
      </c>
    </row>
    <row r="15" spans="1:87" ht="15" customHeight="1">
      <c r="A15" s="643">
        <v>2014</v>
      </c>
      <c r="B15" s="449"/>
      <c r="C15" s="449"/>
      <c r="D15" s="441"/>
      <c r="E15" s="641" t="s">
        <v>623</v>
      </c>
      <c r="F15" s="642" t="s">
        <v>585</v>
      </c>
      <c r="G15" s="640" t="s">
        <v>604</v>
      </c>
      <c r="H15" s="640" t="s">
        <v>616</v>
      </c>
      <c r="I15" s="441"/>
      <c r="J15" s="438" t="s">
        <v>157</v>
      </c>
      <c r="K15" s="447">
        <f>'First Draft'!C829</f>
        <v>1534275</v>
      </c>
      <c r="L15" s="447">
        <f>'First Draft'!D829</f>
        <v>1420951</v>
      </c>
      <c r="M15" s="447">
        <f>'First Draft'!E829</f>
        <v>1460953</v>
      </c>
      <c r="N15" s="447">
        <f>'First Draft'!F829</f>
        <v>1730969</v>
      </c>
      <c r="O15" s="447">
        <f>'First Draft'!G829</f>
        <v>2085937</v>
      </c>
      <c r="P15" s="447">
        <f>'First Draft'!C833</f>
        <v>-31937</v>
      </c>
      <c r="Q15" s="447">
        <f>'First Draft'!D833</f>
        <v>34814</v>
      </c>
      <c r="R15" s="447">
        <f>'First Draft'!E833</f>
        <v>-160125</v>
      </c>
      <c r="S15" s="447">
        <f>'First Draft'!F833</f>
        <v>-117241</v>
      </c>
      <c r="T15" s="447">
        <f>'First Draft'!G833</f>
        <v>-12763</v>
      </c>
      <c r="U15" s="443">
        <f>'First Draft'!C832</f>
        <v>991949</v>
      </c>
      <c r="V15" s="443">
        <f>'First Draft'!D832</f>
        <v>1191056</v>
      </c>
      <c r="W15" s="443">
        <f>'First Draft'!E832</f>
        <v>1013837</v>
      </c>
      <c r="X15" s="443">
        <f>'First Draft'!F832</f>
        <v>864778</v>
      </c>
      <c r="Y15" s="443">
        <f>'First Draft'!G832</f>
        <v>1093701</v>
      </c>
      <c r="Z15" s="443">
        <f>'First Draft'!C827</f>
        <v>1386492</v>
      </c>
      <c r="AA15" s="443">
        <f>'First Draft'!D827</f>
        <v>1213538</v>
      </c>
      <c r="AB15" s="443">
        <f>'First Draft'!E827</f>
        <v>1257378</v>
      </c>
      <c r="AC15" s="443">
        <f>'First Draft'!F827</f>
        <v>1440471</v>
      </c>
      <c r="AD15" s="443">
        <f>'First Draft'!G827</f>
        <v>1973026</v>
      </c>
      <c r="AE15" s="61">
        <f t="shared" si="7"/>
        <v>-2.3034391832048074E-2</v>
      </c>
      <c r="AF15" s="61">
        <f t="shared" si="0"/>
        <v>2.8688018010148839E-2</v>
      </c>
      <c r="AG15" s="61">
        <f t="shared" si="0"/>
        <v>-0.12734833916292476</v>
      </c>
      <c r="AH15" s="61">
        <f t="shared" si="0"/>
        <v>-8.1390739556714442E-2</v>
      </c>
      <c r="AI15" s="61">
        <f t="shared" si="0"/>
        <v>-6.4687439496489149E-3</v>
      </c>
      <c r="AJ15" s="61">
        <f t="shared" si="8"/>
        <v>-0.15316551006412071</v>
      </c>
      <c r="AK15" s="61">
        <f t="shared" si="9"/>
        <v>0.2617357832376026</v>
      </c>
      <c r="AL15" s="61">
        <f t="shared" si="10"/>
        <v>-0.39091395132526235</v>
      </c>
      <c r="AM15" s="61">
        <f t="shared" si="11"/>
        <v>-0.16115390933039361</v>
      </c>
      <c r="AN15" s="61">
        <f t="shared" si="12"/>
        <v>-1.3738051323671955E-2</v>
      </c>
      <c r="AO15" s="434"/>
      <c r="AP15" s="434"/>
      <c r="AQ15" s="443">
        <f>'First Draft'!C837</f>
        <v>394543</v>
      </c>
      <c r="AR15" s="443">
        <f>'First Draft'!D837</f>
        <v>22483</v>
      </c>
      <c r="AS15" s="443">
        <f>'First Draft'!E837</f>
        <v>243541</v>
      </c>
      <c r="AT15" s="443">
        <f>'First Draft'!F837</f>
        <v>575693</v>
      </c>
      <c r="AU15" s="443">
        <f>'First Draft'!G837</f>
        <v>879326</v>
      </c>
      <c r="AV15" s="443">
        <f>'Shareholder funds'!F15</f>
        <v>978725</v>
      </c>
      <c r="AW15" s="534">
        <f>'First Draft'!C830</f>
        <v>598015</v>
      </c>
      <c r="AX15" s="534">
        <f>'First Draft'!D830</f>
        <v>839594</v>
      </c>
      <c r="AY15" s="534">
        <f>'First Draft'!E830</f>
        <v>612645</v>
      </c>
      <c r="AZ15" s="534">
        <f>'First Draft'!F830</f>
        <v>475868</v>
      </c>
      <c r="BA15" s="534">
        <f>'First Draft'!G830</f>
        <v>628405</v>
      </c>
      <c r="BB15" s="553">
        <f t="shared" si="1"/>
        <v>-2.0310150301159284E-2</v>
      </c>
      <c r="BC15" s="553">
        <f t="shared" si="2"/>
        <v>-0.24637294375751259</v>
      </c>
      <c r="BD15" s="553">
        <f t="shared" si="3"/>
        <v>-0.26136669686359965</v>
      </c>
      <c r="BE15" s="538">
        <f t="shared" si="4"/>
        <v>-7.9520273669428349E-2</v>
      </c>
      <c r="BF15" s="538">
        <f t="shared" si="5"/>
        <v>-4.3304199319062361E-2</v>
      </c>
      <c r="BG15" s="455">
        <f t="shared" si="6"/>
        <v>-0.28645864844764818</v>
      </c>
    </row>
    <row r="16" spans="1:87" ht="15" customHeight="1">
      <c r="A16" s="449">
        <v>2018</v>
      </c>
      <c r="B16" s="449"/>
      <c r="C16" s="449"/>
      <c r="D16" s="441"/>
      <c r="E16" s="641" t="s">
        <v>624</v>
      </c>
      <c r="F16" s="641" t="s">
        <v>587</v>
      </c>
      <c r="G16" s="640" t="s">
        <v>601</v>
      </c>
      <c r="H16" s="640" t="s">
        <v>614</v>
      </c>
      <c r="I16" s="441"/>
      <c r="J16" s="438" t="s">
        <v>202</v>
      </c>
      <c r="K16" s="447">
        <f>'First Draft'!C857*BP8</f>
        <v>502509.15997199999</v>
      </c>
      <c r="L16" s="447">
        <f>'First Draft'!D857*BQ8</f>
        <v>371272.039215</v>
      </c>
      <c r="M16" s="447">
        <f>'First Draft'!E857*BR8</f>
        <v>360319.15120600001</v>
      </c>
      <c r="N16" s="447">
        <f>'First Draft'!F857*BS8</f>
        <v>389257.85524800001</v>
      </c>
      <c r="O16" s="447">
        <f>'First Draft'!G857*BT8</f>
        <v>372745.14369400003</v>
      </c>
      <c r="P16" s="447">
        <f>'First Draft'!C861*BP8</f>
        <v>31666.376763</v>
      </c>
      <c r="Q16" s="447">
        <f>'First Draft'!D861*BQ8</f>
        <v>14868.331319999999</v>
      </c>
      <c r="R16" s="447">
        <f>'First Draft'!E861*BR8</f>
        <v>17171.920926999999</v>
      </c>
      <c r="S16" s="447">
        <f>'First Draft'!F861*BS8</f>
        <v>40948.148867999997</v>
      </c>
      <c r="T16" s="447">
        <f>'First Draft'!G861*BT8</f>
        <v>40266.672666000006</v>
      </c>
      <c r="U16" s="443">
        <f>'First Draft'!C860*BP8</f>
        <v>582727.80812399997</v>
      </c>
      <c r="V16" s="443">
        <f>'First Draft'!D860*BQ8</f>
        <v>445595.88776999997</v>
      </c>
      <c r="W16" s="443">
        <f>'First Draft'!E860*BR8</f>
        <v>453036.74535699998</v>
      </c>
      <c r="X16" s="443">
        <f>'First Draft'!F860*BS8</f>
        <v>139394.33061</v>
      </c>
      <c r="Y16" s="443">
        <f>'First Draft'!G860*BT8</f>
        <v>144740.57736600001</v>
      </c>
      <c r="Z16" s="443">
        <f>'First Draft'!C855*BP8</f>
        <v>941520.77375399997</v>
      </c>
      <c r="AA16" s="443">
        <f>'First Draft'!D855*BQ8</f>
        <v>826230.58661999996</v>
      </c>
      <c r="AB16" s="443">
        <f>'First Draft'!E855*BR8</f>
        <v>845443.45577300002</v>
      </c>
      <c r="AC16" s="443">
        <f>'First Draft'!F855*BS8</f>
        <v>281281.14547799999</v>
      </c>
      <c r="AD16" s="443">
        <f>'First Draft'!G855*BT8</f>
        <v>274508.801446</v>
      </c>
      <c r="AE16" s="61">
        <f t="shared" si="7"/>
        <v>3.3633221534497736E-2</v>
      </c>
      <c r="AF16" s="61">
        <f t="shared" si="0"/>
        <v>1.7995377514192952E-2</v>
      </c>
      <c r="AG16" s="61">
        <f t="shared" si="0"/>
        <v>2.0311140632461915E-2</v>
      </c>
      <c r="AH16" s="61">
        <f t="shared" si="0"/>
        <v>0.14557729704354713</v>
      </c>
      <c r="AI16" s="61">
        <f t="shared" si="0"/>
        <v>0.14668627182039942</v>
      </c>
      <c r="AJ16" s="61">
        <f t="shared" si="8"/>
        <v>8.5651046841124803E-2</v>
      </c>
      <c r="AK16" s="61">
        <f t="shared" si="9"/>
        <v>3.8467107527892258E-2</v>
      </c>
      <c r="AL16" s="61">
        <f t="shared" si="10"/>
        <v>6.4278977068804311E-2</v>
      </c>
      <c r="AM16" s="61">
        <f t="shared" si="11"/>
        <v>0.30147153164700757</v>
      </c>
      <c r="AN16" s="61">
        <f t="shared" si="12"/>
        <v>0.24650371226021797</v>
      </c>
      <c r="AO16" s="434"/>
      <c r="AP16" s="434"/>
      <c r="AQ16" s="443">
        <f>'First Draft'!C865*BP8</f>
        <v>358792.96562999999</v>
      </c>
      <c r="AR16" s="443">
        <f>'First Draft'!D865*BQ8</f>
        <v>380634.69884999999</v>
      </c>
      <c r="AS16" s="443">
        <f>'First Draft'!E865*BR8</f>
        <v>392406.59671499999</v>
      </c>
      <c r="AT16" s="443">
        <f>'First Draft'!F865*BS8</f>
        <v>141886.937814</v>
      </c>
      <c r="AU16" s="443">
        <f>'First Draft'!G865*BT8</f>
        <v>129768.22408000001</v>
      </c>
      <c r="AV16" s="443">
        <f>'Shareholder funds'!F16</f>
        <v>196934.13911600001</v>
      </c>
      <c r="AW16" s="534">
        <f>'First Draft'!C858*BP8</f>
        <v>347812.83973800001</v>
      </c>
      <c r="AX16" s="534">
        <f>'First Draft'!D858*BQ8</f>
        <v>370515.03735</v>
      </c>
      <c r="AY16" s="534">
        <f>'First Draft'!E858*BR8</f>
        <v>394691.07720699999</v>
      </c>
      <c r="AZ16" s="534">
        <f>'First Draft'!F858*BS8</f>
        <v>62769.46557</v>
      </c>
      <c r="BA16" s="534">
        <f>'First Draft'!G858*BT8</f>
        <v>61908.309760000004</v>
      </c>
      <c r="BB16" s="553">
        <f t="shared" si="1"/>
        <v>0.65042435857321657</v>
      </c>
      <c r="BC16" s="553">
        <f t="shared" si="2"/>
        <v>0.65235777453505561</v>
      </c>
      <c r="BD16" s="553">
        <f t="shared" si="3"/>
        <v>4.3507243813353295E-2</v>
      </c>
      <c r="BE16" s="538">
        <f t="shared" si="4"/>
        <v>0.38343973263337788</v>
      </c>
      <c r="BF16" s="538">
        <f t="shared" si="5"/>
        <v>0.34269240868160583</v>
      </c>
      <c r="BG16" s="455">
        <f t="shared" si="6"/>
        <v>5.3148298096975723E-2</v>
      </c>
    </row>
    <row r="17" spans="1:59" ht="15" customHeight="1">
      <c r="A17" s="449">
        <v>2018</v>
      </c>
      <c r="B17" s="449"/>
      <c r="C17" s="449"/>
      <c r="D17" s="441"/>
      <c r="E17" s="641" t="s">
        <v>623</v>
      </c>
      <c r="F17" s="642" t="s">
        <v>588</v>
      </c>
      <c r="G17" s="640" t="s">
        <v>607</v>
      </c>
      <c r="H17" s="640" t="s">
        <v>619</v>
      </c>
      <c r="I17" s="441"/>
      <c r="J17" s="438" t="s">
        <v>203</v>
      </c>
      <c r="K17" s="447">
        <f>'First Draft'!C872</f>
        <v>78454.759438030407</v>
      </c>
      <c r="L17" s="447">
        <f>'First Draft'!D872</f>
        <v>84950.759851783499</v>
      </c>
      <c r="M17" s="447">
        <f>'First Draft'!E872</f>
        <v>118767.99408146</v>
      </c>
      <c r="N17" s="447">
        <f>'First Draft'!F872</f>
        <v>117525.31629808201</v>
      </c>
      <c r="O17" s="447">
        <f>'First Draft'!G872</f>
        <v>120860.049252354</v>
      </c>
      <c r="P17" s="447">
        <f>'First Draft'!C876</f>
        <v>30935.033040963099</v>
      </c>
      <c r="Q17" s="447">
        <f>'First Draft'!D876</f>
        <v>25912.895002082001</v>
      </c>
      <c r="R17" s="447">
        <f>'First Draft'!E876</f>
        <v>27130.068025842302</v>
      </c>
      <c r="S17" s="447">
        <f>'First Draft'!F876</f>
        <v>38535.903285488501</v>
      </c>
      <c r="T17" s="447">
        <f>'First Draft'!G876</f>
        <v>55920.463096000298</v>
      </c>
      <c r="U17" s="443">
        <f>'First Draft'!C875</f>
        <v>6131411.8253601091</v>
      </c>
      <c r="V17" s="443">
        <f>'First Draft'!D875</f>
        <v>6075505.355154966</v>
      </c>
      <c r="W17" s="443">
        <f>'First Draft'!E875</f>
        <v>5181126.3642425053</v>
      </c>
      <c r="X17" s="443">
        <f>'First Draft'!F875</f>
        <v>6158154.7673454136</v>
      </c>
      <c r="Y17" s="443">
        <f>'First Draft'!G875</f>
        <v>5802091.6211201893</v>
      </c>
      <c r="Z17" s="443">
        <f>'First Draft'!C870</f>
        <v>6635912.03625526</v>
      </c>
      <c r="AA17" s="443">
        <f>'First Draft'!D870</f>
        <v>6565456.1046869503</v>
      </c>
      <c r="AB17" s="443">
        <f>'First Draft'!E870</f>
        <v>5587974.53725091</v>
      </c>
      <c r="AC17" s="443">
        <f>'First Draft'!F870</f>
        <v>6662690.4398563504</v>
      </c>
      <c r="AD17" s="443">
        <f>'First Draft'!G870</f>
        <v>6277076.0324651496</v>
      </c>
      <c r="AE17" s="61">
        <f t="shared" si="7"/>
        <v>4.6617605646292115E-3</v>
      </c>
      <c r="AF17" s="61">
        <f t="shared" si="0"/>
        <v>3.9468537431212574E-3</v>
      </c>
      <c r="AG17" s="61">
        <f t="shared" si="0"/>
        <v>4.8550808249010662E-3</v>
      </c>
      <c r="AH17" s="61">
        <f t="shared" si="0"/>
        <v>5.7838351688930256E-3</v>
      </c>
      <c r="AI17" s="61">
        <f t="shared" si="0"/>
        <v>8.9086802209784721E-3</v>
      </c>
      <c r="AJ17" s="61">
        <f t="shared" si="8"/>
        <v>6.2215301250603511E-2</v>
      </c>
      <c r="AK17" s="61">
        <f t="shared" si="9"/>
        <v>5.7789754984713344E-2</v>
      </c>
      <c r="AL17" s="61">
        <f t="shared" si="10"/>
        <v>5.9535986202130964E-2</v>
      </c>
      <c r="AM17" s="61">
        <f t="shared" si="11"/>
        <v>7.8683232576082118E-2</v>
      </c>
      <c r="AN17" s="61">
        <f t="shared" si="12"/>
        <v>0.13281359993990616</v>
      </c>
      <c r="AO17" s="434"/>
      <c r="AP17" s="434"/>
      <c r="AQ17" s="443">
        <f>'First Draft'!C880</f>
        <v>504500.21089515102</v>
      </c>
      <c r="AR17" s="443">
        <f>'First Draft'!D880</f>
        <v>489950.74953198398</v>
      </c>
      <c r="AS17" s="443">
        <f>'First Draft'!E880</f>
        <v>406848.17300840502</v>
      </c>
      <c r="AT17" s="443">
        <f>'First Draft'!F880</f>
        <v>504535.67251093697</v>
      </c>
      <c r="AU17" s="443">
        <f>'First Draft'!G880</f>
        <v>474984.41134495998</v>
      </c>
      <c r="AV17" s="443">
        <f>'Shareholder funds'!F17</f>
        <v>367105</v>
      </c>
      <c r="AW17" s="534">
        <f>'First Draft'!C873</f>
        <v>504500.21089515102</v>
      </c>
      <c r="AX17" s="534">
        <f>'First Draft'!D873</f>
        <v>489950.74953198398</v>
      </c>
      <c r="AY17" s="534">
        <f>'First Draft'!E873</f>
        <v>406848.17300840502</v>
      </c>
      <c r="AZ17" s="534">
        <f>'First Draft'!F873</f>
        <v>504535.67251093697</v>
      </c>
      <c r="BA17" s="534">
        <f>'First Draft'!G873</f>
        <v>474984.41134495998</v>
      </c>
      <c r="BB17" s="553">
        <f t="shared" si="1"/>
        <v>0.11773115445548329</v>
      </c>
      <c r="BC17" s="553">
        <f t="shared" si="2"/>
        <v>7.6378946792217448E-2</v>
      </c>
      <c r="BD17" s="553">
        <f t="shared" si="3"/>
        <v>6.6683519370951738E-2</v>
      </c>
      <c r="BE17" s="538">
        <f t="shared" si="4"/>
        <v>0.11353028693078687</v>
      </c>
      <c r="BF17" s="538">
        <f t="shared" si="5"/>
        <v>7.4971270647768498E-2</v>
      </c>
      <c r="BG17" s="455">
        <f t="shared" si="6"/>
        <v>6.6163123153705858E-2</v>
      </c>
    </row>
    <row r="18" spans="1:59" ht="15" customHeight="1">
      <c r="A18" s="449">
        <v>2012</v>
      </c>
      <c r="B18" s="449"/>
      <c r="C18" s="449"/>
      <c r="D18" s="441"/>
      <c r="E18" s="641" t="s">
        <v>634</v>
      </c>
      <c r="F18" s="642" t="s">
        <v>589</v>
      </c>
      <c r="G18" s="640" t="s">
        <v>601</v>
      </c>
      <c r="H18" s="640" t="s">
        <v>614</v>
      </c>
      <c r="I18" s="441"/>
      <c r="J18" s="438" t="s">
        <v>204</v>
      </c>
      <c r="K18" s="447">
        <f>'First Draft'!C887</f>
        <v>7681.8667759008395</v>
      </c>
      <c r="L18" s="447">
        <f>'First Draft'!D887</f>
        <v>4172.8637171391201</v>
      </c>
      <c r="M18" s="447">
        <f>'First Draft'!E887</f>
        <v>4413.1198592290002</v>
      </c>
      <c r="N18" s="447">
        <f>'First Draft'!F887</f>
        <v>4485.9597778755397</v>
      </c>
      <c r="O18" s="447">
        <f>'First Draft'!G887</f>
        <v>4011.0901006414001</v>
      </c>
      <c r="P18" s="447">
        <f>'First Draft'!C891</f>
        <v>-2131.67452066545</v>
      </c>
      <c r="Q18" s="447">
        <f>'First Draft'!D891</f>
        <v>-22791.0964665713</v>
      </c>
      <c r="R18" s="447">
        <f>'First Draft'!E891</f>
        <v>-6619.6798710803396</v>
      </c>
      <c r="S18" s="447">
        <f>'First Draft'!F891</f>
        <v>-7256.6998096534599</v>
      </c>
      <c r="T18" s="447">
        <f>'First Draft'!G891</f>
        <v>3493.5300068756201</v>
      </c>
      <c r="U18" s="443">
        <f>'First Draft'!C890</f>
        <v>287810.89263856201</v>
      </c>
      <c r="V18" s="443">
        <f>'First Draft'!D890</f>
        <v>335324.872675088</v>
      </c>
      <c r="W18" s="443">
        <f>'First Draft'!E890</f>
        <v>295265.30261176196</v>
      </c>
      <c r="X18" s="443">
        <f>'First Draft'!F890</f>
        <v>219152.33216894901</v>
      </c>
      <c r="Y18" s="443">
        <f>'First Draft'!G890</f>
        <v>144269.851304157</v>
      </c>
      <c r="Z18" s="443">
        <f>'First Draft'!C885</f>
        <v>391444.23974499799</v>
      </c>
      <c r="AA18" s="443">
        <f>'First Draft'!D885</f>
        <v>453454.432857037</v>
      </c>
      <c r="AB18" s="443">
        <f>'First Draft'!E885</f>
        <v>455240.89845453697</v>
      </c>
      <c r="AC18" s="443">
        <f>'First Draft'!F885</f>
        <v>379195.54647265701</v>
      </c>
      <c r="AD18" s="443">
        <f>'First Draft'!G885</f>
        <v>308724.54309322499</v>
      </c>
      <c r="AE18" s="61">
        <f t="shared" si="7"/>
        <v>-5.4456658298359575E-3</v>
      </c>
      <c r="AF18" s="61">
        <f t="shared" si="0"/>
        <v>-5.0261051199728311E-2</v>
      </c>
      <c r="AG18" s="61">
        <f t="shared" si="0"/>
        <v>-1.4541048252810747E-2</v>
      </c>
      <c r="AH18" s="61">
        <f t="shared" si="0"/>
        <v>-1.9137091342861342E-2</v>
      </c>
      <c r="AI18" s="61">
        <f t="shared" si="0"/>
        <v>1.1316009967567384E-2</v>
      </c>
      <c r="AJ18" s="61">
        <f t="shared" si="8"/>
        <v>-1.9224806791319573E-2</v>
      </c>
      <c r="AK18" s="61">
        <f t="shared" si="9"/>
        <v>-0.16390272506919001</v>
      </c>
      <c r="AL18" s="61">
        <f t="shared" si="10"/>
        <v>-4.1387630979567561E-2</v>
      </c>
      <c r="AM18" s="61">
        <f t="shared" si="11"/>
        <v>-4.4743903940351541E-2</v>
      </c>
      <c r="AN18" s="61">
        <f t="shared" si="12"/>
        <v>2.4612316972172785E-2</v>
      </c>
      <c r="AO18" s="434"/>
      <c r="AP18" s="434"/>
      <c r="AQ18" s="443">
        <f>'First Draft'!C895</f>
        <v>103633.346992929</v>
      </c>
      <c r="AR18" s="443">
        <f>'First Draft'!D895</f>
        <v>118129.560047359</v>
      </c>
      <c r="AS18" s="443">
        <f>'First Draft'!E895</f>
        <v>159975.596007249</v>
      </c>
      <c r="AT18" s="443">
        <f>'First Draft'!F895</f>
        <v>159911.27426799701</v>
      </c>
      <c r="AU18" s="443">
        <f>'First Draft'!G895</f>
        <v>164454.691622124</v>
      </c>
      <c r="AV18" s="443">
        <f>'Shareholder funds'!F18</f>
        <v>119430</v>
      </c>
      <c r="AW18" s="534">
        <f>'First Draft'!C888</f>
        <v>31300.123161826901</v>
      </c>
      <c r="AX18" s="534">
        <f>'First Draft'!D888</f>
        <v>35669.061524065401</v>
      </c>
      <c r="AY18" s="534">
        <f>'First Draft'!E888</f>
        <v>41510.908979121094</v>
      </c>
      <c r="AZ18" s="534">
        <f>'First Draft'!F888</f>
        <v>42616.6184284173</v>
      </c>
      <c r="BA18" s="534">
        <f>'First Draft'!G888</f>
        <v>24713.490178484699</v>
      </c>
      <c r="BB18" s="553">
        <f t="shared" si="1"/>
        <v>0.14136125580178271</v>
      </c>
      <c r="BC18" s="553">
        <f t="shared" si="2"/>
        <v>-0.17027863958381551</v>
      </c>
      <c r="BD18" s="553">
        <f t="shared" si="3"/>
        <v>-0.15946843935433613</v>
      </c>
      <c r="BE18" s="538">
        <f t="shared" si="4"/>
        <v>5.5818554362377357E-2</v>
      </c>
      <c r="BF18" s="538">
        <f t="shared" si="5"/>
        <v>-0.1675889046756262</v>
      </c>
      <c r="BG18" s="455">
        <f t="shared" si="6"/>
        <v>-0.11797382023273485</v>
      </c>
    </row>
    <row r="19" spans="1:59" ht="15" customHeight="1">
      <c r="A19" s="449">
        <v>2013</v>
      </c>
      <c r="B19" s="449"/>
      <c r="C19" s="449"/>
      <c r="D19" s="441"/>
      <c r="E19" s="641" t="s">
        <v>576</v>
      </c>
      <c r="F19" s="641" t="s">
        <v>576</v>
      </c>
      <c r="G19" s="640" t="s">
        <v>599</v>
      </c>
      <c r="H19" s="640" t="s">
        <v>612</v>
      </c>
      <c r="I19" s="441"/>
      <c r="J19" s="438" t="s">
        <v>205</v>
      </c>
      <c r="K19" s="447">
        <f>'First Draft'!C902</f>
        <v>237300</v>
      </c>
      <c r="L19" s="447">
        <f>'First Draft'!D902</f>
        <v>366800</v>
      </c>
      <c r="M19" s="447">
        <f>'First Draft'!E902</f>
        <v>321000</v>
      </c>
      <c r="N19" s="447">
        <f>'First Draft'!F902</f>
        <v>249700</v>
      </c>
      <c r="O19" s="447">
        <f>'First Draft'!G902</f>
        <v>173400</v>
      </c>
      <c r="P19" s="447">
        <f>'First Draft'!C906</f>
        <v>-85600</v>
      </c>
      <c r="Q19" s="447">
        <f>'First Draft'!D906</f>
        <v>-150900</v>
      </c>
      <c r="R19" s="447">
        <f>'First Draft'!E906</f>
        <v>-118500</v>
      </c>
      <c r="S19" s="447">
        <f>'First Draft'!F906</f>
        <v>-103700</v>
      </c>
      <c r="T19" s="447">
        <f>'First Draft'!G906</f>
        <v>-31000</v>
      </c>
      <c r="U19" s="443">
        <f>'First Draft'!C905</f>
        <v>1242200</v>
      </c>
      <c r="V19" s="443">
        <f>'First Draft'!D905</f>
        <v>1347800</v>
      </c>
      <c r="W19" s="443">
        <f>'First Draft'!E905</f>
        <v>1433900</v>
      </c>
      <c r="X19" s="443">
        <f>'First Draft'!F905</f>
        <v>1480500</v>
      </c>
      <c r="Y19" s="443">
        <f>'First Draft'!G905</f>
        <v>1057300</v>
      </c>
      <c r="Z19" s="443">
        <f>'First Draft'!C900</f>
        <v>1555100</v>
      </c>
      <c r="AA19" s="443">
        <f>'First Draft'!D900</f>
        <v>1753700</v>
      </c>
      <c r="AB19" s="443">
        <f>'First Draft'!E900</f>
        <v>1991600</v>
      </c>
      <c r="AC19" s="443">
        <f>'First Draft'!F900</f>
        <v>2164200</v>
      </c>
      <c r="AD19" s="443">
        <f>'First Draft'!G900</f>
        <v>1719700</v>
      </c>
      <c r="AE19" s="61">
        <f t="shared" si="7"/>
        <v>-5.5044691659700343E-2</v>
      </c>
      <c r="AF19" s="61">
        <f t="shared" si="7"/>
        <v>-8.6046644237897013E-2</v>
      </c>
      <c r="AG19" s="61">
        <f t="shared" si="7"/>
        <v>-5.9499899578228557E-2</v>
      </c>
      <c r="AH19" s="61">
        <f t="shared" si="7"/>
        <v>-4.7916089086036409E-2</v>
      </c>
      <c r="AI19" s="61">
        <f t="shared" si="7"/>
        <v>-1.8026399953480259E-2</v>
      </c>
      <c r="AJ19" s="61">
        <f t="shared" si="8"/>
        <v>-0.23817473567056205</v>
      </c>
      <c r="AK19" s="61">
        <f t="shared" si="9"/>
        <v>-0.31320049813200496</v>
      </c>
      <c r="AL19" s="61">
        <f t="shared" si="10"/>
        <v>-0.19091348477525374</v>
      </c>
      <c r="AM19" s="61">
        <f t="shared" si="11"/>
        <v>-0.15407473441794814</v>
      </c>
      <c r="AN19" s="61">
        <f t="shared" si="12"/>
        <v>-4.6410659480500036E-2</v>
      </c>
      <c r="AO19" s="434"/>
      <c r="AP19" s="434"/>
      <c r="AQ19" s="443">
        <f>'First Draft'!C910</f>
        <v>312900</v>
      </c>
      <c r="AR19" s="443">
        <f>'First Draft'!D910</f>
        <v>405900</v>
      </c>
      <c r="AS19" s="443">
        <f>'First Draft'!E910</f>
        <v>557700</v>
      </c>
      <c r="AT19" s="443">
        <f>'First Draft'!F910</f>
        <v>683700</v>
      </c>
      <c r="AU19" s="443">
        <f>'First Draft'!G910</f>
        <v>662400</v>
      </c>
      <c r="AV19" s="443">
        <f>'Shareholder funds'!F19</f>
        <v>673500</v>
      </c>
      <c r="AW19" s="534">
        <f>'First Draft'!C903</f>
        <v>801200</v>
      </c>
      <c r="AX19" s="534">
        <f>'First Draft'!D903</f>
        <v>939400</v>
      </c>
      <c r="AY19" s="534">
        <f>'First Draft'!E903</f>
        <v>1188400</v>
      </c>
      <c r="AZ19" s="534">
        <f>'First Draft'!F903</f>
        <v>1196200</v>
      </c>
      <c r="BA19" s="534">
        <f>'First Draft'!G903</f>
        <v>790900</v>
      </c>
      <c r="BB19" s="553">
        <f t="shared" si="1"/>
        <v>-3.919585282589455E-2</v>
      </c>
      <c r="BC19" s="553">
        <f t="shared" si="2"/>
        <v>-8.6691188764420668E-2</v>
      </c>
      <c r="BD19" s="553">
        <f t="shared" si="3"/>
        <v>-9.971390104341972E-2</v>
      </c>
      <c r="BE19" s="538">
        <f t="shared" si="4"/>
        <v>-0.11583922783101623</v>
      </c>
      <c r="BF19" s="538">
        <f t="shared" si="5"/>
        <v>-0.1582485378147013</v>
      </c>
      <c r="BG19" s="455">
        <f t="shared" si="6"/>
        <v>-0.125252165678509</v>
      </c>
    </row>
    <row r="20" spans="1:59" ht="15" customHeight="1">
      <c r="A20" s="449">
        <v>2012</v>
      </c>
      <c r="B20" s="449"/>
      <c r="C20" s="449"/>
      <c r="D20" s="441">
        <v>0.25</v>
      </c>
      <c r="E20" s="641" t="s">
        <v>629</v>
      </c>
      <c r="F20" s="642" t="s">
        <v>590</v>
      </c>
      <c r="G20" s="640" t="s">
        <v>608</v>
      </c>
      <c r="H20" s="640" t="s">
        <v>620</v>
      </c>
      <c r="I20" s="441"/>
      <c r="J20" s="438" t="s">
        <v>206</v>
      </c>
      <c r="K20" s="447">
        <f>'First Draft'!C917</f>
        <v>103405.218735337</v>
      </c>
      <c r="L20" s="447">
        <f>'First Draft'!D917</f>
        <v>34756.798359856002</v>
      </c>
      <c r="M20" s="447">
        <f>'First Draft'!E917</f>
        <v>54802.137635260799</v>
      </c>
      <c r="N20" s="447">
        <f>'First Draft'!F917</f>
        <v>47602.513394057802</v>
      </c>
      <c r="O20" s="447">
        <f>'First Draft'!G917</f>
        <v>48185.141307219899</v>
      </c>
      <c r="P20" s="447">
        <f>'First Draft'!C921</f>
        <v>1021.56637609005</v>
      </c>
      <c r="Q20" s="447">
        <f>'First Draft'!D921</f>
        <v>869.17904379963898</v>
      </c>
      <c r="R20" s="447">
        <f>'First Draft'!E921</f>
        <v>-8556.2499184012395</v>
      </c>
      <c r="S20" s="447">
        <f>'First Draft'!F921</f>
        <v>-3546.14003062248</v>
      </c>
      <c r="T20" s="447">
        <f>'First Draft'!G921</f>
        <v>-39318.697343423999</v>
      </c>
      <c r="U20" s="443">
        <f>'First Draft'!C920</f>
        <v>72077.183201909094</v>
      </c>
      <c r="V20" s="443">
        <f>'First Draft'!D920</f>
        <v>9860.8349060118235</v>
      </c>
      <c r="W20" s="443">
        <f>'First Draft'!E920</f>
        <v>22886.183992266702</v>
      </c>
      <c r="X20" s="443">
        <f>'First Draft'!F920</f>
        <v>69157.091458886804</v>
      </c>
      <c r="Y20" s="443">
        <f>'First Draft'!G920</f>
        <v>130415.19037367401</v>
      </c>
      <c r="Z20" s="443">
        <f>'First Draft'!C915</f>
        <v>154597.04491496101</v>
      </c>
      <c r="AA20" s="443">
        <f>'First Draft'!D915</f>
        <v>19908.7492283881</v>
      </c>
      <c r="AB20" s="443">
        <f>'First Draft'!E915</f>
        <v>32138.8154829741</v>
      </c>
      <c r="AC20" s="443">
        <f>'First Draft'!F915</f>
        <v>76494.613889604807</v>
      </c>
      <c r="AD20" s="443">
        <f>'First Draft'!G915</f>
        <v>97959.765065565705</v>
      </c>
      <c r="AE20" s="61">
        <f t="shared" si="7"/>
        <v>6.6079295154184972E-3</v>
      </c>
      <c r="AF20" s="61">
        <f t="shared" si="7"/>
        <v>4.3658144157055691E-2</v>
      </c>
      <c r="AG20" s="61">
        <f t="shared" si="7"/>
        <v>-0.26622791754518799</v>
      </c>
      <c r="AH20" s="61">
        <f t="shared" si="7"/>
        <v>-4.6358035557120196E-2</v>
      </c>
      <c r="AI20" s="61">
        <f t="shared" si="7"/>
        <v>-0.40137598652985235</v>
      </c>
      <c r="AJ20" s="61">
        <f t="shared" si="8"/>
        <v>2.2071749367708046E-2</v>
      </c>
      <c r="AK20" s="61">
        <f t="shared" si="9"/>
        <v>9.0067820072780413E-2</v>
      </c>
      <c r="AL20" s="61">
        <f t="shared" si="10"/>
        <v>-1.0314852965108747</v>
      </c>
      <c r="AM20" s="61">
        <f t="shared" si="11"/>
        <v>0.28235956225585257</v>
      </c>
      <c r="AN20" s="61">
        <f t="shared" si="12"/>
        <v>5.3904096008009974</v>
      </c>
      <c r="AO20" s="434"/>
      <c r="AP20" s="434"/>
      <c r="AQ20" s="443">
        <f>'First Draft'!C925</f>
        <v>82519.861713051796</v>
      </c>
      <c r="AR20" s="443">
        <f>'First Draft'!D925</f>
        <v>10047.9143223763</v>
      </c>
      <c r="AS20" s="443">
        <f>'First Draft'!E925</f>
        <v>9252.6314907073993</v>
      </c>
      <c r="AT20" s="443">
        <f>'First Draft'!F925</f>
        <v>7337.5224307179496</v>
      </c>
      <c r="AU20" s="443">
        <f>'First Draft'!G925</f>
        <v>-32455.425308108301</v>
      </c>
      <c r="AV20" s="443">
        <f>'Shareholder funds'!F20</f>
        <v>17867.035833000002</v>
      </c>
      <c r="AW20" s="534">
        <f>'First Draft'!C918</f>
        <v>22474.460273981102</v>
      </c>
      <c r="AX20" s="534">
        <f>'First Draft'!D918</f>
        <v>720.18845824897301</v>
      </c>
      <c r="AY20" s="534">
        <f>'First Draft'!E918</f>
        <v>2259.7039258181999</v>
      </c>
      <c r="AZ20" s="534">
        <f>'First Draft'!F918</f>
        <v>15130.5206237733</v>
      </c>
      <c r="BA20" s="534">
        <f>'First Draft'!G918</f>
        <v>67011.685314774499</v>
      </c>
      <c r="BB20" s="553">
        <f t="shared" si="1"/>
        <v>-0.58674389636273117</v>
      </c>
      <c r="BC20" s="553">
        <f t="shared" si="2"/>
        <v>-0.23436999418583995</v>
      </c>
      <c r="BD20" s="553">
        <f t="shared" si="3"/>
        <v>-3.7864473396899414</v>
      </c>
      <c r="BE20" s="538">
        <f t="shared" si="4"/>
        <v>-0.78845294194064575</v>
      </c>
      <c r="BF20" s="538">
        <f t="shared" si="5"/>
        <v>-0.20324924439120326</v>
      </c>
      <c r="BG20" s="455">
        <f t="shared" si="6"/>
        <v>-2.9933052100453006</v>
      </c>
    </row>
    <row r="21" spans="1:59" ht="15" customHeight="1">
      <c r="A21" s="449">
        <v>2016</v>
      </c>
      <c r="B21" s="449"/>
      <c r="C21" s="449"/>
      <c r="D21" s="441">
        <v>0.13</v>
      </c>
      <c r="E21" s="641" t="s">
        <v>624</v>
      </c>
      <c r="F21" s="642" t="s">
        <v>586</v>
      </c>
      <c r="G21" s="640" t="s">
        <v>601</v>
      </c>
      <c r="H21" s="640" t="s">
        <v>614</v>
      </c>
      <c r="I21" s="441"/>
      <c r="J21" s="438" t="s">
        <v>207</v>
      </c>
      <c r="K21" s="447">
        <f>'First Draft'!C932</f>
        <v>21509.1113705188</v>
      </c>
      <c r="L21" s="447">
        <f>'First Draft'!D932</f>
        <v>21176.294563084801</v>
      </c>
      <c r="M21" s="447">
        <f>'First Draft'!E932</f>
        <v>31415.469078414098</v>
      </c>
      <c r="N21" s="447">
        <f>'First Draft'!F932</f>
        <v>32291.183111816601</v>
      </c>
      <c r="O21" s="447">
        <f>'First Draft'!G932</f>
        <v>28189.3295965791</v>
      </c>
      <c r="P21" s="447">
        <f>'First Draft'!C936</f>
        <v>-1762.7562440112199</v>
      </c>
      <c r="Q21" s="447">
        <f>'First Draft'!D936</f>
        <v>806.78941203653801</v>
      </c>
      <c r="R21" s="447">
        <f>'First Draft'!E936</f>
        <v>-2086.7235170900799</v>
      </c>
      <c r="S21" s="447">
        <f>'First Draft'!F936</f>
        <v>-1214.1531253755099</v>
      </c>
      <c r="T21" s="447">
        <f>'First Draft'!G936</f>
        <v>-1169.01245637238</v>
      </c>
      <c r="U21" s="443">
        <f>'First Draft'!C935</f>
        <v>12280.751567520199</v>
      </c>
      <c r="V21" s="443">
        <f>'First Draft'!D935</f>
        <v>13280.667416021241</v>
      </c>
      <c r="W21" s="443">
        <f>'First Draft'!E935</f>
        <v>18340.316767588301</v>
      </c>
      <c r="X21" s="443">
        <f>'First Draft'!F935</f>
        <v>21106.728418767489</v>
      </c>
      <c r="Y21" s="443">
        <f>'First Draft'!G935</f>
        <v>17851.64540742341</v>
      </c>
      <c r="Z21" s="443">
        <f>'First Draft'!C930</f>
        <v>21304.78335464</v>
      </c>
      <c r="AA21" s="443">
        <f>'First Draft'!D930</f>
        <v>24710.126549139601</v>
      </c>
      <c r="AB21" s="443">
        <f>'First Draft'!E930</f>
        <v>30118.635942384601</v>
      </c>
      <c r="AC21" s="443">
        <f>'First Draft'!F930</f>
        <v>33372.389602214098</v>
      </c>
      <c r="AD21" s="443">
        <f>'First Draft'!G930</f>
        <v>31277.184229373899</v>
      </c>
      <c r="AE21" s="61">
        <f t="shared" si="7"/>
        <v>-8.2739928149858741E-2</v>
      </c>
      <c r="AF21" s="61">
        <f t="shared" si="7"/>
        <v>3.2650152982103206E-2</v>
      </c>
      <c r="AG21" s="61">
        <f t="shared" si="7"/>
        <v>-6.9283466923331941E-2</v>
      </c>
      <c r="AH21" s="61">
        <f t="shared" si="7"/>
        <v>-3.6381965446518602E-2</v>
      </c>
      <c r="AI21" s="61">
        <f t="shared" si="7"/>
        <v>-3.7375885495296746E-2</v>
      </c>
      <c r="AJ21" s="61">
        <f t="shared" si="8"/>
        <v>-0.17236727469998944</v>
      </c>
      <c r="AK21" s="61">
        <f t="shared" si="9"/>
        <v>6.9527500765671602E-2</v>
      </c>
      <c r="AL21" s="61">
        <f t="shared" si="10"/>
        <v>-0.17357554664402283</v>
      </c>
      <c r="AM21" s="61">
        <f t="shared" si="11"/>
        <v>-9.4518989001715834E-2</v>
      </c>
      <c r="AN21" s="61">
        <f t="shared" si="12"/>
        <v>-8.2337754793277498E-2</v>
      </c>
      <c r="AO21" s="434"/>
      <c r="AP21" s="434"/>
      <c r="AQ21" s="443">
        <f>'First Draft'!C940</f>
        <v>9024.0317871198095</v>
      </c>
      <c r="AR21" s="443">
        <f>'First Draft'!D940</f>
        <v>11429.4591331184</v>
      </c>
      <c r="AS21" s="443">
        <f>'First Draft'!E940</f>
        <v>11778.319174796299</v>
      </c>
      <c r="AT21" s="443">
        <f>'First Draft'!F940</f>
        <v>12265.6611834466</v>
      </c>
      <c r="AU21" s="443">
        <f>'First Draft'!G940</f>
        <v>13425.5388219506</v>
      </c>
      <c r="AV21" s="443">
        <f>'Shareholder funds'!F21</f>
        <v>14970</v>
      </c>
      <c r="AW21" s="534">
        <f>'First Draft'!C933</f>
        <v>3011.3894870877298</v>
      </c>
      <c r="AX21" s="534">
        <f>'First Draft'!D933</f>
        <v>2603.5673152655399</v>
      </c>
      <c r="AY21" s="534">
        <f>'First Draft'!E933</f>
        <v>4720.7064762934997</v>
      </c>
      <c r="AZ21" s="534">
        <f>'First Draft'!F933</f>
        <v>4472.8538029789897</v>
      </c>
      <c r="BA21" s="534">
        <f>'First Draft'!G933</f>
        <v>6885.2438674718096</v>
      </c>
      <c r="BB21" s="553">
        <f t="shared" si="1"/>
        <v>-0.16978519263423408</v>
      </c>
      <c r="BC21" s="553">
        <f t="shared" si="2"/>
        <v>-0.27144932046892861</v>
      </c>
      <c r="BD21" s="553">
        <f t="shared" si="3"/>
        <v>-0.44203627731764578</v>
      </c>
      <c r="BE21" s="538">
        <f t="shared" si="4"/>
        <v>-0.17089353546845584</v>
      </c>
      <c r="BF21" s="538">
        <f t="shared" si="5"/>
        <v>-0.14612697434616936</v>
      </c>
      <c r="BG21" s="455">
        <f t="shared" si="6"/>
        <v>-0.33705090620649275</v>
      </c>
    </row>
    <row r="22" spans="1:59" ht="15" customHeight="1">
      <c r="A22" s="556">
        <v>2012</v>
      </c>
      <c r="B22" s="725"/>
      <c r="C22" s="590" t="s">
        <v>487</v>
      </c>
      <c r="D22" s="647"/>
      <c r="E22" s="634" t="s">
        <v>631</v>
      </c>
      <c r="F22" s="634" t="s">
        <v>591</v>
      </c>
      <c r="G22" s="638" t="s">
        <v>601</v>
      </c>
      <c r="H22" s="638" t="s">
        <v>614</v>
      </c>
      <c r="I22" s="647"/>
      <c r="J22" s="438" t="s">
        <v>210</v>
      </c>
      <c r="K22" s="592">
        <f>'First Draft'!C946*BV8</f>
        <v>124444.389308</v>
      </c>
      <c r="L22" s="592">
        <f>'First Draft'!D946*BW8</f>
        <v>220143.76092</v>
      </c>
      <c r="M22" s="592">
        <f>'First Draft'!E946*BX8</f>
        <v>298366.01531400002</v>
      </c>
      <c r="N22" s="592">
        <f>'First Draft'!F946*BY8</f>
        <v>304041.23281199997</v>
      </c>
      <c r="O22" s="592">
        <f>'First Draft'!G946*BZ8</f>
        <v>293778.63266400003</v>
      </c>
      <c r="P22" s="592">
        <f>'First Draft'!C950*BV8</f>
        <v>-15034.078972000001</v>
      </c>
      <c r="Q22" s="592">
        <f>'First Draft'!D950*BW8</f>
        <v>-32277.582225000002</v>
      </c>
      <c r="R22" s="592">
        <f>'First Draft'!E950*BX8</f>
        <v>91676.179742000008</v>
      </c>
      <c r="S22" s="592">
        <f>'First Draft'!F950*BY8</f>
        <v>53124.859848</v>
      </c>
      <c r="T22" s="592">
        <f>'First Draft'!G950*BZ8</f>
        <v>31408.249752</v>
      </c>
      <c r="U22" s="534">
        <f>'First Draft'!C949*BV8</f>
        <v>101695.378832</v>
      </c>
      <c r="V22" s="534">
        <f>'First Draft'!D949*BW8</f>
        <v>174602.05129500001</v>
      </c>
      <c r="W22" s="534">
        <f>'First Draft'!E949*BX8</f>
        <v>124473.520083</v>
      </c>
      <c r="X22" s="534">
        <f>'First Draft'!F949*BY8</f>
        <v>295382.796324</v>
      </c>
      <c r="Y22" s="534">
        <f>'First Draft'!G949*BZ8</f>
        <v>421847.50251600001</v>
      </c>
      <c r="Z22" s="534">
        <f>'First Draft'!C944*BV8</f>
        <v>117433.69499800001</v>
      </c>
      <c r="AA22" s="534">
        <f>'First Draft'!D944*BW8</f>
        <v>214117.59338999999</v>
      </c>
      <c r="AB22" s="534">
        <f>'First Draft'!E944*BX8</f>
        <v>221104.639792</v>
      </c>
      <c r="AC22" s="534">
        <f>'First Draft'!F944*BY8</f>
        <v>490592.01095999999</v>
      </c>
      <c r="AD22" s="534">
        <f>'First Draft'!G944*BZ8</f>
        <v>604651.04567999998</v>
      </c>
      <c r="AE22" s="61">
        <f t="shared" si="7"/>
        <v>-0.12802185073250097</v>
      </c>
      <c r="AF22" s="61">
        <f t="shared" si="7"/>
        <v>-0.15074698773682121</v>
      </c>
      <c r="AG22" s="61">
        <f t="shared" si="7"/>
        <v>0.41462802331168913</v>
      </c>
      <c r="AH22" s="61">
        <f t="shared" si="7"/>
        <v>0.10828725022253062</v>
      </c>
      <c r="AI22" s="61">
        <f t="shared" si="7"/>
        <v>5.1944423112140314E-2</v>
      </c>
      <c r="AJ22" s="61">
        <f t="shared" si="8"/>
        <v>-0.54417926020910801</v>
      </c>
      <c r="AK22" s="61">
        <f t="shared" si="9"/>
        <v>-0.47415844142607022</v>
      </c>
      <c r="AL22" s="61">
        <f t="shared" si="10"/>
        <v>0.62826257342225167</v>
      </c>
      <c r="AM22" s="61">
        <f t="shared" si="11"/>
        <v>0.28107442805466076</v>
      </c>
      <c r="AN22" s="61">
        <f t="shared" si="12"/>
        <v>0.15678002272608277</v>
      </c>
      <c r="AO22" s="434"/>
      <c r="AP22" s="434"/>
      <c r="AQ22" s="534">
        <f>'First Draft'!C954*BV8</f>
        <v>15738.440392</v>
      </c>
      <c r="AR22" s="534">
        <f>'First Draft'!D954*BW8</f>
        <v>39515.701289999997</v>
      </c>
      <c r="AS22" s="534">
        <f>'First Draft'!E954*BX8</f>
        <v>96631.119709000006</v>
      </c>
      <c r="AT22" s="534">
        <f>'First Draft'!F954*BY8</f>
        <v>195209.21463599999</v>
      </c>
      <c r="AU22" s="534">
        <f>'First Draft'!G954*BZ8</f>
        <v>182803.543164</v>
      </c>
      <c r="AV22" s="443">
        <f>'Shareholder funds'!F22</f>
        <v>217862.93469300002</v>
      </c>
      <c r="AW22" s="534">
        <f>'Long Term Debt'!C4*BV8</f>
        <v>78608.846313999995</v>
      </c>
      <c r="AX22" s="534">
        <f>'Long Term Debt'!D4*BW8</f>
        <v>81952.471634999994</v>
      </c>
      <c r="AY22" s="534">
        <f>'Long Term Debt'!E4*BX8</f>
        <v>25181.297430999999</v>
      </c>
      <c r="AZ22" s="534">
        <f>'Long Term Debt'!F4*BY8</f>
        <v>149580.06926399999</v>
      </c>
      <c r="BA22" s="534">
        <f>'Long Term Debt'!G4*BZ8</f>
        <v>235281.12022800001</v>
      </c>
      <c r="BB22" s="553">
        <f t="shared" si="1"/>
        <v>0.13349243543877945</v>
      </c>
      <c r="BC22" s="553">
        <f t="shared" si="2"/>
        <v>0.35516001636713884</v>
      </c>
      <c r="BD22" s="553">
        <f t="shared" si="3"/>
        <v>3.6406456018878517</v>
      </c>
      <c r="BE22" s="538">
        <f t="shared" si="4"/>
        <v>-7.1387367468154064E-2</v>
      </c>
      <c r="BF22" s="538">
        <f t="shared" si="5"/>
        <v>2.5169716459563174E-2</v>
      </c>
      <c r="BG22" s="455">
        <f t="shared" si="6"/>
        <v>2.3241198821794966</v>
      </c>
    </row>
    <row r="23" spans="1:59" ht="15" customHeight="1">
      <c r="A23" s="449">
        <v>2007</v>
      </c>
      <c r="B23" s="725"/>
      <c r="C23" s="450" t="s">
        <v>487</v>
      </c>
      <c r="D23" s="647"/>
      <c r="E23" s="634" t="s">
        <v>630</v>
      </c>
      <c r="F23" s="642" t="s">
        <v>581</v>
      </c>
      <c r="G23" s="640" t="s">
        <v>609</v>
      </c>
      <c r="H23" s="640" t="s">
        <v>621</v>
      </c>
      <c r="I23" s="647"/>
      <c r="J23" s="438" t="s">
        <v>211</v>
      </c>
      <c r="K23" s="448">
        <f>'First Draft'!C961*CA8</f>
        <v>26136.667292000002</v>
      </c>
      <c r="L23" s="448">
        <f>'First Draft'!D961*CB8</f>
        <v>27943.772999999997</v>
      </c>
      <c r="M23" s="448">
        <f>'First Draft'!E961*CC8</f>
        <v>213154.28159999999</v>
      </c>
      <c r="N23" s="448">
        <f>'First Draft'!F961*CD8</f>
        <v>206874.408</v>
      </c>
      <c r="O23" s="448">
        <f>'First Draft'!G961*CE8</f>
        <v>254752.6452</v>
      </c>
      <c r="P23" s="448">
        <f>'First Draft'!C965*CA8</f>
        <v>3698.5474859999999</v>
      </c>
      <c r="Q23" s="448">
        <f>'First Draft'!D965*CB8</f>
        <v>11135.968999999999</v>
      </c>
      <c r="R23" s="448">
        <f>'First Draft'!E965*CC8</f>
        <v>11182.689200000001</v>
      </c>
      <c r="S23" s="448">
        <f>'First Draft'!F965*CD8</f>
        <v>6160.0319999999992</v>
      </c>
      <c r="T23" s="448">
        <f>'First Draft'!G965*CE8</f>
        <v>18280.246800000001</v>
      </c>
      <c r="U23" s="443">
        <f>'First Draft'!C964*CA8</f>
        <v>16546.717662999999</v>
      </c>
      <c r="V23" s="443">
        <f>'First Draft'!D964*CB8</f>
        <v>11743.094999999999</v>
      </c>
      <c r="W23" s="443">
        <f>'First Draft'!E964*CC8</f>
        <v>122308.4158</v>
      </c>
      <c r="X23" s="443">
        <f>'First Draft'!F964*CD8</f>
        <v>82133.759999999995</v>
      </c>
      <c r="Y23" s="443">
        <f>'First Draft'!G964*CE8</f>
        <v>140356.7028</v>
      </c>
      <c r="Z23" s="443">
        <f>'First Draft'!C959*CA8</f>
        <v>62733.335785000003</v>
      </c>
      <c r="AA23" s="443">
        <f>'First Draft'!D959*CB8</f>
        <v>52708.123</v>
      </c>
      <c r="AB23" s="443">
        <f>'First Draft'!E959*CC8</f>
        <v>160728.68400000001</v>
      </c>
      <c r="AC23" s="443">
        <f>'First Draft'!F959*CD8</f>
        <v>111222.79999999999</v>
      </c>
      <c r="AD23" s="443">
        <f>'First Draft'!G959*CE8</f>
        <v>163929.01079999999</v>
      </c>
      <c r="AE23" s="61">
        <f t="shared" si="7"/>
        <v>5.8956652626853449E-2</v>
      </c>
      <c r="AF23" s="61">
        <f t="shared" si="7"/>
        <v>0.2112761442861473</v>
      </c>
      <c r="AG23" s="61">
        <f t="shared" si="7"/>
        <v>6.9574944071588374E-2</v>
      </c>
      <c r="AH23" s="61">
        <f t="shared" si="7"/>
        <v>5.5384615384615386E-2</v>
      </c>
      <c r="AI23" s="61">
        <f t="shared" si="7"/>
        <v>0.11151318922007429</v>
      </c>
      <c r="AJ23" s="61">
        <f t="shared" si="8"/>
        <v>8.4876136035859959E-2</v>
      </c>
      <c r="AK23" s="61">
        <f t="shared" si="9"/>
        <v>0.28055495244218787</v>
      </c>
      <c r="AL23" s="61">
        <f t="shared" si="10"/>
        <v>0.33129325416491234</v>
      </c>
      <c r="AM23" s="61">
        <f t="shared" si="11"/>
        <v>0.23394889169946806</v>
      </c>
      <c r="AN23" s="61">
        <f t="shared" si="12"/>
        <v>0.77961361796011064</v>
      </c>
      <c r="AO23" s="434"/>
      <c r="AP23" s="434"/>
      <c r="AQ23" s="443">
        <f>'First Draft'!C969*CA8</f>
        <v>46186.618122</v>
      </c>
      <c r="AR23" s="443">
        <f>'First Draft'!D969*CB8</f>
        <v>40965.027999999998</v>
      </c>
      <c r="AS23" s="443">
        <f>'First Draft'!E969*CC8</f>
        <v>38420.268199999999</v>
      </c>
      <c r="AT23" s="443">
        <f>'First Draft'!F969*CD8</f>
        <v>29089.039999999997</v>
      </c>
      <c r="AU23" s="443">
        <f>'First Draft'!G969*CE8</f>
        <v>23572.308000000001</v>
      </c>
      <c r="AV23" s="443">
        <f>'Shareholder funds'!F23</f>
        <v>23323.35</v>
      </c>
      <c r="AW23" s="534">
        <f>'Long Term Debt'!C5*CA8</f>
        <v>1853.912251</v>
      </c>
      <c r="AX23" s="534">
        <f>'Long Term Debt'!D5*CB8</f>
        <v>1901.2629999999999</v>
      </c>
      <c r="AY23" s="534">
        <f>'Long Term Debt'!E5*CC8</f>
        <v>7551.0119999999997</v>
      </c>
      <c r="AZ23" s="534">
        <f>'Long Term Debt'!F5*CD8</f>
        <v>8555.5999999999985</v>
      </c>
      <c r="BA23" s="534">
        <f>'Long Term Debt'!G5*CE8</f>
        <v>15782.5188</v>
      </c>
      <c r="BB23" s="553">
        <f t="shared" si="1"/>
        <v>1.1582591493570722</v>
      </c>
      <c r="BC23" s="553">
        <f t="shared" si="2"/>
        <v>0.72000000000000008</v>
      </c>
      <c r="BD23" s="553">
        <f t="shared" si="3"/>
        <v>1.480952380952381</v>
      </c>
      <c r="BE23" s="538">
        <f t="shared" si="4"/>
        <v>1.00391114915566</v>
      </c>
      <c r="BF23" s="538">
        <f t="shared" si="5"/>
        <v>0.60506821833103386</v>
      </c>
      <c r="BG23" s="455">
        <f t="shared" si="6"/>
        <v>1.2061401265961371</v>
      </c>
    </row>
    <row r="24" spans="1:59" ht="15" customHeight="1">
      <c r="A24" s="449">
        <v>2004</v>
      </c>
      <c r="B24" s="725"/>
      <c r="C24" s="450" t="s">
        <v>487</v>
      </c>
      <c r="D24" s="647"/>
      <c r="E24" s="634" t="s">
        <v>635</v>
      </c>
      <c r="F24" s="634" t="s">
        <v>592</v>
      </c>
      <c r="G24" s="638" t="s">
        <v>607</v>
      </c>
      <c r="H24" s="638" t="s">
        <v>619</v>
      </c>
      <c r="I24" s="647"/>
      <c r="J24" s="438" t="s">
        <v>212</v>
      </c>
      <c r="K24" s="447">
        <f>'First Draft'!C977*CD8</f>
        <v>35591.295999999995</v>
      </c>
      <c r="L24" s="447">
        <f>'First Draft'!D977*CE8</f>
        <v>59008.824000000001</v>
      </c>
      <c r="M24" s="447">
        <f>'First Draft'!E977*CF8</f>
        <v>56753.484999999993</v>
      </c>
      <c r="N24" s="447">
        <f>'First Draft'!F977*CG8</f>
        <v>46531.205999999998</v>
      </c>
      <c r="O24" s="447">
        <f>'First Draft'!G977*CH8</f>
        <v>39247.205999999998</v>
      </c>
      <c r="P24" s="447">
        <f>'First Draft'!C981*CD8</f>
        <v>8726.7119999999995</v>
      </c>
      <c r="Q24" s="447">
        <f>'First Draft'!D981*CE8</f>
        <v>37153.703999999998</v>
      </c>
      <c r="R24" s="447">
        <f>'First Draft'!E981*CF8</f>
        <v>37161.870999999999</v>
      </c>
      <c r="S24" s="447">
        <f>'First Draft'!F981*CG8</f>
        <v>31070.357999999997</v>
      </c>
      <c r="T24" s="447">
        <f>'First Draft'!G981*CH8</f>
        <v>27388.338</v>
      </c>
      <c r="U24" s="443">
        <f>'First Draft'!C980*CD8</f>
        <v>6380253.1439999994</v>
      </c>
      <c r="V24" s="443">
        <f>'First Draft'!D980*CE8</f>
        <v>5143758.5999999996</v>
      </c>
      <c r="W24" s="443">
        <f>'First Draft'!E980*CF8</f>
        <v>4952791.1169999996</v>
      </c>
      <c r="X24" s="443">
        <f>'First Draft'!F980*CG8</f>
        <v>4200742.1339999996</v>
      </c>
      <c r="Y24" s="443">
        <f>'First Draft'!G980*CH8</f>
        <v>3787920.0869999998</v>
      </c>
      <c r="Z24" s="443">
        <f>'First Draft'!C975*CD8</f>
        <v>6652150.1119999997</v>
      </c>
      <c r="AA24" s="443">
        <f>'First Draft'!D975*CE8</f>
        <v>5519666.6639999999</v>
      </c>
      <c r="AB24" s="443">
        <f>'First Draft'!E975*CF8</f>
        <v>5298909.6310000001</v>
      </c>
      <c r="AC24" s="443">
        <f>'First Draft'!F975*CG8</f>
        <v>4504904.5859999992</v>
      </c>
      <c r="AD24" s="443">
        <f>'First Draft'!G975*CH8</f>
        <v>4067874.0779999997</v>
      </c>
      <c r="AE24" s="61">
        <f t="shared" si="7"/>
        <v>1.3118633604280276E-3</v>
      </c>
      <c r="AF24" s="61">
        <f t="shared" si="7"/>
        <v>6.7311499519203573E-3</v>
      </c>
      <c r="AG24" s="61">
        <f t="shared" si="7"/>
        <v>7.0131165820593328E-3</v>
      </c>
      <c r="AH24" s="61">
        <f t="shared" si="7"/>
        <v>6.8970068970068974E-3</v>
      </c>
      <c r="AI24" s="61">
        <f t="shared" si="7"/>
        <v>6.7328382036510037E-3</v>
      </c>
      <c r="AJ24" s="61">
        <f t="shared" si="8"/>
        <v>2.694240263326636E-2</v>
      </c>
      <c r="AK24" s="61">
        <f t="shared" si="9"/>
        <v>0.10291505917390203</v>
      </c>
      <c r="AL24" s="61">
        <f t="shared" si="10"/>
        <v>0.11429481391279103</v>
      </c>
      <c r="AM24" s="61">
        <f t="shared" si="11"/>
        <v>0.10638412382443409</v>
      </c>
      <c r="AN24" s="61">
        <f t="shared" si="12"/>
        <v>0.10600560988713593</v>
      </c>
      <c r="AO24" s="434"/>
      <c r="AP24" s="434"/>
      <c r="AQ24" s="443">
        <f>'First Draft'!C985*CD8</f>
        <v>271896.96799999999</v>
      </c>
      <c r="AR24" s="443">
        <f>'First Draft'!D985*CE8</f>
        <v>375908.06400000001</v>
      </c>
      <c r="AS24" s="443">
        <f>'First Draft'!E985*CF8</f>
        <v>346118.51399999997</v>
      </c>
      <c r="AT24" s="443">
        <f>'First Draft'!F985*CG8</f>
        <v>304162.45199999999</v>
      </c>
      <c r="AU24" s="443">
        <f>'First Draft'!G985*CH8</f>
        <v>279953.99099999998</v>
      </c>
      <c r="AV24" s="443">
        <f>'Shareholder funds'!F24</f>
        <v>236779.75599999999</v>
      </c>
      <c r="AW24" s="534">
        <f>'Long Term Debt'!C6*CD8</f>
        <v>216970.01599999997</v>
      </c>
      <c r="AX24" s="534">
        <f>'Long Term Debt'!D6*CE8</f>
        <v>194198.35199999998</v>
      </c>
      <c r="AY24" s="534">
        <f>'Long Term Debt'!E6*CF8</f>
        <v>195916.13999999998</v>
      </c>
      <c r="AZ24" s="534">
        <f>'Long Term Debt'!F6*CG8</f>
        <v>141228.9</v>
      </c>
      <c r="BA24" s="534">
        <f>'Long Term Debt'!G6*CH8</f>
        <v>98823.9</v>
      </c>
      <c r="BB24" s="553">
        <f t="shared" si="1"/>
        <v>0.27714285714285714</v>
      </c>
      <c r="BC24" s="553">
        <f t="shared" si="2"/>
        <v>0.21999999999999997</v>
      </c>
      <c r="BD24" s="553">
        <f t="shared" si="3"/>
        <v>0.1896825396825397</v>
      </c>
      <c r="BE24" s="538">
        <f t="shared" si="4"/>
        <v>0.25992388368229913</v>
      </c>
      <c r="BF24" s="538">
        <f t="shared" si="5"/>
        <v>0.21209465105995459</v>
      </c>
      <c r="BG24" s="455">
        <f t="shared" si="6"/>
        <v>0.18475830254050327</v>
      </c>
    </row>
    <row r="25" spans="1:59" ht="15" customHeight="1">
      <c r="A25" s="449">
        <v>2008</v>
      </c>
      <c r="B25" s="725"/>
      <c r="C25" s="450" t="s">
        <v>487</v>
      </c>
      <c r="D25" s="453">
        <v>0.48</v>
      </c>
      <c r="E25" s="653" t="s">
        <v>636</v>
      </c>
      <c r="F25" s="634" t="s">
        <v>593</v>
      </c>
      <c r="G25" s="638" t="s">
        <v>599</v>
      </c>
      <c r="H25" s="638" t="s">
        <v>612</v>
      </c>
      <c r="I25" s="453"/>
      <c r="J25" s="438" t="s">
        <v>245</v>
      </c>
      <c r="K25" s="444">
        <f>'First Draft'!C1022*BZ8</f>
        <v>262576.83988799999</v>
      </c>
      <c r="L25" s="444">
        <f>'First Draft'!D1022*CA8</f>
        <v>220537.200216</v>
      </c>
      <c r="M25" s="444">
        <f>'First Draft'!E1022*CB8</f>
        <v>190248.20450999998</v>
      </c>
      <c r="N25" s="444">
        <f>'First Draft'!F1022*CC8</f>
        <v>182456.72103000002</v>
      </c>
      <c r="O25" s="444">
        <f>'First Draft'!G1022*CD8</f>
        <v>152242.62419999999</v>
      </c>
      <c r="P25" s="444">
        <f>'First Draft'!C1026*BZ8</f>
        <v>-14396.444964</v>
      </c>
      <c r="Q25" s="444">
        <f>'First Draft'!D1026*CA8</f>
        <v>-113841.079573</v>
      </c>
      <c r="R25" s="444">
        <f>'First Draft'!E1026*CB8</f>
        <v>-1969.48479</v>
      </c>
      <c r="S25" s="444">
        <f>'First Draft'!F1026*CC8</f>
        <v>-8088.2125679999999</v>
      </c>
      <c r="T25" s="444">
        <f>'First Draft'!G1026*CD8</f>
        <v>7937.2012319999994</v>
      </c>
      <c r="U25" s="443">
        <f>'First Draft'!C1025*BZ8</f>
        <v>191491.881372</v>
      </c>
      <c r="V25" s="443">
        <f>'First Draft'!D1025*CA8</f>
        <v>167697.305012</v>
      </c>
      <c r="W25" s="443">
        <f>'First Draft'!E1025*CB8</f>
        <v>123017.78736</v>
      </c>
      <c r="X25" s="443">
        <f>'First Draft'!F1025*CC8</f>
        <v>411593.79824400001</v>
      </c>
      <c r="Y25" s="443">
        <f>'First Draft'!G1025*CD8</f>
        <v>203814.58321599997</v>
      </c>
      <c r="Z25" s="443">
        <f>'First Draft'!C1020*BZ8</f>
        <v>314184.29723999999</v>
      </c>
      <c r="AA25" s="443">
        <f>'First Draft'!D1020*CA8</f>
        <v>311619.44028700003</v>
      </c>
      <c r="AB25" s="443">
        <f>'First Draft'!E1020*CB8</f>
        <v>376800.92891999998</v>
      </c>
      <c r="AC25" s="443">
        <f>'First Draft'!F1020*CC8</f>
        <v>699387.13667399995</v>
      </c>
      <c r="AD25" s="443">
        <f>'First Draft'!G1020*CD8</f>
        <v>380272.29320799996</v>
      </c>
      <c r="AE25" s="61">
        <f t="shared" si="7"/>
        <v>-4.5821656557847645E-2</v>
      </c>
      <c r="AF25" s="61">
        <f t="shared" si="7"/>
        <v>-0.36532085247362261</v>
      </c>
      <c r="AG25" s="61">
        <f t="shared" si="7"/>
        <v>-5.2268575760813707E-3</v>
      </c>
      <c r="AH25" s="61">
        <f t="shared" si="7"/>
        <v>-1.156471451057027E-2</v>
      </c>
      <c r="AI25" s="61">
        <f t="shared" si="7"/>
        <v>2.0872415302838111E-2</v>
      </c>
      <c r="AJ25" s="61">
        <f t="shared" si="8"/>
        <v>-0.10799444293104915</v>
      </c>
      <c r="AK25" s="61">
        <f t="shared" si="9"/>
        <v>-0.57248966108252264</v>
      </c>
      <c r="AL25" s="61">
        <f t="shared" si="10"/>
        <v>-7.27315480922054E-3</v>
      </c>
      <c r="AM25" s="61">
        <f t="shared" si="11"/>
        <v>-3.4844145539865756E-2</v>
      </c>
      <c r="AN25" s="61">
        <f t="shared" si="12"/>
        <v>4.6258493729887426E-2</v>
      </c>
      <c r="AO25" s="434"/>
      <c r="AP25" s="434"/>
      <c r="AQ25" s="443">
        <f>'First Draft'!C1030*BZ8</f>
        <v>122692.415868</v>
      </c>
      <c r="AR25" s="443">
        <f>'First Draft'!D1030*CA8</f>
        <v>143922.13527500001</v>
      </c>
      <c r="AS25" s="443">
        <f>'First Draft'!E1030*CB8</f>
        <v>253783.14155999999</v>
      </c>
      <c r="AT25" s="443">
        <f>'First Draft'!F1030*CC8</f>
        <v>287793.33843</v>
      </c>
      <c r="AU25" s="443">
        <f>'First Draft'!G1030*CD8</f>
        <v>176457.53887999998</v>
      </c>
      <c r="AV25" s="443">
        <f>'Shareholder funds'!F25</f>
        <v>166709.76260399999</v>
      </c>
      <c r="AW25" s="534">
        <f>'Long Term Debt'!C8*BZ8</f>
        <v>97864.535736000005</v>
      </c>
      <c r="AX25" s="534">
        <f>'Long Term Debt'!D8*CA8</f>
        <v>101568.747032</v>
      </c>
      <c r="AY25" s="534">
        <f>'Long Term Debt'!E8*CB8</f>
        <v>630.45241999999996</v>
      </c>
      <c r="AZ25" s="534">
        <f>'Long Term Debt'!F8*CC8</f>
        <v>58738.962776</v>
      </c>
      <c r="BA25" s="534">
        <f>'Long Term Debt'!G8*CD8</f>
        <v>142335.92384799998</v>
      </c>
      <c r="BB25" s="553">
        <f t="shared" si="1"/>
        <v>5.5763864928969779E-2</v>
      </c>
      <c r="BC25" s="553">
        <f t="shared" si="2"/>
        <v>-0.13769757220338152</v>
      </c>
      <c r="BD25" s="553">
        <f t="shared" si="3"/>
        <v>-3.1239229599594527</v>
      </c>
      <c r="BE25" s="538">
        <f t="shared" si="4"/>
        <v>-2.022484498975885E-2</v>
      </c>
      <c r="BF25" s="538">
        <f t="shared" si="5"/>
        <v>-0.31661173893591515</v>
      </c>
      <c r="BG25" s="455">
        <f t="shared" si="6"/>
        <v>-1.0247954950658669</v>
      </c>
    </row>
    <row r="26" spans="1:59" ht="15" customHeight="1">
      <c r="A26" s="449">
        <v>2008</v>
      </c>
      <c r="B26" s="725"/>
      <c r="C26" s="450" t="s">
        <v>435</v>
      </c>
      <c r="D26" s="648">
        <v>0.3</v>
      </c>
      <c r="E26" s="633" t="s">
        <v>637</v>
      </c>
      <c r="F26" s="633" t="s">
        <v>594</v>
      </c>
      <c r="G26" s="632" t="s">
        <v>608</v>
      </c>
      <c r="H26" s="632" t="s">
        <v>620</v>
      </c>
      <c r="I26" s="648"/>
      <c r="J26" s="438" t="s">
        <v>256</v>
      </c>
      <c r="K26" s="448">
        <f>'First Draft'!C1037</f>
        <v>52777</v>
      </c>
      <c r="L26" s="448">
        <f>'First Draft'!D1037</f>
        <v>171837</v>
      </c>
      <c r="M26" s="448">
        <f>'First Draft'!E1037</f>
        <v>298303</v>
      </c>
      <c r="N26" s="448">
        <f>'First Draft'!F1037</f>
        <v>314608</v>
      </c>
      <c r="O26" s="448">
        <f>'First Draft'!G1037</f>
        <v>192981</v>
      </c>
      <c r="P26" s="448">
        <f>'First Draft'!C1041</f>
        <v>5567</v>
      </c>
      <c r="Q26" s="448">
        <f>'First Draft'!D1041</f>
        <v>-15905</v>
      </c>
      <c r="R26" s="448">
        <f>'First Draft'!E1041</f>
        <v>-90877</v>
      </c>
      <c r="S26" s="448">
        <f>'First Draft'!F1041</f>
        <v>11035</v>
      </c>
      <c r="T26" s="448">
        <f>'First Draft'!G1041</f>
        <v>56584</v>
      </c>
      <c r="U26" s="443">
        <f>'First Draft'!C1040</f>
        <v>75143</v>
      </c>
      <c r="V26" s="443">
        <f>'First Draft'!D1040</f>
        <v>31180</v>
      </c>
      <c r="W26" s="443">
        <f>'First Draft'!E1040</f>
        <v>207788</v>
      </c>
      <c r="X26" s="443">
        <f>'First Draft'!F1040</f>
        <v>267864</v>
      </c>
      <c r="Y26" s="443">
        <f>'First Draft'!G1040</f>
        <v>259436</v>
      </c>
      <c r="Z26" s="443">
        <f>'First Draft'!C1035</f>
        <v>200784</v>
      </c>
      <c r="AA26" s="443">
        <f>'First Draft'!D1035</f>
        <v>197249</v>
      </c>
      <c r="AB26" s="443">
        <f>'First Draft'!E1035</f>
        <v>373802</v>
      </c>
      <c r="AC26" s="443">
        <f>'First Draft'!F1035</f>
        <v>572416</v>
      </c>
      <c r="AD26" s="443">
        <f>'First Draft'!G1035</f>
        <v>552680</v>
      </c>
      <c r="AE26" s="61">
        <f t="shared" si="7"/>
        <v>2.7726312853613835E-2</v>
      </c>
      <c r="AF26" s="61">
        <f t="shared" si="7"/>
        <v>-8.0634122352965035E-2</v>
      </c>
      <c r="AG26" s="61">
        <f t="shared" si="7"/>
        <v>-0.24311533913676225</v>
      </c>
      <c r="AH26" s="61">
        <f t="shared" si="7"/>
        <v>1.9277937723613595E-2</v>
      </c>
      <c r="AI26" s="61">
        <f t="shared" si="7"/>
        <v>0.10238112470145473</v>
      </c>
      <c r="AJ26" s="61">
        <f t="shared" si="8"/>
        <v>3.8167912762974314E-2</v>
      </c>
      <c r="AK26" s="61">
        <f t="shared" si="9"/>
        <v>-9.5789017236602783E-2</v>
      </c>
      <c r="AL26" s="61">
        <f t="shared" si="10"/>
        <v>-0.38624550009987973</v>
      </c>
      <c r="AM26" s="61">
        <f t="shared" si="11"/>
        <v>3.6918887180765379E-2</v>
      </c>
      <c r="AN26" s="61">
        <f t="shared" si="12"/>
        <v>0.25542131958924508</v>
      </c>
      <c r="AO26" s="434"/>
      <c r="AP26" s="434"/>
      <c r="AQ26" s="443">
        <f>'First Draft'!C1045</f>
        <v>125641</v>
      </c>
      <c r="AR26" s="443">
        <f>'First Draft'!D1045</f>
        <v>166070</v>
      </c>
      <c r="AS26" s="443">
        <f>'First Draft'!E1045</f>
        <v>166014</v>
      </c>
      <c r="AT26" s="443">
        <f>'First Draft'!F1045</f>
        <v>304552</v>
      </c>
      <c r="AU26" s="443">
        <f>'First Draft'!G1045</f>
        <v>293245</v>
      </c>
      <c r="AV26" s="443">
        <f>'Shareholder funds'!F26</f>
        <v>149819.033112</v>
      </c>
      <c r="AW26" s="534">
        <f>'Long Term Debt'!C9</f>
        <v>0</v>
      </c>
      <c r="AX26" s="534">
        <f>'Long Term Debt'!D9</f>
        <v>0</v>
      </c>
      <c r="AY26" s="534">
        <f>'Long Term Debt'!E9</f>
        <v>73528</v>
      </c>
      <c r="AZ26" s="534">
        <f>'Long Term Debt'!F9</f>
        <v>102512</v>
      </c>
      <c r="BA26" s="534">
        <f>'Long Term Debt'!G9</f>
        <v>141620</v>
      </c>
      <c r="BB26" s="553">
        <f t="shared" si="1"/>
        <v>0.39954808642847056</v>
      </c>
      <c r="BC26" s="553">
        <f t="shared" si="2"/>
        <v>0.10764593413454035</v>
      </c>
      <c r="BD26" s="553">
        <f t="shared" si="3"/>
        <v>-1.2359509302578608</v>
      </c>
      <c r="BE26" s="538">
        <f t="shared" si="4"/>
        <v>0.20780469552750153</v>
      </c>
      <c r="BF26" s="538">
        <f t="shared" si="5"/>
        <v>-5.9094483107973578E-4</v>
      </c>
      <c r="BG26" s="455">
        <f t="shared" si="6"/>
        <v>-0.85857735472255847</v>
      </c>
    </row>
    <row r="27" spans="1:59" ht="15" customHeight="1">
      <c r="A27" s="449">
        <v>2006</v>
      </c>
      <c r="B27" s="725"/>
      <c r="C27" s="450" t="s">
        <v>487</v>
      </c>
      <c r="D27" s="648">
        <v>0.31</v>
      </c>
      <c r="E27" s="654" t="s">
        <v>629</v>
      </c>
      <c r="F27" s="684" t="s">
        <v>590</v>
      </c>
      <c r="G27" s="637" t="s">
        <v>604</v>
      </c>
      <c r="H27" s="637" t="s">
        <v>616</v>
      </c>
      <c r="I27" s="648"/>
      <c r="J27" s="438" t="s">
        <v>257</v>
      </c>
      <c r="K27" s="448">
        <f>'First Draft'!C1052*CB8</f>
        <v>45343.205309999998</v>
      </c>
      <c r="L27" s="448">
        <f>'First Draft'!D1052*CC8</f>
        <v>62112.467279999997</v>
      </c>
      <c r="M27" s="448">
        <f>'First Draft'!E1052*CD8</f>
        <v>51026.625071999995</v>
      </c>
      <c r="N27" s="448">
        <f>'First Draft'!F1052*CE8</f>
        <v>40224.972792</v>
      </c>
      <c r="O27" s="448">
        <f>'First Draft'!G1052*CF8</f>
        <v>42118.393852999994</v>
      </c>
      <c r="P27" s="448">
        <f>'First Draft'!C1056*CB8</f>
        <v>6001.9198200000001</v>
      </c>
      <c r="Q27" s="448">
        <f>'First Draft'!D1056*CC8</f>
        <v>12208.188544000001</v>
      </c>
      <c r="R27" s="448">
        <f>'First Draft'!E1056*CD8</f>
        <v>8090.0042479999993</v>
      </c>
      <c r="S27" s="448">
        <f>'First Draft'!F1056*CE8</f>
        <v>4982.342928</v>
      </c>
      <c r="T27" s="448">
        <f>'First Draft'!G1056*CF8</f>
        <v>8117.7697119999993</v>
      </c>
      <c r="U27" s="443">
        <f>'First Draft'!C1055*CB8</f>
        <v>27077.180519999998</v>
      </c>
      <c r="V27" s="443">
        <f>'First Draft'!D1055*CC8</f>
        <v>32326.961088</v>
      </c>
      <c r="W27" s="443">
        <f>'First Draft'!E1055*CD8</f>
        <v>18561.545311999998</v>
      </c>
      <c r="X27" s="443">
        <f>'First Draft'!F1055*CE8</f>
        <v>13281.044207999999</v>
      </c>
      <c r="Y27" s="443">
        <f>'First Draft'!G1055*CF8</f>
        <v>18460.587013999997</v>
      </c>
      <c r="Z27" s="443">
        <f>'First Draft'!C1050*CB8</f>
        <v>40763.717799999999</v>
      </c>
      <c r="AA27" s="443">
        <f>'First Draft'!D1050*CC8</f>
        <v>48174.198058000002</v>
      </c>
      <c r="AB27" s="443">
        <f>'First Draft'!E1050*CD8</f>
        <v>36209.694767999994</v>
      </c>
      <c r="AC27" s="443">
        <f>'First Draft'!F1050*CE8</f>
        <v>27731.337336000001</v>
      </c>
      <c r="AD27" s="443">
        <f>'First Draft'!G1050*CF8</f>
        <v>35323.213574999994</v>
      </c>
      <c r="AE27" s="61">
        <f t="shared" si="7"/>
        <v>0.14723681116249904</v>
      </c>
      <c r="AF27" s="61">
        <f t="shared" si="7"/>
        <v>0.25341757696312411</v>
      </c>
      <c r="AG27" s="61">
        <f t="shared" si="7"/>
        <v>0.22342094568412299</v>
      </c>
      <c r="AH27" s="61">
        <f t="shared" si="7"/>
        <v>0.17966471892908209</v>
      </c>
      <c r="AI27" s="61">
        <f t="shared" si="7"/>
        <v>0.22981402002861231</v>
      </c>
      <c r="AJ27" s="61">
        <f t="shared" si="8"/>
        <v>0.4064444841485168</v>
      </c>
      <c r="AK27" s="61">
        <f t="shared" si="9"/>
        <v>0.72894746689792977</v>
      </c>
      <c r="AL27" s="61">
        <f t="shared" si="10"/>
        <v>0.50407456541412365</v>
      </c>
      <c r="AM27" s="61">
        <f t="shared" si="11"/>
        <v>0.31822605472968529</v>
      </c>
      <c r="AN27" s="61">
        <f t="shared" si="12"/>
        <v>0.55335310617660205</v>
      </c>
      <c r="AO27" s="434"/>
      <c r="AP27" s="434"/>
      <c r="AQ27" s="443">
        <f>'First Draft'!C1060*CB8</f>
        <v>13686.53728</v>
      </c>
      <c r="AR27" s="443">
        <f>'First Draft'!D1060*CC8</f>
        <v>15847.23697</v>
      </c>
      <c r="AS27" s="443">
        <f>'First Draft'!E1060*CD8</f>
        <v>17648.149455999999</v>
      </c>
      <c r="AT27" s="443">
        <f>'First Draft'!F1060*CE8</f>
        <v>14450.293127999999</v>
      </c>
      <c r="AU27" s="443">
        <f>'First Draft'!G1060*CF8</f>
        <v>16862.937538999999</v>
      </c>
      <c r="AV27" s="443">
        <f>'Shareholder funds'!F27</f>
        <v>12477.350321999998</v>
      </c>
      <c r="AW27" s="534">
        <f>'Long Term Debt'!C10*CB8</f>
        <v>2732.5463099999997</v>
      </c>
      <c r="AX27" s="534">
        <f>'Long Term Debt'!D10*CC8</f>
        <v>2575.4344500000002</v>
      </c>
      <c r="AY27" s="534">
        <f>'Long Term Debt'!E10*CD8</f>
        <v>3093.8760719999996</v>
      </c>
      <c r="AZ27" s="534">
        <f>'Long Term Debt'!F10*CE8</f>
        <v>663.61510799999996</v>
      </c>
      <c r="BA27" s="534">
        <f>'Long Term Debt'!G10*CF8</f>
        <v>1255.7291639999999</v>
      </c>
      <c r="BB27" s="553">
        <f t="shared" si="1"/>
        <v>6.4645864289252106</v>
      </c>
      <c r="BC27" s="553">
        <f t="shared" si="2"/>
        <v>7.5078804987061876</v>
      </c>
      <c r="BD27" s="553">
        <f t="shared" si="3"/>
        <v>2.6148443117084232</v>
      </c>
      <c r="BE27" s="538">
        <f t="shared" si="4"/>
        <v>3.5725174604425858</v>
      </c>
      <c r="BF27" s="538">
        <f t="shared" si="5"/>
        <v>3.9755023729118193</v>
      </c>
      <c r="BG27" s="455">
        <f t="shared" si="6"/>
        <v>1.5860817057688281</v>
      </c>
    </row>
    <row r="28" spans="1:59" ht="15" customHeight="1">
      <c r="A28" s="449">
        <v>2005</v>
      </c>
      <c r="B28" s="725"/>
      <c r="C28" s="450" t="s">
        <v>487</v>
      </c>
      <c r="D28" s="647"/>
      <c r="E28" s="634" t="s">
        <v>636</v>
      </c>
      <c r="F28" s="634" t="s">
        <v>593</v>
      </c>
      <c r="G28" s="638" t="s">
        <v>604</v>
      </c>
      <c r="H28" s="638" t="s">
        <v>616</v>
      </c>
      <c r="I28" s="647"/>
      <c r="J28" s="438" t="s">
        <v>258</v>
      </c>
      <c r="K28" s="447">
        <f>'First Draft'!C1067*CC8</f>
        <v>9115.1502</v>
      </c>
      <c r="L28" s="447">
        <f>'First Draft'!D1067*CD8</f>
        <v>9066.7115439999998</v>
      </c>
      <c r="M28" s="447">
        <f>'First Draft'!E1067*CE8</f>
        <v>8152.8964079999996</v>
      </c>
      <c r="N28" s="447">
        <f>'First Draft'!F1067*CF8</f>
        <v>8511.1568819999993</v>
      </c>
      <c r="O28" s="447">
        <f>'First Draft'!G1067*CG8</f>
        <v>8113.5259739999992</v>
      </c>
      <c r="P28" s="447">
        <f>'First Draft'!C1071*CC8</f>
        <v>-20.67539</v>
      </c>
      <c r="Q28" s="447">
        <f>'First Draft'!D1071*CD8</f>
        <v>661.34787999999992</v>
      </c>
      <c r="R28" s="447">
        <f>'First Draft'!E1071*CE8</f>
        <v>729.96100799999999</v>
      </c>
      <c r="S28" s="447">
        <f>'First Draft'!F1071*CF8</f>
        <v>384.21331899999996</v>
      </c>
      <c r="T28" s="447">
        <f>'First Draft'!G1071*CG8</f>
        <v>1706.9370839999999</v>
      </c>
      <c r="U28" s="443">
        <f>'First Draft'!C1070*CC8</f>
        <v>5572.6468560000003</v>
      </c>
      <c r="V28" s="443">
        <f>'First Draft'!D1070*CD8</f>
        <v>7262.5066159999997</v>
      </c>
      <c r="W28" s="443">
        <f>'First Draft'!E1070*CE8</f>
        <v>5033.7024599999995</v>
      </c>
      <c r="X28" s="443">
        <f>'First Draft'!F1070*CF8</f>
        <v>3921.7435579999997</v>
      </c>
      <c r="Y28" s="443">
        <f>'First Draft'!G1070*CG8</f>
        <v>3155.4996119999996</v>
      </c>
      <c r="Z28" s="443">
        <f>'First Draft'!C1065*CC8</f>
        <v>9447.5745139999999</v>
      </c>
      <c r="AA28" s="443">
        <f>'First Draft'!D1065*CD8</f>
        <v>11416.934863999999</v>
      </c>
      <c r="AB28" s="443">
        <f>'First Draft'!E1065*CE8</f>
        <v>8766.0886319999991</v>
      </c>
      <c r="AC28" s="443">
        <f>'First Draft'!F1065*CF8</f>
        <v>8151.8218029999998</v>
      </c>
      <c r="AD28" s="443">
        <f>'First Draft'!G1065*CG8</f>
        <v>7633.9423619999998</v>
      </c>
      <c r="AE28" s="61">
        <f t="shared" si="7"/>
        <v>-2.1884336524006166E-3</v>
      </c>
      <c r="AF28" s="61">
        <f t="shared" si="7"/>
        <v>5.792692065585564E-2</v>
      </c>
      <c r="AG28" s="61">
        <f t="shared" si="7"/>
        <v>8.3271004736973325E-2</v>
      </c>
      <c r="AH28" s="61">
        <f t="shared" si="7"/>
        <v>4.7132202872565657E-2</v>
      </c>
      <c r="AI28" s="61">
        <f t="shared" si="7"/>
        <v>0.22359837198886098</v>
      </c>
      <c r="AJ28" s="61">
        <f t="shared" si="8"/>
        <v>-5.14994981964871E-3</v>
      </c>
      <c r="AK28" s="61">
        <f t="shared" si="9"/>
        <v>0.16770976081874131</v>
      </c>
      <c r="AL28" s="61">
        <f t="shared" si="10"/>
        <v>0.18335052309722619</v>
      </c>
      <c r="AM28" s="61">
        <f t="shared" si="11"/>
        <v>8.8238477973606816E-2</v>
      </c>
      <c r="AN28" s="61">
        <f t="shared" si="12"/>
        <v>0.45451261104081969</v>
      </c>
      <c r="AO28" s="434"/>
      <c r="AP28" s="434"/>
      <c r="AQ28" s="443">
        <f>'First Draft'!C1075*CC8</f>
        <v>3874.9276580000001</v>
      </c>
      <c r="AR28" s="443">
        <f>'First Draft'!D1075*CD8</f>
        <v>4154.4282479999993</v>
      </c>
      <c r="AS28" s="443">
        <f>'First Draft'!E1075*CE8</f>
        <v>3732.386172</v>
      </c>
      <c r="AT28" s="443">
        <f>'First Draft'!F1075*CF8</f>
        <v>4230.0782449999997</v>
      </c>
      <c r="AU28" s="443">
        <f>'First Draft'!G1075*CG8</f>
        <v>4478.4427499999993</v>
      </c>
      <c r="AV28" s="443">
        <f>'Shareholder funds'!F28</f>
        <v>3032.623137</v>
      </c>
      <c r="AW28" s="534">
        <f>'Long Term Debt'!C11*CC8</f>
        <v>1510.2024000000001</v>
      </c>
      <c r="AX28" s="534">
        <f>'Long Term Debt'!D11*CD8</f>
        <v>1296.8578479999999</v>
      </c>
      <c r="AY28" s="534">
        <f>'Long Term Debt'!E11*CE8</f>
        <v>887.00565599999993</v>
      </c>
      <c r="AZ28" s="534">
        <f>'Long Term Debt'!F11*CF8</f>
        <v>1306.1075999999998</v>
      </c>
      <c r="BA28" s="534">
        <f>'Long Term Debt'!G11*CG8</f>
        <v>1782.3087179999998</v>
      </c>
      <c r="BB28" s="553">
        <f t="shared" si="1"/>
        <v>0.95771123529902413</v>
      </c>
      <c r="BC28" s="553">
        <f t="shared" si="2"/>
        <v>0.29416666666666669</v>
      </c>
      <c r="BD28" s="553">
        <f t="shared" si="3"/>
        <v>0.82294966561070049</v>
      </c>
      <c r="BE28" s="538">
        <f t="shared" si="4"/>
        <v>0.39284992389905105</v>
      </c>
      <c r="BF28" s="538">
        <f t="shared" si="5"/>
        <v>0.22854665934996327</v>
      </c>
      <c r="BG28" s="455">
        <f t="shared" si="6"/>
        <v>0.55062399160075182</v>
      </c>
    </row>
    <row r="29" spans="1:59" ht="15" customHeight="1">
      <c r="A29" s="680">
        <v>2013</v>
      </c>
      <c r="B29" s="718"/>
      <c r="C29" s="735"/>
      <c r="D29" s="705">
        <v>0.1</v>
      </c>
      <c r="E29" s="704" t="s">
        <v>636</v>
      </c>
      <c r="F29" s="737" t="s">
        <v>593</v>
      </c>
      <c r="G29" s="770" t="s">
        <v>601</v>
      </c>
      <c r="H29" s="770" t="s">
        <v>614</v>
      </c>
      <c r="I29" s="705"/>
      <c r="J29" s="708" t="s">
        <v>259</v>
      </c>
      <c r="K29" s="730">
        <f>'First Draft'!C1083</f>
        <v>3845</v>
      </c>
      <c r="L29" s="730">
        <f>'First Draft'!D1083</f>
        <v>4413</v>
      </c>
      <c r="M29" s="730">
        <f>'First Draft'!E1083</f>
        <v>4479</v>
      </c>
      <c r="N29" s="730">
        <f>'First Draft'!F1083</f>
        <v>1898.0262976884801</v>
      </c>
      <c r="O29" s="730">
        <f>'First Draft'!G1083</f>
        <v>874.86534878611599</v>
      </c>
      <c r="P29" s="730">
        <f>'First Draft'!C1087</f>
        <v>-44213</v>
      </c>
      <c r="Q29" s="730">
        <f>'First Draft'!D1087</f>
        <v>-31788</v>
      </c>
      <c r="R29" s="730">
        <f>'First Draft'!E1087</f>
        <v>-25796</v>
      </c>
      <c r="S29" s="730">
        <f>'First Draft'!F1087</f>
        <v>-13695.065658867399</v>
      </c>
      <c r="T29" s="730">
        <f>'First Draft'!G1087</f>
        <v>-8388.68939504027</v>
      </c>
      <c r="U29" s="756">
        <f>'First Draft'!C1086</f>
        <v>20639</v>
      </c>
      <c r="V29" s="756">
        <f>'First Draft'!D1086</f>
        <v>5170</v>
      </c>
      <c r="W29" s="756">
        <f>'First Draft'!E1086</f>
        <v>4748</v>
      </c>
      <c r="X29" s="756">
        <f>'First Draft'!F1086</f>
        <v>5867.7631019353903</v>
      </c>
      <c r="Y29" s="756">
        <f>'First Draft'!G1086</f>
        <v>1764.9910207092801</v>
      </c>
      <c r="Z29" s="756">
        <f>'First Draft'!C1081</f>
        <v>104134</v>
      </c>
      <c r="AA29" s="756">
        <f>'First Draft'!D1081</f>
        <v>29815</v>
      </c>
      <c r="AB29" s="756">
        <f>'First Draft'!E1081</f>
        <v>41059</v>
      </c>
      <c r="AC29" s="756">
        <f>'First Draft'!F1081</f>
        <v>48253.124539822304</v>
      </c>
      <c r="AD29" s="756">
        <f>'First Draft'!G1081</f>
        <v>7177.9174040257903</v>
      </c>
      <c r="AE29" s="61">
        <f t="shared" si="7"/>
        <v>-0.42457794764438128</v>
      </c>
      <c r="AF29" s="61">
        <f t="shared" si="7"/>
        <v>-1.0661747442562468</v>
      </c>
      <c r="AG29" s="61">
        <f t="shared" si="7"/>
        <v>-0.6282666406877907</v>
      </c>
      <c r="AH29" s="61">
        <f t="shared" si="7"/>
        <v>-0.2838171784619905</v>
      </c>
      <c r="AI29" s="61">
        <f t="shared" si="7"/>
        <v>-1.1686801230584527</v>
      </c>
      <c r="AJ29" s="61">
        <f t="shared" si="8"/>
        <v>-0.8176992787127797</v>
      </c>
      <c r="AK29" s="61">
        <f t="shared" si="9"/>
        <v>-1.042981822954262</v>
      </c>
      <c r="AL29" s="61">
        <f t="shared" si="10"/>
        <v>-0.65558304167239334</v>
      </c>
      <c r="AM29" s="61">
        <f t="shared" si="11"/>
        <v>-0.57303582547123011</v>
      </c>
      <c r="AN29" s="61">
        <f t="shared" si="12"/>
        <v>-2.7342861928229696</v>
      </c>
      <c r="AO29" s="434"/>
      <c r="AP29" s="434"/>
      <c r="AQ29" s="756">
        <f>'First Draft'!C1091</f>
        <v>83495</v>
      </c>
      <c r="AR29" s="756">
        <f>'First Draft'!D1091</f>
        <v>24645</v>
      </c>
      <c r="AS29" s="756">
        <f>'First Draft'!E1091</f>
        <v>36311</v>
      </c>
      <c r="AT29" s="756">
        <f>'First Draft'!F1091</f>
        <v>42385.361437886997</v>
      </c>
      <c r="AU29" s="756">
        <f>'First Draft'!G1091</f>
        <v>5412.9263833165196</v>
      </c>
      <c r="AV29" s="443">
        <f>'Shareholder funds'!F29</f>
        <v>723</v>
      </c>
      <c r="AW29" s="756">
        <f>'First Draft'!C1084</f>
        <v>12850</v>
      </c>
      <c r="AX29" s="756">
        <f>'First Draft'!D1084</f>
        <v>0</v>
      </c>
      <c r="AY29" s="756">
        <f>'First Draft'!E1084</f>
        <v>0</v>
      </c>
      <c r="AZ29" s="756">
        <f>'First Draft'!F1084</f>
        <v>0</v>
      </c>
      <c r="BA29" s="756">
        <f>'First Draft'!G1084</f>
        <v>0</v>
      </c>
      <c r="BB29" s="743" t="e">
        <f t="shared" si="1"/>
        <v>#DIV/0!</v>
      </c>
      <c r="BC29" s="743" t="e">
        <f t="shared" si="2"/>
        <v>#DIV/0!</v>
      </c>
      <c r="BD29" s="743" t="e">
        <f t="shared" si="3"/>
        <v>#DIV/0!</v>
      </c>
      <c r="BE29" s="766" t="e">
        <f t="shared" si="4"/>
        <v>#DIV/0!</v>
      </c>
      <c r="BF29" s="766" t="e">
        <f t="shared" si="5"/>
        <v>#DIV/0!</v>
      </c>
      <c r="BG29" s="760" t="e">
        <f t="shared" si="6"/>
        <v>#DIV/0!</v>
      </c>
    </row>
    <row r="30" spans="1:59" ht="15" customHeight="1">
      <c r="A30" s="680">
        <v>2010</v>
      </c>
      <c r="B30" s="716"/>
      <c r="C30" s="735" t="s">
        <v>487</v>
      </c>
      <c r="D30" s="705">
        <v>0.21</v>
      </c>
      <c r="E30" s="704" t="s">
        <v>638</v>
      </c>
      <c r="F30" s="737" t="s">
        <v>595</v>
      </c>
      <c r="G30" s="770" t="s">
        <v>607</v>
      </c>
      <c r="H30" s="770" t="s">
        <v>619</v>
      </c>
      <c r="I30" s="705"/>
      <c r="J30" s="708" t="s">
        <v>260</v>
      </c>
      <c r="K30" s="722">
        <f>'First Draft'!C1098*BX8</f>
        <v>61.977187999999998</v>
      </c>
      <c r="L30" s="722">
        <f>'First Draft'!D1098*BY8</f>
        <v>45.731783999999998</v>
      </c>
      <c r="M30" s="722">
        <f>'First Draft'!E1098*BZ8</f>
        <v>67.687883999999997</v>
      </c>
      <c r="N30" s="722">
        <f>'First Draft'!F1098*CA8</f>
        <v>0.165661</v>
      </c>
      <c r="O30" s="722">
        <f>'First Draft'!G1098*CB8</f>
        <v>0.15977</v>
      </c>
      <c r="P30" s="722">
        <f>'First Draft'!C1102*BX8</f>
        <v>1212.1307730000001</v>
      </c>
      <c r="Q30" s="722">
        <f>'First Draft'!D1102*BY8</f>
        <v>-11256.895823999999</v>
      </c>
      <c r="R30" s="722">
        <f>'First Draft'!E1102*BZ8</f>
        <v>-3766.5896400000001</v>
      </c>
      <c r="S30" s="722">
        <f>'First Draft'!F1102*CA8</f>
        <v>670.43006700000001</v>
      </c>
      <c r="T30" s="722">
        <f>'First Draft'!G1102*CB8</f>
        <v>-11580.768679999999</v>
      </c>
      <c r="U30" s="756">
        <f>'First Draft'!C1101*BX8</f>
        <v>813.53572599999995</v>
      </c>
      <c r="V30" s="756">
        <f>'First Draft'!D1101*BY8</f>
        <v>488.43608399999999</v>
      </c>
      <c r="W30" s="756">
        <f>'First Draft'!E1101*BZ8</f>
        <v>456.134184</v>
      </c>
      <c r="X30" s="756">
        <f>'First Draft'!F1101*CA8</f>
        <v>894.56939999999997</v>
      </c>
      <c r="Y30" s="756">
        <f>'First Draft'!G1101*CB8</f>
        <v>959.09930999999995</v>
      </c>
      <c r="Z30" s="756">
        <f>'First Draft'!C1096*BX8</f>
        <v>80733.800719999999</v>
      </c>
      <c r="AA30" s="756">
        <f>'First Draft'!D1096*BY8</f>
        <v>79798.52459999999</v>
      </c>
      <c r="AB30" s="756">
        <f>'First Draft'!E1096*BZ8</f>
        <v>93803.262696000005</v>
      </c>
      <c r="AC30" s="756">
        <f>'First Draft'!F1096*CA8</f>
        <v>96478.978468000001</v>
      </c>
      <c r="AD30" s="756">
        <f>'First Draft'!G1096*CB8</f>
        <v>92349.296780000004</v>
      </c>
      <c r="AE30" s="61">
        <f t="shared" si="7"/>
        <v>1.501391935211743E-2</v>
      </c>
      <c r="AF30" s="61">
        <f t="shared" si="7"/>
        <v>-0.14106646558224711</v>
      </c>
      <c r="AG30" s="61">
        <f t="shared" si="7"/>
        <v>-4.0154143168845413E-2</v>
      </c>
      <c r="AH30" s="61">
        <f t="shared" si="7"/>
        <v>6.9489755970246637E-3</v>
      </c>
      <c r="AI30" s="61">
        <f t="shared" si="7"/>
        <v>-0.12540180687665003</v>
      </c>
      <c r="AJ30" s="61">
        <f t="shared" si="8"/>
        <v>1.5224870714412825E-2</v>
      </c>
      <c r="AK30" s="61">
        <f t="shared" si="9"/>
        <v>-0.13039589097714296</v>
      </c>
      <c r="AL30" s="61">
        <f t="shared" si="10"/>
        <v>-3.9872534657217816E-2</v>
      </c>
      <c r="AM30" s="61">
        <f t="shared" si="11"/>
        <v>7.1713488736637014E-3</v>
      </c>
      <c r="AN30" s="61">
        <f t="shared" si="12"/>
        <v>-0.11183060332232921</v>
      </c>
      <c r="AO30" s="434"/>
      <c r="AP30" s="434"/>
      <c r="AQ30" s="756">
        <f>'First Draft'!C1106*BX8</f>
        <v>79920.264993999997</v>
      </c>
      <c r="AR30" s="756">
        <f>'First Draft'!D1106*BY8</f>
        <v>79310.088516000003</v>
      </c>
      <c r="AS30" s="756">
        <f>'First Draft'!E1106*BZ8</f>
        <v>93347.128511999996</v>
      </c>
      <c r="AT30" s="756">
        <f>'First Draft'!F1106*CA8</f>
        <v>95584.409068000008</v>
      </c>
      <c r="AU30" s="756">
        <f>'First Draft'!G1106*CB8</f>
        <v>91390.197469999999</v>
      </c>
      <c r="AV30" s="443">
        <f>'Shareholder funds'!F30</f>
        <v>115722.495048</v>
      </c>
      <c r="AW30" s="756">
        <f>'Long Term Debt'!C12*BX8</f>
        <v>462.785706</v>
      </c>
      <c r="AX30" s="756">
        <f>'Long Term Debt'!D12*BY8</f>
        <v>0</v>
      </c>
      <c r="AY30" s="756">
        <f>'Long Term Debt'!E12*BZ8</f>
        <v>0</v>
      </c>
      <c r="AZ30" s="756">
        <f>'Long Term Debt'!F12*CA8</f>
        <v>0</v>
      </c>
      <c r="BA30" s="756">
        <f>'Long Term Debt'!G12*CB8</f>
        <v>0</v>
      </c>
      <c r="BB30" s="743" t="e">
        <f t="shared" si="1"/>
        <v>#DIV/0!</v>
      </c>
      <c r="BC30" s="743" t="e">
        <f t="shared" si="2"/>
        <v>#DIV/0!</v>
      </c>
      <c r="BD30" s="743" t="e">
        <f t="shared" si="3"/>
        <v>#DIV/0!</v>
      </c>
      <c r="BE30" s="766" t="e">
        <f t="shared" si="4"/>
        <v>#DIV/0!</v>
      </c>
      <c r="BF30" s="766" t="e">
        <f t="shared" si="5"/>
        <v>#DIV/0!</v>
      </c>
      <c r="BG30" s="760" t="e">
        <f t="shared" si="6"/>
        <v>#DIV/0!</v>
      </c>
    </row>
    <row r="31" spans="1:59" ht="15" customHeight="1">
      <c r="A31" s="449">
        <v>2010</v>
      </c>
      <c r="B31" s="725"/>
      <c r="C31" s="450" t="s">
        <v>487</v>
      </c>
      <c r="D31" s="647"/>
      <c r="E31" s="634" t="s">
        <v>631</v>
      </c>
      <c r="F31" s="634" t="s">
        <v>582</v>
      </c>
      <c r="G31" s="638" t="s">
        <v>601</v>
      </c>
      <c r="H31" s="638" t="s">
        <v>614</v>
      </c>
      <c r="I31" s="647"/>
      <c r="J31" s="438" t="s">
        <v>309</v>
      </c>
      <c r="K31" s="447">
        <f>'First Draft'!C1114*BX8</f>
        <v>64535.449675000003</v>
      </c>
      <c r="L31" s="447">
        <f>'First Draft'!D1114*BY8</f>
        <v>72632.560356000002</v>
      </c>
      <c r="M31" s="447">
        <f>'First Draft'!E1114*BZ8</f>
        <v>86006.654316</v>
      </c>
      <c r="N31" s="447">
        <f>'First Draft'!F1114*CA8</f>
        <v>96894.621916999997</v>
      </c>
      <c r="O31" s="447">
        <f>'First Draft'!G1114*CB8</f>
        <v>103975.59990999999</v>
      </c>
      <c r="P31" s="447">
        <f>'First Draft'!C1118*BX8</f>
        <v>-2330.6146960000001</v>
      </c>
      <c r="Q31" s="447">
        <f>'First Draft'!D1118*BY8</f>
        <v>6413.2809719999996</v>
      </c>
      <c r="R31" s="447">
        <f>'First Draft'!E1118*BZ8</f>
        <v>5955.8194080000003</v>
      </c>
      <c r="S31" s="447">
        <f>'First Draft'!F1118*CA8</f>
        <v>5228.758143</v>
      </c>
      <c r="T31" s="447">
        <f>'First Draft'!G1118*CB8</f>
        <v>5910.2118399999999</v>
      </c>
      <c r="U31" s="443">
        <f>'First Draft'!C1117*BX8</f>
        <v>41573.582588999998</v>
      </c>
      <c r="V31" s="443">
        <f>'First Draft'!D1117*BY8</f>
        <v>33413.257475999999</v>
      </c>
      <c r="W31" s="443">
        <f>'First Draft'!E1117*BZ8</f>
        <v>17855.1351</v>
      </c>
      <c r="X31" s="443">
        <f>'First Draft'!F1117*CA8</f>
        <v>18140.210822000001</v>
      </c>
      <c r="Y31" s="443">
        <f>'First Draft'!G1117*CB8</f>
        <v>34813.723229999996</v>
      </c>
      <c r="Z31" s="443">
        <f>'First Draft'!C1112*BX8</f>
        <v>73183.821406000003</v>
      </c>
      <c r="AA31" s="443">
        <f>'First Draft'!D1112*BY8</f>
        <v>67684.587635999997</v>
      </c>
      <c r="AB31" s="443">
        <f>'First Draft'!E1112*BZ8</f>
        <v>49830.248555999999</v>
      </c>
      <c r="AC31" s="443">
        <f>'First Draft'!F1112*CA8</f>
        <v>42275.030590000002</v>
      </c>
      <c r="AD31" s="443">
        <f>'First Draft'!G1112*CB8</f>
        <v>53047.474479999997</v>
      </c>
      <c r="AE31" s="61">
        <f t="shared" si="7"/>
        <v>-3.1846037159914194E-2</v>
      </c>
      <c r="AF31" s="61">
        <f t="shared" si="7"/>
        <v>9.4752456888559239E-2</v>
      </c>
      <c r="AG31" s="61">
        <f t="shared" si="7"/>
        <v>0.11952216937683462</v>
      </c>
      <c r="AH31" s="61">
        <f t="shared" si="7"/>
        <v>0.12368431364865394</v>
      </c>
      <c r="AI31" s="61">
        <f t="shared" si="7"/>
        <v>0.1114136327494398</v>
      </c>
      <c r="AJ31" s="61">
        <f t="shared" si="8"/>
        <v>-7.0751645177534975E-2</v>
      </c>
      <c r="AK31" s="61">
        <f t="shared" si="9"/>
        <v>0.19361835389814908</v>
      </c>
      <c r="AL31" s="61">
        <f t="shared" si="10"/>
        <v>0.21228978630578876</v>
      </c>
      <c r="AM31" s="61">
        <f t="shared" si="11"/>
        <v>0.24682152704315236</v>
      </c>
      <c r="AN31" s="61">
        <f t="shared" si="12"/>
        <v>0.24453133132702642</v>
      </c>
      <c r="AO31" s="434"/>
      <c r="AP31" s="434"/>
      <c r="AQ31" s="443">
        <f>'First Draft'!C1122*BX8</f>
        <v>31610.238817000001</v>
      </c>
      <c r="AR31" s="443">
        <f>'First Draft'!D1122*BY8</f>
        <v>34271.330159999998</v>
      </c>
      <c r="AS31" s="443">
        <f>'First Draft'!E1122*BZ8</f>
        <v>31975.292052000001</v>
      </c>
      <c r="AT31" s="443">
        <f>'First Draft'!F1122*CA8</f>
        <v>24134.985429</v>
      </c>
      <c r="AU31" s="443">
        <f>'First Draft'!G1122*CB8</f>
        <v>18233.751250000001</v>
      </c>
      <c r="AV31" s="443">
        <f>'Shareholder funds'!F31</f>
        <v>30105.345486000002</v>
      </c>
      <c r="AW31" s="443">
        <f>'Long Term Debt'!C13*BX8</f>
        <v>20991.537361999999</v>
      </c>
      <c r="AX31" s="443">
        <f>'Long Term Debt'!D13*BY8</f>
        <v>10631.436312</v>
      </c>
      <c r="AY31" s="443">
        <f>'Long Term Debt'!E13*BZ8</f>
        <v>331.29558000000003</v>
      </c>
      <c r="AZ31" s="443">
        <f>'Long Term Debt'!F13*CA8</f>
        <v>421.93856700000003</v>
      </c>
      <c r="BA31" s="443">
        <f>'Long Term Debt'!G13*CB8</f>
        <v>686.69146000000001</v>
      </c>
      <c r="BB31" s="553">
        <f t="shared" si="1"/>
        <v>8.6067938576081904</v>
      </c>
      <c r="BC31" s="553">
        <f t="shared" si="2"/>
        <v>12.392226148409893</v>
      </c>
      <c r="BD31" s="553">
        <f t="shared" si="3"/>
        <v>17.977358490566036</v>
      </c>
      <c r="BE31" s="538">
        <f t="shared" si="4"/>
        <v>5.6241032072171917</v>
      </c>
      <c r="BF31" s="538">
        <f t="shared" si="5"/>
        <v>5.4280190604850782</v>
      </c>
      <c r="BG31" s="455">
        <f t="shared" si="6"/>
        <v>6.577832285224896</v>
      </c>
    </row>
    <row r="32" spans="1:59" ht="15" customHeight="1">
      <c r="A32" s="449">
        <v>2016</v>
      </c>
      <c r="B32" s="725"/>
      <c r="C32" s="450" t="s">
        <v>487</v>
      </c>
      <c r="D32" s="648">
        <v>0.2</v>
      </c>
      <c r="E32" s="633" t="s">
        <v>634</v>
      </c>
      <c r="F32" s="633" t="s">
        <v>589</v>
      </c>
      <c r="G32" s="632" t="s">
        <v>601</v>
      </c>
      <c r="H32" s="632" t="s">
        <v>614</v>
      </c>
      <c r="I32" s="648"/>
      <c r="J32" s="438" t="s">
        <v>310</v>
      </c>
      <c r="K32" s="447">
        <f>'First Draft'!C1129*BR8</f>
        <v>8255.9433109999991</v>
      </c>
      <c r="L32" s="447">
        <f>'First Draft'!D1129*BS8</f>
        <v>4696.4142540000003</v>
      </c>
      <c r="M32" s="447">
        <f>'First Draft'!E1129*BT8</f>
        <v>4629.4427740000001</v>
      </c>
      <c r="N32" s="447">
        <f>'First Draft'!F1129*BU8</f>
        <v>4090.7801330000002</v>
      </c>
      <c r="O32" s="447">
        <f>'First Draft'!G1129*BV8</f>
        <v>5412.2783680000002</v>
      </c>
      <c r="P32" s="447">
        <f>'First Draft'!C1133*BR8</f>
        <v>18608.533061999999</v>
      </c>
      <c r="Q32" s="447">
        <f>'First Draft'!D1133*BS8</f>
        <v>15144.980063999999</v>
      </c>
      <c r="R32" s="447">
        <f>'First Draft'!E1133*BT8</f>
        <v>15012.305066000001</v>
      </c>
      <c r="S32" s="447">
        <f>'First Draft'!F1133*BU8</f>
        <v>5905.3859590000002</v>
      </c>
      <c r="T32" s="447">
        <f>'First Draft'!G1133*BV8</f>
        <v>-203.10951</v>
      </c>
      <c r="U32" s="443">
        <f>'First Draft'!C1132*BR8</f>
        <v>162948.88263499999</v>
      </c>
      <c r="V32" s="443">
        <f>'First Draft'!D1132*BS8</f>
        <v>71955.621851999997</v>
      </c>
      <c r="W32" s="443">
        <f>'First Draft'!E1132*BT8</f>
        <v>65500.580112000003</v>
      </c>
      <c r="X32" s="443">
        <f>'First Draft'!F1132*BU8</f>
        <v>58864.446266999999</v>
      </c>
      <c r="Y32" s="443">
        <f>'First Draft'!G1132*BV8</f>
        <v>61211.988821999999</v>
      </c>
      <c r="Z32" s="443">
        <f>'First Draft'!C1127*BR8</f>
        <v>349944.50346099999</v>
      </c>
      <c r="AA32" s="443">
        <f>'First Draft'!D1127*BS8</f>
        <v>192785.47529999999</v>
      </c>
      <c r="AB32" s="443">
        <f>'First Draft'!E1127*BT8</f>
        <v>171711.53978000002</v>
      </c>
      <c r="AC32" s="443">
        <f>'First Draft'!F1127*BU8</f>
        <v>153253.35531000001</v>
      </c>
      <c r="AD32" s="443">
        <f>'First Draft'!G1127*BV8</f>
        <v>72442.516126000002</v>
      </c>
      <c r="AE32" s="61">
        <f t="shared" si="7"/>
        <v>5.3175668935957016E-2</v>
      </c>
      <c r="AF32" s="61">
        <f t="shared" si="7"/>
        <v>7.8558719428589649E-2</v>
      </c>
      <c r="AG32" s="61">
        <f t="shared" si="7"/>
        <v>8.742746751461225E-2</v>
      </c>
      <c r="AH32" s="61">
        <f t="shared" si="7"/>
        <v>3.8533485593542922E-2</v>
      </c>
      <c r="AI32" s="61">
        <f t="shared" si="7"/>
        <v>-2.8037335098456489E-3</v>
      </c>
      <c r="AJ32" s="61">
        <f t="shared" si="8"/>
        <v>0.12090323564322987</v>
      </c>
      <c r="AK32" s="61">
        <f t="shared" si="9"/>
        <v>0.13341217673136915</v>
      </c>
      <c r="AL32" s="61">
        <f t="shared" si="10"/>
        <v>0.14967421686459123</v>
      </c>
      <c r="AM32" s="61">
        <f t="shared" si="11"/>
        <v>0.11182398067949256</v>
      </c>
      <c r="AN32" s="61">
        <f t="shared" si="12"/>
        <v>-1.5891264221585516E-2</v>
      </c>
      <c r="AO32" s="434"/>
      <c r="AP32" s="434"/>
      <c r="AQ32" s="443">
        <f>'First Draft'!C1137*BR8</f>
        <v>186995.620826</v>
      </c>
      <c r="AR32" s="443">
        <f>'First Draft'!D1137*BS8</f>
        <v>120829.607556</v>
      </c>
      <c r="AS32" s="443">
        <f>'First Draft'!E1137*BT8</f>
        <v>106210.838602</v>
      </c>
      <c r="AT32" s="443">
        <f>'First Draft'!F1137*BU8</f>
        <v>94388.909043000007</v>
      </c>
      <c r="AU32" s="443">
        <f>'First Draft'!G1137*BV8</f>
        <v>11230.403078000001</v>
      </c>
      <c r="AV32" s="443">
        <f>'Shareholder funds'!F32</f>
        <v>14332.007460000001</v>
      </c>
      <c r="AW32" s="443">
        <f>'Long Term Debt'!C14*BR8</f>
        <v>208129.56679899999</v>
      </c>
      <c r="AX32" s="443">
        <f>'Long Term Debt'!D14*BS8</f>
        <v>78412.991664000001</v>
      </c>
      <c r="AY32" s="443">
        <f>'Long Term Debt'!E14*BT8</f>
        <v>71647.827327999999</v>
      </c>
      <c r="AZ32" s="443">
        <f>'Long Term Debt'!F14*BU8</f>
        <v>87736.822668000008</v>
      </c>
      <c r="BA32" s="443">
        <f>'Long Term Debt'!G14*BV8</f>
        <v>50610.541982000002</v>
      </c>
      <c r="BB32" s="553">
        <f t="shared" si="1"/>
        <v>-4.013185831367649E-3</v>
      </c>
      <c r="BC32" s="553">
        <f t="shared" si="2"/>
        <v>6.7307953256368083E-2</v>
      </c>
      <c r="BD32" s="553">
        <f t="shared" si="3"/>
        <v>0.2095291040337407</v>
      </c>
      <c r="BE32" s="538">
        <f t="shared" si="4"/>
        <v>1.5352019091153211E-2</v>
      </c>
      <c r="BF32" s="538">
        <f t="shared" si="5"/>
        <v>0.10802161674725078</v>
      </c>
      <c r="BG32" s="455">
        <f t="shared" si="6"/>
        <v>0.17250630259004651</v>
      </c>
    </row>
    <row r="33" spans="1:59" ht="15" customHeight="1">
      <c r="A33" s="449">
        <v>2008</v>
      </c>
      <c r="B33" s="725"/>
      <c r="C33" s="450" t="s">
        <v>487</v>
      </c>
      <c r="D33" s="647"/>
      <c r="E33" s="634" t="s">
        <v>576</v>
      </c>
      <c r="F33" s="639" t="s">
        <v>596</v>
      </c>
      <c r="G33" s="636" t="s">
        <v>604</v>
      </c>
      <c r="H33" s="636" t="s">
        <v>616</v>
      </c>
      <c r="I33" s="647"/>
      <c r="J33" s="438" t="s">
        <v>311</v>
      </c>
      <c r="K33" s="447">
        <f>'First Draft'!C1144*BZ8</f>
        <v>292775.99472000002</v>
      </c>
      <c r="L33" s="447">
        <f>'First Draft'!D1144*CA8</f>
        <v>321159.028972</v>
      </c>
      <c r="M33" s="447">
        <f>'First Draft'!E1144*CB8</f>
        <v>240863.02096999998</v>
      </c>
      <c r="N33" s="447">
        <f>'First Draft'!F1144*CC8</f>
        <v>347438.06307400001</v>
      </c>
      <c r="O33" s="447">
        <f>'First Draft'!G1144*CD8</f>
        <v>202967.40770399998</v>
      </c>
      <c r="P33" s="447">
        <f>'First Draft'!C1148*BZ8</f>
        <v>95543.144928000009</v>
      </c>
      <c r="Q33" s="447">
        <f>'First Draft'!D1148*CA8</f>
        <v>113412.183244</v>
      </c>
      <c r="R33" s="447">
        <f>'First Draft'!E1148*CB8</f>
        <v>76435.885240000003</v>
      </c>
      <c r="S33" s="447">
        <f>'First Draft'!F1148*CC8</f>
        <v>114435.946432</v>
      </c>
      <c r="T33" s="447">
        <f>'First Draft'!G1148*CD8</f>
        <v>59960.724815999994</v>
      </c>
      <c r="U33" s="443">
        <f>'First Draft'!C1147*BZ8</f>
        <v>502591.46850000002</v>
      </c>
      <c r="V33" s="443">
        <f>'First Draft'!D1147*CA8</f>
        <v>619188.96610700001</v>
      </c>
      <c r="W33" s="443">
        <f>'First Draft'!E1147*CB8</f>
        <v>481249.28826</v>
      </c>
      <c r="X33" s="443">
        <f>'First Draft'!F1147*CC8</f>
        <v>577360.62532200001</v>
      </c>
      <c r="Y33" s="443">
        <f>'First Draft'!G1147*CD8</f>
        <v>593905.79631999996</v>
      </c>
      <c r="Z33" s="443">
        <f>'First Draft'!C1142*BZ8</f>
        <v>1009534.249944</v>
      </c>
      <c r="AA33" s="443">
        <f>'First Draft'!D1142*CA8</f>
        <v>1049373.972026</v>
      </c>
      <c r="AB33" s="443">
        <f>'First Draft'!E1142*CB8</f>
        <v>896254.89888999995</v>
      </c>
      <c r="AC33" s="443">
        <f>'First Draft'!F1142*CC8</f>
        <v>1019833.028638</v>
      </c>
      <c r="AD33" s="443">
        <f>'First Draft'!G1142*CD8</f>
        <v>940061.60785599996</v>
      </c>
      <c r="AE33" s="61">
        <f t="shared" si="7"/>
        <v>9.4640815735870173E-2</v>
      </c>
      <c r="AF33" s="61">
        <f t="shared" si="7"/>
        <v>0.10807603987455296</v>
      </c>
      <c r="AG33" s="61">
        <f t="shared" si="7"/>
        <v>8.5283645684575735E-2</v>
      </c>
      <c r="AH33" s="61">
        <f t="shared" si="7"/>
        <v>0.11221047290930621</v>
      </c>
      <c r="AI33" s="61">
        <f t="shared" si="7"/>
        <v>6.3783824714161566E-2</v>
      </c>
      <c r="AJ33" s="61">
        <f t="shared" si="8"/>
        <v>0.20390640703324908</v>
      </c>
      <c r="AK33" s="61">
        <f t="shared" si="9"/>
        <v>0.26837071603173795</v>
      </c>
      <c r="AL33" s="61">
        <f t="shared" si="10"/>
        <v>0.17828065086373407</v>
      </c>
      <c r="AM33" s="61">
        <f t="shared" si="11"/>
        <v>0.29021519397403911</v>
      </c>
      <c r="AN33" s="61">
        <f t="shared" si="12"/>
        <v>0.19545284639838753</v>
      </c>
      <c r="AO33" s="434"/>
      <c r="AP33" s="434"/>
      <c r="AQ33" s="443">
        <f>'First Draft'!C1152*BZ8</f>
        <v>506942.60284800001</v>
      </c>
      <c r="AR33" s="443">
        <f>'First Draft'!D1152*CA8</f>
        <v>430184.84025800001</v>
      </c>
      <c r="AS33" s="443">
        <f>'First Draft'!E1152*CB8</f>
        <v>415005.61063000001</v>
      </c>
      <c r="AT33" s="443">
        <f>'First Draft'!F1152*CC8</f>
        <v>442472.583102</v>
      </c>
      <c r="AU33" s="443">
        <f>'First Draft'!G1152*CD8</f>
        <v>346155.64042399998</v>
      </c>
      <c r="AV33" s="443">
        <f>'Shareholder funds'!F33</f>
        <v>267401.29589999997</v>
      </c>
      <c r="AW33" s="443">
        <f>'Long Term Debt'!C15*BZ8</f>
        <v>402308.74292400002</v>
      </c>
      <c r="AX33" s="443">
        <f>'Long Term Debt'!D15*CA8</f>
        <v>405075.93381000002</v>
      </c>
      <c r="AY33" s="443">
        <f>'Long Term Debt'!E15*CB8</f>
        <v>391702.67681999999</v>
      </c>
      <c r="AZ33" s="443">
        <f>'Long Term Debt'!F15*CC8</f>
        <v>411854.308158</v>
      </c>
      <c r="BA33" s="443">
        <f>'Long Term Debt'!G15*CD8</f>
        <v>394433.69343999994</v>
      </c>
      <c r="BB33" s="553">
        <f t="shared" si="1"/>
        <v>0.15201724855972792</v>
      </c>
      <c r="BC33" s="553">
        <f t="shared" si="2"/>
        <v>0.27785540703412731</v>
      </c>
      <c r="BD33" s="553">
        <f t="shared" si="3"/>
        <v>0.19513751057444204</v>
      </c>
      <c r="BE33" s="538">
        <f t="shared" si="4"/>
        <v>0.17112421772195252</v>
      </c>
      <c r="BF33" s="538">
        <f t="shared" si="5"/>
        <v>0.27374030694414603</v>
      </c>
      <c r="BG33" s="455">
        <f t="shared" si="6"/>
        <v>0.18733203986938851</v>
      </c>
    </row>
    <row r="34" spans="1:59" ht="15" customHeight="1">
      <c r="A34" s="449">
        <v>2008</v>
      </c>
      <c r="B34" s="725"/>
      <c r="C34" s="450" t="s">
        <v>487</v>
      </c>
      <c r="D34" s="647"/>
      <c r="E34" s="634" t="s">
        <v>630</v>
      </c>
      <c r="F34" s="639" t="s">
        <v>581</v>
      </c>
      <c r="G34" s="636" t="s">
        <v>605</v>
      </c>
      <c r="H34" s="636" t="s">
        <v>617</v>
      </c>
      <c r="I34" s="647"/>
      <c r="J34" s="438" t="s">
        <v>313</v>
      </c>
      <c r="K34" s="447">
        <f>'First Draft'!C1159*BZ8</f>
        <v>107871.984</v>
      </c>
      <c r="L34" s="447">
        <f>'First Draft'!D1159*CA8</f>
        <v>119441.58100000001</v>
      </c>
      <c r="M34" s="447">
        <f>'First Draft'!E1159*CB8</f>
        <v>122703.36</v>
      </c>
      <c r="N34" s="447">
        <f>'First Draft'!F1159*CC8</f>
        <v>121391.50720000001</v>
      </c>
      <c r="O34" s="447">
        <f>'First Draft'!G1159*CD8</f>
        <v>113276.14399999999</v>
      </c>
      <c r="P34" s="447">
        <f>'First Draft'!C1163*BZ8</f>
        <v>15359.256000000001</v>
      </c>
      <c r="Q34" s="447">
        <f>'First Draft'!D1163*CA8</f>
        <v>-93764.126000000004</v>
      </c>
      <c r="R34" s="447">
        <f>'First Draft'!E1163*CB8</f>
        <v>-54481.57</v>
      </c>
      <c r="S34" s="447">
        <f>'First Draft'!F1163*CC8</f>
        <v>-194402.6018</v>
      </c>
      <c r="T34" s="447">
        <f>'First Draft'!G1163*CD8</f>
        <v>-698308.07199999993</v>
      </c>
      <c r="U34" s="443">
        <f>'First Draft'!C1162*BZ8</f>
        <v>77510.664000000004</v>
      </c>
      <c r="V34" s="443">
        <f>'First Draft'!D1162*CA8</f>
        <v>107513.989</v>
      </c>
      <c r="W34" s="443">
        <f>'First Draft'!E1162*CB8</f>
        <v>463972.07999999996</v>
      </c>
      <c r="X34" s="443">
        <f>'First Draft'!F1162*CC8</f>
        <v>878326.52439999999</v>
      </c>
      <c r="Y34" s="443">
        <f>'First Draft'!G1162*CD8</f>
        <v>1264175.456</v>
      </c>
      <c r="Z34" s="443">
        <f>'First Draft'!C1157*BZ8</f>
        <v>526143.81599999999</v>
      </c>
      <c r="AA34" s="443">
        <f>'First Draft'!D1157*CA8</f>
        <v>1057911.1459999999</v>
      </c>
      <c r="AB34" s="443">
        <f>'First Draft'!E1157*CB8</f>
        <v>1471002.39</v>
      </c>
      <c r="AC34" s="443">
        <f>'First Draft'!F1157*CC8</f>
        <v>2115362.0759999999</v>
      </c>
      <c r="AD34" s="443">
        <f>'First Draft'!G1157*CD8</f>
        <v>2625029.1919999998</v>
      </c>
      <c r="AE34" s="61">
        <f t="shared" si="7"/>
        <v>2.9192124915139176E-2</v>
      </c>
      <c r="AF34" s="61">
        <f t="shared" si="7"/>
        <v>-8.8631381146257446E-2</v>
      </c>
      <c r="AG34" s="61">
        <f t="shared" si="7"/>
        <v>-3.7037037037037042E-2</v>
      </c>
      <c r="AH34" s="61">
        <f t="shared" si="7"/>
        <v>-9.1900390956994732E-2</v>
      </c>
      <c r="AI34" s="61">
        <f t="shared" si="7"/>
        <v>-0.26601916433087802</v>
      </c>
      <c r="AJ34" s="61">
        <f t="shared" si="8"/>
        <v>2.195700250551184E-2</v>
      </c>
      <c r="AK34" s="61">
        <f t="shared" si="9"/>
        <v>-9.5803423197800677E-2</v>
      </c>
      <c r="AL34" s="61">
        <f t="shared" si="10"/>
        <v>-4.8556123893043944E-2</v>
      </c>
      <c r="AM34" s="61">
        <f t="shared" si="11"/>
        <v>-0.14965210341524809</v>
      </c>
      <c r="AN34" s="61">
        <f t="shared" si="12"/>
        <v>-0.43127004624438631</v>
      </c>
      <c r="AO34" s="434"/>
      <c r="AP34" s="434"/>
      <c r="AQ34" s="443">
        <f>'First Draft'!C1167*BZ8</f>
        <v>448633.152</v>
      </c>
      <c r="AR34" s="443">
        <f>'First Draft'!D1167*CA8</f>
        <v>950397.15700000001</v>
      </c>
      <c r="AS34" s="443">
        <f>'First Draft'!E1167*CB8</f>
        <v>1007030.3099999999</v>
      </c>
      <c r="AT34" s="443">
        <f>'First Draft'!F1167*CC8</f>
        <v>1237035.5516000001</v>
      </c>
      <c r="AU34" s="443">
        <f>'First Draft'!G1167*CD8</f>
        <v>1361024.848</v>
      </c>
      <c r="AV34" s="443">
        <f>'Shareholder funds'!F34</f>
        <v>1877354.808</v>
      </c>
      <c r="AW34" s="443">
        <f>'Long Term Debt'!C16*BZ8</f>
        <v>16966.62</v>
      </c>
      <c r="AX34" s="443">
        <f>'Long Term Debt'!D16*CA8</f>
        <v>97408.668000000005</v>
      </c>
      <c r="AY34" s="443">
        <f>'Long Term Debt'!E16*CB8</f>
        <v>447675.54</v>
      </c>
      <c r="AZ34" s="443">
        <f>'Long Term Debt'!F16*CC8</f>
        <v>735666.3334</v>
      </c>
      <c r="BA34" s="443">
        <f>'Long Term Debt'!G16*CD8</f>
        <v>1003229.656</v>
      </c>
      <c r="BB34" s="553">
        <f t="shared" si="1"/>
        <v>-0.69606003752345214</v>
      </c>
      <c r="BC34" s="553">
        <f t="shared" si="2"/>
        <v>-0.26425376964246439</v>
      </c>
      <c r="BD34" s="553">
        <f t="shared" si="3"/>
        <v>-0.12169878658101356</v>
      </c>
      <c r="BE34" s="538">
        <f t="shared" si="4"/>
        <v>-0.32380690648510124</v>
      </c>
      <c r="BF34" s="538">
        <f t="shared" si="5"/>
        <v>-0.16574625190090791</v>
      </c>
      <c r="BG34" s="455">
        <f t="shared" si="6"/>
        <v>-7.1626211049106048E-2</v>
      </c>
    </row>
    <row r="35" spans="1:59" ht="15" customHeight="1">
      <c r="A35" s="680">
        <v>2008</v>
      </c>
      <c r="B35" s="716"/>
      <c r="C35" s="735" t="s">
        <v>487</v>
      </c>
      <c r="D35" s="721"/>
      <c r="E35" s="717" t="s">
        <v>639</v>
      </c>
      <c r="F35" s="755" t="s">
        <v>597</v>
      </c>
      <c r="G35" s="720" t="s">
        <v>604</v>
      </c>
      <c r="H35" s="720" t="s">
        <v>616</v>
      </c>
      <c r="I35" s="721"/>
      <c r="J35" s="708" t="s">
        <v>314</v>
      </c>
      <c r="K35" s="730">
        <f>'First Draft'!C1173*BZ8</f>
        <v>26730.999108</v>
      </c>
      <c r="L35" s="730">
        <f>'First Draft'!D1173*CA8</f>
        <v>22478.541089999999</v>
      </c>
      <c r="M35" s="730">
        <f>'First Draft'!E1173*CB8</f>
        <v>18688.137129999999</v>
      </c>
      <c r="N35" s="730">
        <f>'First Draft'!F1173*CC8</f>
        <v>20075.803690000001</v>
      </c>
      <c r="O35" s="730">
        <f>'First Draft'!G1173*CD8</f>
        <v>4083.9301039999996</v>
      </c>
      <c r="P35" s="730">
        <f>'First Draft'!C1177*BZ8</f>
        <v>6081.7295880000001</v>
      </c>
      <c r="Q35" s="730">
        <f>'First Draft'!D1177*CA8</f>
        <v>3446.9084269999998</v>
      </c>
      <c r="R35" s="730">
        <f>'First Draft'!E1177*CB8</f>
        <v>2076.6904599999998</v>
      </c>
      <c r="S35" s="730">
        <f>'First Draft'!F1177*CC8</f>
        <v>3858.926704</v>
      </c>
      <c r="T35" s="730">
        <f>'First Draft'!G1177*CD8</f>
        <v>-48.766919999999999</v>
      </c>
      <c r="U35" s="756">
        <f>'First Draft'!C1176*BZ8</f>
        <v>10962.043884000001</v>
      </c>
      <c r="V35" s="756">
        <f>'First Draft'!D1176*CA8</f>
        <v>7103.2123579999998</v>
      </c>
      <c r="W35" s="756">
        <f>'First Draft'!E1176*CB8</f>
        <v>4028.2810099999997</v>
      </c>
      <c r="X35" s="756">
        <f>'First Draft'!F1176*CC8</f>
        <v>5061.5152580000004</v>
      </c>
      <c r="Y35" s="756">
        <f>'First Draft'!G1176*CD8</f>
        <v>3270.9769919999999</v>
      </c>
      <c r="Z35" s="756">
        <f>'First Draft'!C1171*BZ8</f>
        <v>50171.188320000001</v>
      </c>
      <c r="AA35" s="756">
        <f>'First Draft'!D1171*CA8</f>
        <v>37831.174265000001</v>
      </c>
      <c r="AB35" s="756">
        <f>'First Draft'!E1171*CB8</f>
        <v>31485.234819999998</v>
      </c>
      <c r="AC35" s="756">
        <f>'First Draft'!F1171*CC8</f>
        <v>33702.144202000003</v>
      </c>
      <c r="AD35" s="756">
        <f>'First Draft'!G1171*CD8</f>
        <v>25802.834039999998</v>
      </c>
      <c r="AE35" s="61">
        <f t="shared" si="7"/>
        <v>0.12121956428876549</v>
      </c>
      <c r="AF35" s="61">
        <f t="shared" si="7"/>
        <v>9.111291134806121E-2</v>
      </c>
      <c r="AG35" s="61">
        <f t="shared" si="7"/>
        <v>6.595759796210407E-2</v>
      </c>
      <c r="AH35" s="61">
        <f t="shared" si="7"/>
        <v>0.11450092554559178</v>
      </c>
      <c r="AI35" s="61">
        <f t="shared" si="7"/>
        <v>-1.8899830896249876E-3</v>
      </c>
      <c r="AJ35" s="61">
        <f t="shared" si="8"/>
        <v>0.17392082237154202</v>
      </c>
      <c r="AK35" s="61">
        <f t="shared" si="9"/>
        <v>0.11848183204718285</v>
      </c>
      <c r="AL35" s="61">
        <f t="shared" si="10"/>
        <v>7.4038711567635085E-2</v>
      </c>
      <c r="AM35" s="61">
        <f t="shared" si="11"/>
        <v>0.15082037267461587</v>
      </c>
      <c r="AN35" s="61">
        <f t="shared" si="12"/>
        <v>-2.2837434536728601E-3</v>
      </c>
      <c r="AO35" s="434"/>
      <c r="AP35" s="434"/>
      <c r="AQ35" s="756">
        <f>'First Draft'!C1181*BZ8</f>
        <v>39208.965840000004</v>
      </c>
      <c r="AR35" s="756">
        <f>'First Draft'!D1181*CA8</f>
        <v>30727.796246000002</v>
      </c>
      <c r="AS35" s="756">
        <f>'First Draft'!E1181*CB8</f>
        <v>27456.794040000001</v>
      </c>
      <c r="AT35" s="756">
        <f>'First Draft'!F1181*CC8</f>
        <v>28640.628944</v>
      </c>
      <c r="AU35" s="756">
        <f>'First Draft'!G1181*CD8</f>
        <v>22531.857047999998</v>
      </c>
      <c r="AV35" s="443">
        <f>'Shareholder funds'!F35</f>
        <v>20176.022352</v>
      </c>
      <c r="AW35" s="756">
        <f>'Long Term Debt'!C17*BZ8</f>
        <v>0</v>
      </c>
      <c r="AX35" s="756">
        <f>'Long Term Debt'!D17*CA8</f>
        <v>0</v>
      </c>
      <c r="AY35" s="756">
        <f>'Long Term Debt'!E17*CB8</f>
        <v>0</v>
      </c>
      <c r="AZ35" s="756">
        <f>'Long Term Debt'!F17*CC8</f>
        <v>0</v>
      </c>
      <c r="BA35" s="756">
        <f>'Long Term Debt'!G17*CD8</f>
        <v>13.175623999999999</v>
      </c>
      <c r="BB35" s="743">
        <f t="shared" si="1"/>
        <v>-3.7012987012987013</v>
      </c>
      <c r="BC35" s="743" t="e">
        <f t="shared" si="2"/>
        <v>#DIV/0!</v>
      </c>
      <c r="BD35" s="743" t="e">
        <f t="shared" si="3"/>
        <v>#DIV/0!</v>
      </c>
      <c r="BE35" s="766">
        <f t="shared" si="4"/>
        <v>-0.31733350578576014</v>
      </c>
      <c r="BF35" s="766" t="e">
        <f t="shared" si="5"/>
        <v>#DIV/0!</v>
      </c>
      <c r="BG35" s="760" t="e">
        <f t="shared" si="6"/>
        <v>#DIV/0!</v>
      </c>
    </row>
    <row r="36" spans="1:59" ht="15" customHeight="1">
      <c r="A36" s="680">
        <v>2008</v>
      </c>
      <c r="B36" s="732"/>
      <c r="C36" s="735" t="s">
        <v>487</v>
      </c>
      <c r="D36" s="721"/>
      <c r="E36" s="717" t="s">
        <v>631</v>
      </c>
      <c r="F36" s="755" t="s">
        <v>582</v>
      </c>
      <c r="G36" s="720" t="s">
        <v>604</v>
      </c>
      <c r="H36" s="720" t="s">
        <v>616</v>
      </c>
      <c r="I36" s="721"/>
      <c r="J36" s="770" t="s">
        <v>315</v>
      </c>
      <c r="K36" s="756">
        <f>'First Draft'!C1188*BZ8</f>
        <v>1588.9686120000001</v>
      </c>
      <c r="L36" s="756">
        <f>'First Draft'!D1188*CA8</f>
        <v>2707.232062</v>
      </c>
      <c r="M36" s="756">
        <f>'First Draft'!E1188*CB8</f>
        <v>1897.4285199999999</v>
      </c>
      <c r="N36" s="756">
        <f>'First Draft'!F1188*CC8</f>
        <v>2209.9295120000002</v>
      </c>
      <c r="O36" s="756">
        <f>'First Draft'!G1188*CD8</f>
        <v>1761.9402639999998</v>
      </c>
      <c r="P36" s="756">
        <f>'First Draft'!C1192*BZ8</f>
        <v>6931.489356</v>
      </c>
      <c r="Q36" s="756">
        <f>'First Draft'!D1192*CA8</f>
        <v>5579.6281410000001</v>
      </c>
      <c r="R36" s="756">
        <f>'First Draft'!E1192*CB8</f>
        <v>5433.6179299999994</v>
      </c>
      <c r="S36" s="756">
        <f>'First Draft'!F1192*CC8</f>
        <v>-2769.0639719999999</v>
      </c>
      <c r="T36" s="756">
        <f>'First Draft'!G1192*CD8</f>
        <v>2856.8859519999996</v>
      </c>
      <c r="U36" s="756">
        <f>'First Draft'!C1191*BZ8</f>
        <v>27181.954008000001</v>
      </c>
      <c r="V36" s="756">
        <f>'First Draft'!D1191*CA8</f>
        <v>48416.415182000004</v>
      </c>
      <c r="W36" s="756">
        <f>'First Draft'!E1191*CB8</f>
        <v>44979.409019999999</v>
      </c>
      <c r="X36" s="756">
        <f>'First Draft'!F1191*CC8</f>
        <v>32579.919989999999</v>
      </c>
      <c r="Y36" s="756">
        <f>'First Draft'!G1191*CD8</f>
        <v>11144.011224</v>
      </c>
      <c r="Z36" s="756">
        <f>'First Draft'!C1186*BZ8</f>
        <v>41282.822592000004</v>
      </c>
      <c r="AA36" s="756">
        <f>'First Draft'!D1186*CA8</f>
        <v>61751.79436</v>
      </c>
      <c r="AB36" s="756">
        <f>'First Draft'!E1186*CB8</f>
        <v>52459.361109999998</v>
      </c>
      <c r="AC36" s="756">
        <f>'First Draft'!F1186*CC8</f>
        <v>46388.923078</v>
      </c>
      <c r="AD36" s="756">
        <f>'First Draft'!G1186*CD8</f>
        <v>21368.124335999997</v>
      </c>
      <c r="AE36" s="61">
        <f t="shared" si="7"/>
        <v>0.16790250571052812</v>
      </c>
      <c r="AF36" s="61">
        <f t="shared" si="7"/>
        <v>9.0355724863182746E-2</v>
      </c>
      <c r="AG36" s="61">
        <f t="shared" si="7"/>
        <v>0.10357766116530578</v>
      </c>
      <c r="AH36" s="61">
        <f t="shared" si="7"/>
        <v>-5.9692353007290047E-2</v>
      </c>
      <c r="AI36" s="61">
        <f t="shared" si="7"/>
        <v>0.13369848972597256</v>
      </c>
      <c r="AJ36" s="61">
        <f t="shared" si="8"/>
        <v>0.50527968810664514</v>
      </c>
      <c r="AK36" s="61">
        <f t="shared" si="9"/>
        <v>0.5361075516081476</v>
      </c>
      <c r="AL36" s="61">
        <f t="shared" si="10"/>
        <v>0.5104635605241068</v>
      </c>
      <c r="AM36" s="61">
        <f t="shared" si="11"/>
        <v>-0.23043736392370126</v>
      </c>
      <c r="AN36" s="61">
        <f t="shared" si="12"/>
        <v>0.31015550971266159</v>
      </c>
      <c r="AO36" s="434"/>
      <c r="AP36" s="434"/>
      <c r="AQ36" s="756">
        <f>'First Draft'!C1196*BZ8</f>
        <v>14100.868584</v>
      </c>
      <c r="AR36" s="756">
        <f>'First Draft'!D1196*CA8</f>
        <v>13335.379178000001</v>
      </c>
      <c r="AS36" s="756">
        <f>'First Draft'!E1196*CB8</f>
        <v>7479.9520899999998</v>
      </c>
      <c r="AT36" s="756">
        <f>'First Draft'!F1196*CC8</f>
        <v>13809.003087999999</v>
      </c>
      <c r="AU36" s="756">
        <f>'First Draft'!G1196*CD8</f>
        <v>10224.113111999999</v>
      </c>
      <c r="AV36" s="443">
        <f>'Shareholder funds'!F36</f>
        <v>8198.1677280000004</v>
      </c>
      <c r="AW36" s="756">
        <f>'Long Term Debt'!C18*BZ8</f>
        <v>0</v>
      </c>
      <c r="AX36" s="756">
        <f>'Long Term Debt'!D18*CA8</f>
        <v>0</v>
      </c>
      <c r="AY36" s="756">
        <f>'Long Term Debt'!E18*CB8</f>
        <v>0</v>
      </c>
      <c r="AZ36" s="756">
        <f>'Long Term Debt'!F18*CC8</f>
        <v>0</v>
      </c>
      <c r="BA36" s="756">
        <f>'Long Term Debt'!G18*CD8</f>
        <v>0</v>
      </c>
      <c r="BB36" s="743" t="e">
        <f t="shared" si="1"/>
        <v>#DIV/0!</v>
      </c>
      <c r="BC36" s="743" t="e">
        <f t="shared" si="2"/>
        <v>#DIV/0!</v>
      </c>
      <c r="BD36" s="743" t="e">
        <f t="shared" si="3"/>
        <v>#DIV/0!</v>
      </c>
      <c r="BE36" s="766" t="e">
        <f t="shared" si="4"/>
        <v>#DIV/0!</v>
      </c>
      <c r="BF36" s="766" t="e">
        <f t="shared" si="5"/>
        <v>#DIV/0!</v>
      </c>
      <c r="BG36" s="760" t="e">
        <f t="shared" si="6"/>
        <v>#DIV/0!</v>
      </c>
    </row>
    <row r="37" spans="1:59" ht="15" customHeight="1">
      <c r="A37" s="449">
        <v>2006</v>
      </c>
      <c r="B37" s="777"/>
      <c r="C37" s="450" t="s">
        <v>487</v>
      </c>
      <c r="D37" s="647"/>
      <c r="E37" s="634" t="s">
        <v>629</v>
      </c>
      <c r="F37" s="634" t="s">
        <v>580</v>
      </c>
      <c r="G37" s="638" t="s">
        <v>604</v>
      </c>
      <c r="H37" s="638" t="s">
        <v>616</v>
      </c>
      <c r="I37" s="647"/>
      <c r="J37" s="437" t="s">
        <v>316</v>
      </c>
      <c r="K37" s="444">
        <f>'First Draft'!C1203*CB8</f>
        <v>146364.33838</v>
      </c>
      <c r="L37" s="444">
        <f>'First Draft'!D1203*CC8</f>
        <v>140302.83696799999</v>
      </c>
      <c r="M37" s="444">
        <f>'First Draft'!E1203*CD8</f>
        <v>132126.86859199998</v>
      </c>
      <c r="N37" s="444">
        <f>'First Draft'!F1203*CE8</f>
        <v>113677.221168</v>
      </c>
      <c r="O37" s="444">
        <f>'First Draft'!G1203*CF8</f>
        <v>91141.121261999986</v>
      </c>
      <c r="P37" s="444">
        <f>'First Draft'!C1207*CB8</f>
        <v>1642.59537</v>
      </c>
      <c r="Q37" s="444">
        <f>'First Draft'!D1207*CC8</f>
        <v>626.19463800000005</v>
      </c>
      <c r="R37" s="444">
        <f>'First Draft'!E1207*CD8</f>
        <v>3301.4349279999997</v>
      </c>
      <c r="S37" s="444">
        <f>'First Draft'!F1207*CE8</f>
        <v>1045.299168</v>
      </c>
      <c r="T37" s="444">
        <f>'First Draft'!G1207*CF8</f>
        <v>2387.6890839999996</v>
      </c>
      <c r="U37" s="444">
        <f>'First Draft'!C1206*CB8</f>
        <v>38682.553780000002</v>
      </c>
      <c r="V37" s="444">
        <f>'First Draft'!D1206*CC8</f>
        <v>34096.774471999997</v>
      </c>
      <c r="W37" s="444">
        <f>'First Draft'!E1206*CD8</f>
        <v>41591.338279999996</v>
      </c>
      <c r="X37" s="444">
        <f>'First Draft'!F1206*CE8</f>
        <v>84820.657368</v>
      </c>
      <c r="Y37" s="444">
        <f>'First Draft'!G1206*CF8</f>
        <v>64013.888365999992</v>
      </c>
      <c r="Z37" s="443">
        <f>'First Draft'!C1201*CB8</f>
        <v>131324.54920000001</v>
      </c>
      <c r="AA37" s="443">
        <f>'First Draft'!D1201*CC8</f>
        <v>136496.94713399999</v>
      </c>
      <c r="AB37" s="443">
        <f>'First Draft'!E1201*CD8</f>
        <v>138455.103688</v>
      </c>
      <c r="AC37" s="443">
        <f>'First Draft'!F1201*CE8</f>
        <v>133746.777864</v>
      </c>
      <c r="AD37" s="443">
        <f>'First Draft'!G1201*CF8</f>
        <v>91975.94170299999</v>
      </c>
      <c r="AE37" s="61">
        <f t="shared" si="7"/>
        <v>1.250790792739306E-2</v>
      </c>
      <c r="AF37" s="61">
        <f t="shared" si="7"/>
        <v>4.587609108834211E-3</v>
      </c>
      <c r="AG37" s="61">
        <f t="shared" si="7"/>
        <v>2.3844804850528145E-2</v>
      </c>
      <c r="AH37" s="61">
        <f t="shared" si="7"/>
        <v>7.8155091636144623E-3</v>
      </c>
      <c r="AI37" s="61">
        <f t="shared" si="7"/>
        <v>2.5959930823106974E-2</v>
      </c>
      <c r="AJ37" s="61">
        <f t="shared" si="8"/>
        <v>1.6843534502619589E-2</v>
      </c>
      <c r="AK37" s="61">
        <f t="shared" si="9"/>
        <v>6.2850995468019142E-3</v>
      </c>
      <c r="AL37" s="61">
        <f t="shared" si="10"/>
        <v>4.5290421310961324E-2</v>
      </c>
      <c r="AM37" s="61">
        <f t="shared" si="11"/>
        <v>2.7190115615708985E-2</v>
      </c>
      <c r="AN37" s="61">
        <f t="shared" si="12"/>
        <v>9.1695598302893047E-2</v>
      </c>
      <c r="AO37" s="434"/>
      <c r="AP37" s="434"/>
      <c r="AQ37" s="443">
        <f>'First Draft'!C1211*CB8</f>
        <v>92641.835649999994</v>
      </c>
      <c r="AR37" s="443">
        <f>'First Draft'!D1211*CC8</f>
        <v>102399.81309</v>
      </c>
      <c r="AS37" s="443">
        <f>'First Draft'!E1211*CD8</f>
        <v>96863.423183999999</v>
      </c>
      <c r="AT37" s="443">
        <f>'First Draft'!F1211*CE8</f>
        <v>48926.120495999996</v>
      </c>
      <c r="AU37" s="443">
        <f>'First Draft'!G1211*CF8</f>
        <v>27962.053336999998</v>
      </c>
      <c r="AV37" s="443">
        <f>'Shareholder funds'!F37</f>
        <v>24116.544287999997</v>
      </c>
      <c r="AW37" s="443">
        <f>'Long Term Debt'!C19*CB8</f>
        <v>199.87226999999999</v>
      </c>
      <c r="AX37" s="443">
        <f>'Long Term Debt'!D19*CC8</f>
        <v>2654.3605040000002</v>
      </c>
      <c r="AY37" s="443">
        <f>'Long Term Debt'!E19*CD8</f>
        <v>3762.2395439999996</v>
      </c>
      <c r="AZ37" s="443">
        <f>'Long Term Debt'!F19*CE8</f>
        <v>5539.8045959999999</v>
      </c>
      <c r="BA37" s="443">
        <f>'Long Term Debt'!G19*CF8</f>
        <v>22871.654455</v>
      </c>
      <c r="BB37" s="553">
        <f t="shared" si="1"/>
        <v>0.104395118800775</v>
      </c>
      <c r="BC37" s="553">
        <f t="shared" si="2"/>
        <v>0.18868881562262238</v>
      </c>
      <c r="BD37" s="553">
        <f t="shared" si="3"/>
        <v>0.87751853367899213</v>
      </c>
      <c r="BE37" s="538">
        <f t="shared" si="4"/>
        <v>7.7778135875075621E-2</v>
      </c>
      <c r="BF37" s="538">
        <f t="shared" si="5"/>
        <v>0.12196342354836681</v>
      </c>
      <c r="BG37" s="455">
        <f t="shared" si="6"/>
        <v>0.29528890877088565</v>
      </c>
    </row>
    <row r="38" spans="1:59" ht="15" customHeight="1">
      <c r="A38" s="449">
        <v>2005</v>
      </c>
      <c r="B38" s="777"/>
      <c r="C38" s="450" t="s">
        <v>487</v>
      </c>
      <c r="D38" s="647"/>
      <c r="E38" s="634" t="s">
        <v>629</v>
      </c>
      <c r="F38" s="634" t="s">
        <v>580</v>
      </c>
      <c r="G38" s="638" t="s">
        <v>603</v>
      </c>
      <c r="H38" s="638" t="s">
        <v>615</v>
      </c>
      <c r="I38" s="647"/>
      <c r="J38" s="437" t="s">
        <v>305</v>
      </c>
      <c r="K38" s="444">
        <f>'First Draft'!C1233*CC8</f>
        <v>25168.062354000002</v>
      </c>
      <c r="L38" s="444">
        <f>'First Draft'!D1233*CD8</f>
        <v>20810.128103999999</v>
      </c>
      <c r="M38" s="444">
        <f>'First Draft'!E1233*CE8</f>
        <v>15914.430059999999</v>
      </c>
      <c r="N38" s="444">
        <f>'First Draft'!F1233*CF8</f>
        <v>13734.343369999999</v>
      </c>
      <c r="O38" s="444">
        <f>'First Draft'!G1233*CG8</f>
        <v>11439.838223999999</v>
      </c>
      <c r="P38" s="444">
        <f>'First Draft'!C1237*CC8</f>
        <v>4906.000368</v>
      </c>
      <c r="Q38" s="444">
        <f>'First Draft'!D1237*CD8</f>
        <v>3813.5731439999995</v>
      </c>
      <c r="R38" s="444">
        <f>'First Draft'!E1237*CE8</f>
        <v>2506.6261559999998</v>
      </c>
      <c r="S38" s="444">
        <f>'First Draft'!F1237*CF8</f>
        <v>2308.5451829999997</v>
      </c>
      <c r="T38" s="444">
        <f>'First Draft'!G1237*CG8</f>
        <v>696.332808</v>
      </c>
      <c r="U38" s="443">
        <f>'First Draft'!C1236*CC8</f>
        <v>15563.894233999999</v>
      </c>
      <c r="V38" s="443">
        <f>'First Draft'!D1236*CD8</f>
        <v>14583.533535999999</v>
      </c>
      <c r="W38" s="443">
        <f>'First Draft'!E1236*CE8</f>
        <v>10051.950228</v>
      </c>
      <c r="X38" s="443">
        <f>'First Draft'!F1236*CF8</f>
        <v>9536.762326</v>
      </c>
      <c r="Y38" s="443">
        <f>'First Draft'!G1236*CG8</f>
        <v>5553.4176719999996</v>
      </c>
      <c r="Z38" s="443">
        <f>'First Draft'!C1231*CC8</f>
        <v>18275.606471999999</v>
      </c>
      <c r="AA38" s="443">
        <f>'First Draft'!D1231*CD8</f>
        <v>16921.607904</v>
      </c>
      <c r="AB38" s="443">
        <f>'First Draft'!E1231*CE8</f>
        <v>11909.167104</v>
      </c>
      <c r="AC38" s="443">
        <f>'First Draft'!F1231*CF8</f>
        <v>11666.650647999999</v>
      </c>
      <c r="AD38" s="443">
        <f>'First Draft'!G1231*CG8</f>
        <v>8254.9035359999998</v>
      </c>
      <c r="AE38" s="61">
        <f t="shared" si="7"/>
        <v>0.26844528390980993</v>
      </c>
      <c r="AF38" s="61">
        <f t="shared" si="7"/>
        <v>0.22536706710350682</v>
      </c>
      <c r="AG38" s="61">
        <f t="shared" si="7"/>
        <v>0.21047871224832213</v>
      </c>
      <c r="AH38" s="61">
        <f t="shared" si="7"/>
        <v>0.19787557308881543</v>
      </c>
      <c r="AI38" s="61">
        <f t="shared" si="7"/>
        <v>8.4353839504394179E-2</v>
      </c>
      <c r="AJ38" s="61">
        <f t="shared" si="8"/>
        <v>1.9429867107651693</v>
      </c>
      <c r="AK38" s="61">
        <f t="shared" si="9"/>
        <v>1.8178836692239326</v>
      </c>
      <c r="AL38" s="61">
        <f t="shared" si="10"/>
        <v>1.2573172228406744</v>
      </c>
      <c r="AM38" s="61">
        <f t="shared" si="11"/>
        <v>0.95564743864780011</v>
      </c>
      <c r="AN38" s="61">
        <f t="shared" si="12"/>
        <v>0.29522188360762452</v>
      </c>
      <c r="AO38" s="434"/>
      <c r="AP38" s="434"/>
      <c r="AQ38" s="443">
        <f>'First Draft'!C1241*CC8</f>
        <v>2711.7122380000001</v>
      </c>
      <c r="AR38" s="443">
        <f>'First Draft'!D1241*CD8</f>
        <v>2338.2454799999996</v>
      </c>
      <c r="AS38" s="443">
        <f>'First Draft'!E1241*CE8</f>
        <v>1857.3729839999999</v>
      </c>
      <c r="AT38" s="443">
        <f>'First Draft'!F1241*CF8</f>
        <v>2129.8883219999998</v>
      </c>
      <c r="AU38" s="443">
        <f>'First Draft'!G1241*CG8</f>
        <v>2701.4858639999998</v>
      </c>
      <c r="AV38" s="443">
        <f>'Shareholder funds'!F38</f>
        <v>2015.866383</v>
      </c>
      <c r="AW38" s="443">
        <f>'Long Term Debt'!C20*CC8</f>
        <v>4841.9965519999996</v>
      </c>
      <c r="AX38" s="443">
        <f>'Long Term Debt'!D20*CD8</f>
        <v>4246.9998399999995</v>
      </c>
      <c r="AY38" s="443">
        <f>'Long Term Debt'!E20*CE8</f>
        <v>3368.4984239999999</v>
      </c>
      <c r="AZ38" s="443">
        <f>'Long Term Debt'!F20*CF8</f>
        <v>2613.3036229999998</v>
      </c>
      <c r="BA38" s="443">
        <f>'Long Term Debt'!G20*CG8</f>
        <v>2826.956592</v>
      </c>
      <c r="BB38" s="553">
        <f t="shared" si="1"/>
        <v>0.24631888935633151</v>
      </c>
      <c r="BC38" s="553">
        <f t="shared" si="2"/>
        <v>0.88338192419825068</v>
      </c>
      <c r="BD38" s="553">
        <f t="shared" si="3"/>
        <v>0.74413754750208538</v>
      </c>
      <c r="BE38" s="538">
        <f t="shared" si="4"/>
        <v>0.80156755040375616</v>
      </c>
      <c r="BF38" s="538">
        <f t="shared" si="5"/>
        <v>1.0539865316105788</v>
      </c>
      <c r="BG38" s="455">
        <f t="shared" si="6"/>
        <v>0.82417283145099718</v>
      </c>
    </row>
    <row r="39" spans="1:59" ht="15" customHeight="1">
      <c r="A39" s="535">
        <v>2005</v>
      </c>
      <c r="B39" s="413"/>
      <c r="C39" s="590" t="s">
        <v>435</v>
      </c>
      <c r="D39" s="646">
        <v>0.17899999999999999</v>
      </c>
      <c r="E39" s="644" t="s">
        <v>629</v>
      </c>
      <c r="F39" s="644" t="s">
        <v>590</v>
      </c>
      <c r="G39" s="635" t="s">
        <v>607</v>
      </c>
      <c r="H39" s="635" t="s">
        <v>619</v>
      </c>
      <c r="I39" s="646"/>
      <c r="J39" s="437" t="s">
        <v>326</v>
      </c>
      <c r="K39" s="534">
        <f>'First Draft'!C1262</f>
        <v>38867.716023236499</v>
      </c>
      <c r="L39" s="534">
        <f>'First Draft'!D1262</f>
        <v>46526.987310588396</v>
      </c>
      <c r="M39" s="534">
        <f>'First Draft'!E1262</f>
        <v>26727.955733567498</v>
      </c>
      <c r="N39" s="534">
        <f>'First Draft'!F1262</f>
        <v>22691.1373403221</v>
      </c>
      <c r="O39" s="534">
        <f>'First Draft'!G1262</f>
        <v>23975.165405720498</v>
      </c>
      <c r="P39" s="534">
        <f>'First Draft'!C1266</f>
        <v>1011.42861664295</v>
      </c>
      <c r="Q39" s="534">
        <f>'First Draft'!D1266</f>
        <v>11779.112817346999</v>
      </c>
      <c r="R39" s="534">
        <f>'First Draft'!E1266</f>
        <v>3062.4601168334498</v>
      </c>
      <c r="S39" s="534">
        <f>'First Draft'!F1266</f>
        <v>13337.813866898401</v>
      </c>
      <c r="T39" s="534">
        <f>'First Draft'!G1266</f>
        <v>8826.4900083541906</v>
      </c>
      <c r="U39" s="534">
        <f>'First Draft'!C1265</f>
        <v>1393638.9194433701</v>
      </c>
      <c r="V39" s="534">
        <f>'First Draft'!D1265</f>
        <v>2381988.1828334397</v>
      </c>
      <c r="W39" s="534">
        <f>'First Draft'!E1265</f>
        <v>1738757.37829783</v>
      </c>
      <c r="X39" s="534">
        <f>'First Draft'!F1265</f>
        <v>1140443.57306434</v>
      </c>
      <c r="Y39" s="534">
        <f>'First Draft'!G1265</f>
        <v>1148789.5620043799</v>
      </c>
      <c r="Z39" s="534">
        <f>'First Draft'!C1260</f>
        <v>1504897.2101312899</v>
      </c>
      <c r="AA39" s="534">
        <f>'First Draft'!D1260</f>
        <v>2525945.11521381</v>
      </c>
      <c r="AB39" s="534">
        <f>'First Draft'!E1260</f>
        <v>1861330.38361144</v>
      </c>
      <c r="AC39" s="534">
        <f>'First Draft'!F1260</f>
        <v>1250951.1061510001</v>
      </c>
      <c r="AD39" s="534">
        <f>'First Draft'!G1260</f>
        <v>1231802.8064932101</v>
      </c>
      <c r="AE39" s="61">
        <f t="shared" si="7"/>
        <v>6.7209149557444605E-4</v>
      </c>
      <c r="AF39" s="61">
        <f t="shared" si="7"/>
        <v>4.6632497065756508E-3</v>
      </c>
      <c r="AG39" s="61">
        <f t="shared" si="7"/>
        <v>1.6453071114068004E-3</v>
      </c>
      <c r="AH39" s="61">
        <f t="shared" si="7"/>
        <v>1.0662138433161446E-2</v>
      </c>
      <c r="AI39" s="61">
        <f t="shared" si="7"/>
        <v>7.1655056814508428E-3</v>
      </c>
      <c r="AJ39" s="61">
        <f t="shared" si="8"/>
        <v>7.9260824498786856E-3</v>
      </c>
      <c r="AK39" s="61">
        <f t="shared" si="9"/>
        <v>8.8388657649866309E-2</v>
      </c>
      <c r="AL39" s="61">
        <f t="shared" si="10"/>
        <v>2.6278162711717321E-2</v>
      </c>
      <c r="AM39" s="61">
        <f t="shared" si="11"/>
        <v>0.13784372720673746</v>
      </c>
      <c r="AN39" s="61">
        <f t="shared" si="12"/>
        <v>0.11436283677678159</v>
      </c>
      <c r="AO39" s="434"/>
      <c r="AP39" s="434"/>
      <c r="AQ39" s="534">
        <f>'First Draft'!C1270</f>
        <v>111258.147830769</v>
      </c>
      <c r="AR39" s="534">
        <f>'First Draft'!D1270</f>
        <v>143957.11722326299</v>
      </c>
      <c r="AS39" s="534">
        <f>'First Draft'!E1270</f>
        <v>122572.845569193</v>
      </c>
      <c r="AT39" s="534">
        <f>'First Draft'!F1270</f>
        <v>110507.38537617</v>
      </c>
      <c r="AU39" s="534">
        <f>'First Draft'!G1270</f>
        <v>83013.4100517482</v>
      </c>
      <c r="AV39" s="443">
        <f>'Shareholder funds'!F39</f>
        <v>71346</v>
      </c>
      <c r="AW39" s="534">
        <f>'First Draft'!C1263</f>
        <v>29653.715611338601</v>
      </c>
      <c r="AX39" s="534">
        <f>'First Draft'!D1263</f>
        <v>37723.475248575203</v>
      </c>
      <c r="AY39" s="534">
        <f>'First Draft'!E1263</f>
        <v>30617.093180984299</v>
      </c>
      <c r="AZ39" s="534">
        <f>'First Draft'!F1263</f>
        <v>2845.19940534234</v>
      </c>
      <c r="BA39" s="534">
        <f>'First Draft'!G1263</f>
        <v>42798.0129644275</v>
      </c>
      <c r="BB39" s="553">
        <f t="shared" si="1"/>
        <v>0.20623597678916822</v>
      </c>
      <c r="BC39" s="553">
        <f t="shared" si="2"/>
        <v>4.6878309625168679</v>
      </c>
      <c r="BD39" s="553">
        <f t="shared" si="3"/>
        <v>0.10002452220825085</v>
      </c>
      <c r="BE39" s="538">
        <f t="shared" si="4"/>
        <v>0.1928715175781085</v>
      </c>
      <c r="BF39" s="538">
        <f t="shared" si="5"/>
        <v>4.2815221940795887</v>
      </c>
      <c r="BG39" s="455">
        <f t="shared" si="6"/>
        <v>9.5168156036385274E-2</v>
      </c>
    </row>
    <row r="40" spans="1:59" ht="15" customHeight="1">
      <c r="A40" s="535">
        <v>2007</v>
      </c>
      <c r="B40" s="413"/>
      <c r="C40" s="535"/>
      <c r="D40" s="647"/>
      <c r="E40" s="634" t="s">
        <v>636</v>
      </c>
      <c r="F40" s="634" t="s">
        <v>593</v>
      </c>
      <c r="G40" s="638" t="s">
        <v>607</v>
      </c>
      <c r="H40" s="638" t="s">
        <v>619</v>
      </c>
      <c r="I40" s="647"/>
      <c r="J40" s="437" t="s">
        <v>327</v>
      </c>
      <c r="K40" s="534">
        <f>'First Draft'!C1277</f>
        <v>977.81573608517601</v>
      </c>
      <c r="L40" s="534">
        <f>'First Draft'!D1277</f>
        <v>1376.4705759286899</v>
      </c>
      <c r="M40" s="534">
        <f>'First Draft'!E1277</f>
        <v>1727.2857915014001</v>
      </c>
      <c r="N40" s="534">
        <f>'First Draft'!F1277</f>
        <v>849.16821157932304</v>
      </c>
      <c r="O40" s="534">
        <f>'First Draft'!G1277</f>
        <v>1</v>
      </c>
      <c r="P40" s="534">
        <f>'First Draft'!C1281</f>
        <v>-97.781573608517604</v>
      </c>
      <c r="Q40" s="534">
        <f>'First Draft'!D1281</f>
        <v>5336.8511633574999</v>
      </c>
      <c r="R40" s="534">
        <f>'First Draft'!E1281</f>
        <v>-4025.2858942300099</v>
      </c>
      <c r="S40" s="534">
        <f>'First Draft'!F1281</f>
        <v>1734.93531429768</v>
      </c>
      <c r="T40" s="534">
        <f>'First Draft'!G1281</f>
        <v>504.63259658217402</v>
      </c>
      <c r="U40" s="534">
        <f>'First Draft'!C1280</f>
        <v>33687.714565545401</v>
      </c>
      <c r="V40" s="534">
        <f>'First Draft'!D1280</f>
        <v>46142.906161844796</v>
      </c>
      <c r="W40" s="534">
        <f>'First Draft'!E1280</f>
        <v>55361.288189128099</v>
      </c>
      <c r="X40" s="534">
        <f>'First Draft'!F1280</f>
        <v>4925.8780301213301</v>
      </c>
      <c r="Y40" s="534">
        <f>'First Draft'!G1280</f>
        <v>3709.5847286581998</v>
      </c>
      <c r="Z40" s="534">
        <f>'First Draft'!C1275</f>
        <v>211629.359419644</v>
      </c>
      <c r="AA40" s="534">
        <f>'First Draft'!D1275</f>
        <v>226684.94607016401</v>
      </c>
      <c r="AB40" s="534">
        <f>'First Draft'!E1275</f>
        <v>200072.866086811</v>
      </c>
      <c r="AC40" s="534">
        <f>'First Draft'!F1275</f>
        <v>107651.57174199801</v>
      </c>
      <c r="AD40" s="534">
        <f>'First Draft'!G1275</f>
        <v>77442.653095811605</v>
      </c>
      <c r="AE40" s="61">
        <f t="shared" si="7"/>
        <v>-4.6204162728964563E-4</v>
      </c>
      <c r="AF40" s="61">
        <f t="shared" si="7"/>
        <v>2.3543032988638014E-2</v>
      </c>
      <c r="AG40" s="61">
        <f t="shared" si="7"/>
        <v>-2.011909947090702E-2</v>
      </c>
      <c r="AH40" s="61">
        <f t="shared" si="7"/>
        <v>1.6116209788889047E-2</v>
      </c>
      <c r="AI40" s="61">
        <f t="shared" si="7"/>
        <v>6.5162100781573883E-3</v>
      </c>
      <c r="AJ40" s="61">
        <f t="shared" si="8"/>
        <v>-5.4552872426158667E-4</v>
      </c>
      <c r="AK40" s="61">
        <f t="shared" si="9"/>
        <v>3.2816566612834615E-2</v>
      </c>
      <c r="AL40" s="61">
        <f t="shared" si="10"/>
        <v>-3.2535803397976681E-2</v>
      </c>
      <c r="AM40" s="61">
        <f t="shared" si="11"/>
        <v>1.9663897405728183E-2</v>
      </c>
      <c r="AN40" s="61">
        <f t="shared" si="12"/>
        <v>1.0913916701929502E-2</v>
      </c>
      <c r="AO40" s="434"/>
      <c r="AP40" s="434"/>
      <c r="AQ40" s="534">
        <f>'First Draft'!C1285</f>
        <v>177941.64485409899</v>
      </c>
      <c r="AR40" s="534">
        <f>'First Draft'!D1285</f>
        <v>180542.03990832</v>
      </c>
      <c r="AS40" s="534">
        <f>'First Draft'!E1285</f>
        <v>144711.43504053398</v>
      </c>
      <c r="AT40" s="534">
        <f>'First Draft'!F1285</f>
        <v>102725.878554761</v>
      </c>
      <c r="AU40" s="534">
        <f>'First Draft'!G1285</f>
        <v>73733.068367153406</v>
      </c>
      <c r="AV40" s="443">
        <f>'Shareholder funds'!F40</f>
        <v>18742</v>
      </c>
      <c r="AW40" s="534">
        <f>'First Draft'!C1278</f>
        <v>32346.246938779997</v>
      </c>
      <c r="AX40" s="534">
        <f>'First Draft'!D1278</f>
        <v>41187.888905107997</v>
      </c>
      <c r="AY40" s="534">
        <f>'First Draft'!E1278</f>
        <v>40318.430373802803</v>
      </c>
      <c r="AZ40" s="534">
        <f>'First Draft'!F1278</f>
        <v>2977.4491841793101</v>
      </c>
      <c r="BA40" s="534">
        <f>'First Draft'!G1278</f>
        <v>3264.377053231</v>
      </c>
      <c r="BB40" s="553">
        <f t="shared" si="1"/>
        <v>0.15458771715194514</v>
      </c>
      <c r="BC40" s="553">
        <f t="shared" si="2"/>
        <v>0.5826918301465116</v>
      </c>
      <c r="BD40" s="553">
        <f t="shared" si="3"/>
        <v>-9.9837366110498912E-2</v>
      </c>
      <c r="BE40" s="538">
        <f t="shared" si="4"/>
        <v>6.8855173053414239E-3</v>
      </c>
      <c r="BF40" s="538">
        <f t="shared" si="5"/>
        <v>5.7977498174708361E-2</v>
      </c>
      <c r="BG40" s="455">
        <f t="shared" si="6"/>
        <v>-5.1158537915513509E-2</v>
      </c>
    </row>
    <row r="41" spans="1:59" ht="15" customHeight="1">
      <c r="A41" s="535">
        <v>2007</v>
      </c>
      <c r="B41" s="413"/>
      <c r="C41" s="535"/>
      <c r="D41" s="646">
        <v>0.17899999999999999</v>
      </c>
      <c r="E41" s="644" t="s">
        <v>625</v>
      </c>
      <c r="F41" s="644" t="s">
        <v>598</v>
      </c>
      <c r="G41" s="635" t="s">
        <v>610</v>
      </c>
      <c r="H41" s="635" t="s">
        <v>622</v>
      </c>
      <c r="I41" s="646"/>
      <c r="J41" s="437" t="s">
        <v>328</v>
      </c>
      <c r="K41" s="534">
        <f>'First Draft'!C1292</f>
        <v>340.1024017483</v>
      </c>
      <c r="L41" s="534">
        <f>'First Draft'!D1292</f>
        <v>431.833906173706</v>
      </c>
      <c r="M41" s="534">
        <f>'First Draft'!E1292</f>
        <v>318.85715711116802</v>
      </c>
      <c r="N41" s="534">
        <f>'First Draft'!F1292</f>
        <v>720.517563939095</v>
      </c>
      <c r="O41" s="534">
        <f>'First Draft'!G1292</f>
        <v>621.40576153993595</v>
      </c>
      <c r="P41" s="534">
        <f>'First Draft'!C1296</f>
        <v>-22215.8711347729</v>
      </c>
      <c r="Q41" s="534">
        <f>'First Draft'!D1296</f>
        <v>-2803.4601825475702</v>
      </c>
      <c r="R41" s="534">
        <f>'First Draft'!E1296</f>
        <v>905.71432620286896</v>
      </c>
      <c r="S41" s="534">
        <f>'First Draft'!F1296</f>
        <v>-6473.9371881485004</v>
      </c>
      <c r="T41" s="534">
        <f>'First Draft'!G1296</f>
        <v>-238.81789550185201</v>
      </c>
      <c r="U41" s="534">
        <f>'First Draft'!C1295</f>
        <v>10381.3997041434</v>
      </c>
      <c r="V41" s="534">
        <f>'First Draft'!D1295</f>
        <v>15984.0829020739</v>
      </c>
      <c r="W41" s="534">
        <f>'First Draft'!E1295</f>
        <v>8313.7146573662812</v>
      </c>
      <c r="X41" s="534">
        <f>'First Draft'!F1295</f>
        <v>9136.7837828397805</v>
      </c>
      <c r="Y41" s="534">
        <f>'First Draft'!G1295</f>
        <v>1715.49523732066</v>
      </c>
      <c r="Z41" s="534">
        <f>'First Draft'!C1290</f>
        <v>22702.048627287102</v>
      </c>
      <c r="AA41" s="534">
        <f>'First Draft'!D1290</f>
        <v>50906.400928944298</v>
      </c>
      <c r="AB41" s="534">
        <f>'First Draft'!E1290</f>
        <v>39464.573192775199</v>
      </c>
      <c r="AC41" s="534">
        <f>'First Draft'!F1290</f>
        <v>48270.795083343997</v>
      </c>
      <c r="AD41" s="534">
        <f>'First Draft'!G1290</f>
        <v>31920.288091689301</v>
      </c>
      <c r="AE41" s="61">
        <f t="shared" si="7"/>
        <v>-0.97858442202745388</v>
      </c>
      <c r="AF41" s="61">
        <f t="shared" si="7"/>
        <v>-5.5070877755838014E-2</v>
      </c>
      <c r="AG41" s="61">
        <f t="shared" si="7"/>
        <v>2.2950060090062716E-2</v>
      </c>
      <c r="AH41" s="61">
        <f t="shared" si="7"/>
        <v>-0.13411706140266902</v>
      </c>
      <c r="AI41" s="61">
        <f t="shared" si="7"/>
        <v>-7.4816961180256434E-3</v>
      </c>
      <c r="AJ41" s="61">
        <f t="shared" si="8"/>
        <v>-0.940497721302199</v>
      </c>
      <c r="AK41" s="61">
        <f t="shared" si="9"/>
        <v>-8.4859435849693632E-2</v>
      </c>
      <c r="AL41" s="61">
        <f t="shared" si="10"/>
        <v>2.5772720906393359E-2</v>
      </c>
      <c r="AM41" s="61">
        <f t="shared" si="11"/>
        <v>-0.18673345371484992</v>
      </c>
      <c r="AN41" s="61">
        <f t="shared" si="12"/>
        <v>-1.0966068109486762E-2</v>
      </c>
      <c r="AO41" s="434"/>
      <c r="AP41" s="434"/>
      <c r="AQ41" s="534">
        <f>'First Draft'!C1300</f>
        <v>12320.4782746732</v>
      </c>
      <c r="AR41" s="534">
        <f>'First Draft'!D1300</f>
        <v>34922.318026870496</v>
      </c>
      <c r="AS41" s="534">
        <f>'First Draft'!E1300</f>
        <v>31150.715678259701</v>
      </c>
      <c r="AT41" s="534">
        <f>'First Draft'!F1300</f>
        <v>39134.0113005042</v>
      </c>
      <c r="AU41" s="534">
        <f>'First Draft'!G1300</f>
        <v>30204.792854368701</v>
      </c>
      <c r="AV41" s="443">
        <f>'Shareholder funds'!F41</f>
        <v>13351</v>
      </c>
      <c r="AW41" s="534">
        <f>'First Draft'!C1293</f>
        <v>77.645054087042794</v>
      </c>
      <c r="AX41" s="534">
        <f>'First Draft'!D1293</f>
        <v>180.96885651350001</v>
      </c>
      <c r="AY41" s="534">
        <f>'First Draft'!E1293</f>
        <v>240.000010728836</v>
      </c>
      <c r="AZ41" s="534">
        <f>'First Draft'!F1293</f>
        <v>177.26432627439499</v>
      </c>
      <c r="BA41" s="534">
        <f>'First Draft'!G1293</f>
        <v>327.316299587488</v>
      </c>
      <c r="BB41" s="553">
        <f t="shared" si="1"/>
        <v>-0.72962420693021013</v>
      </c>
      <c r="BC41" s="553">
        <f t="shared" si="2"/>
        <v>-36.5213764337852</v>
      </c>
      <c r="BD41" s="553">
        <f t="shared" si="3"/>
        <v>3.7738095238095228</v>
      </c>
      <c r="BE41" s="538">
        <f t="shared" si="4"/>
        <v>-0.92916472491622959</v>
      </c>
      <c r="BF41" s="538">
        <f t="shared" si="5"/>
        <v>-6.9816295643528363</v>
      </c>
      <c r="BG41" s="455">
        <f t="shared" si="6"/>
        <v>0.81534723749366655</v>
      </c>
    </row>
    <row r="42" spans="1:59" ht="15" customHeight="1">
      <c r="A42" s="535">
        <v>2005</v>
      </c>
      <c r="B42" s="777"/>
      <c r="C42" s="590" t="s">
        <v>487</v>
      </c>
      <c r="D42" s="648">
        <v>0.49</v>
      </c>
      <c r="E42" s="633" t="s">
        <v>628</v>
      </c>
      <c r="F42" s="633" t="s">
        <v>579</v>
      </c>
      <c r="G42" s="635" t="s">
        <v>610</v>
      </c>
      <c r="H42" s="635" t="s">
        <v>622</v>
      </c>
      <c r="I42" s="648"/>
      <c r="J42" s="437" t="s">
        <v>343</v>
      </c>
      <c r="K42" s="534">
        <f>'First Draft'!C1308*CC8</f>
        <v>2424773.7820000001</v>
      </c>
      <c r="L42" s="534">
        <f>'First Draft'!D1308*CD8</f>
        <v>2400530.2479999997</v>
      </c>
      <c r="M42" s="534">
        <f>'First Draft'!E1308*CE8</f>
        <v>882853.18319999997</v>
      </c>
      <c r="N42" s="534">
        <f>'First Draft'!F1308*CF8</f>
        <v>288969.30949499999</v>
      </c>
      <c r="O42" s="534">
        <f>'First Draft'!G1308*CG8</f>
        <v>347327.35567199998</v>
      </c>
      <c r="P42" s="534">
        <f>'First Draft'!C1312*CC8</f>
        <v>-512569.886</v>
      </c>
      <c r="Q42" s="534">
        <f>'First Draft'!D1312*CD8</f>
        <v>855.56</v>
      </c>
      <c r="R42" s="534">
        <f>'First Draft'!E1312*CE8</f>
        <v>288877.85399999999</v>
      </c>
      <c r="S42" s="534">
        <f>'First Draft'!F1312*CF8</f>
        <v>58301.688972999997</v>
      </c>
      <c r="T42" s="534">
        <f>'First Draft'!G1312*CG8</f>
        <v>-32591.764907999997</v>
      </c>
      <c r="U42" s="534">
        <f>'First Draft'!C1311*CC8</f>
        <v>2357354.0320000001</v>
      </c>
      <c r="V42" s="534">
        <f>'First Draft'!D1311*CD8</f>
        <v>1830727.2879999999</v>
      </c>
      <c r="W42" s="534">
        <f>'First Draft'!E1311*CE8</f>
        <v>2148779.7875999999</v>
      </c>
      <c r="X42" s="534">
        <f>'First Draft'!F1311*CF8</f>
        <v>358323.31207699998</v>
      </c>
      <c r="Y42" s="534">
        <f>'First Draft'!G1311*CG8</f>
        <v>396704.24967599998</v>
      </c>
      <c r="Z42" s="534">
        <f>'First Draft'!C1306*CC8</f>
        <v>4087614.4959999998</v>
      </c>
      <c r="AA42" s="534">
        <f>'First Draft'!D1306*CD8</f>
        <v>3966889.4959999998</v>
      </c>
      <c r="AB42" s="534">
        <f>'First Draft'!E1306*CE8</f>
        <v>4270147.0104</v>
      </c>
      <c r="AC42" s="534">
        <f>'First Draft'!F1306*CF8</f>
        <v>625504.1034909999</v>
      </c>
      <c r="AD42" s="534">
        <f>'First Draft'!G1306*CG8</f>
        <v>447157.90254599997</v>
      </c>
      <c r="AE42" s="61">
        <f t="shared" si="7"/>
        <v>-0.12539584799437017</v>
      </c>
      <c r="AF42" s="61">
        <f t="shared" si="7"/>
        <v>2.1567527929948669E-4</v>
      </c>
      <c r="AG42" s="61">
        <f t="shared" si="7"/>
        <v>6.7650564089815679E-2</v>
      </c>
      <c r="AH42" s="61">
        <f t="shared" si="7"/>
        <v>9.32075243753199E-2</v>
      </c>
      <c r="AI42" s="61">
        <f t="shared" si="7"/>
        <v>-7.2886478629654139E-2</v>
      </c>
      <c r="AJ42" s="61">
        <f t="shared" si="8"/>
        <v>-0.26512675744023956</v>
      </c>
      <c r="AK42" s="61">
        <f t="shared" si="9"/>
        <v>4.0190444430550332E-4</v>
      </c>
      <c r="AL42" s="61">
        <f t="shared" si="10"/>
        <v>0.24188574169823507</v>
      </c>
      <c r="AM42" s="61">
        <f t="shared" si="11"/>
        <v>0.36710014582345785</v>
      </c>
      <c r="AN42" s="61">
        <f t="shared" si="12"/>
        <v>-2.380005364286867</v>
      </c>
      <c r="AO42" s="434"/>
      <c r="AP42" s="434"/>
      <c r="AQ42" s="534">
        <f>'First Draft'!C1316*CC8</f>
        <v>1730440.25</v>
      </c>
      <c r="AR42" s="534">
        <f>'First Draft'!D1316*CD8</f>
        <v>2136162.2079999996</v>
      </c>
      <c r="AS42" s="534">
        <f>'First Draft'!E1316*CE8</f>
        <v>2121367.2228000001</v>
      </c>
      <c r="AT42" s="534">
        <f>'First Draft'!F1316*CF8</f>
        <v>267180.79141399998</v>
      </c>
      <c r="AU42" s="534">
        <f>'First Draft'!G1316*CG8</f>
        <v>50452.909559999993</v>
      </c>
      <c r="AV42" s="443">
        <f>'Shareholder funds'!F42</f>
        <v>-23064.933551999999</v>
      </c>
      <c r="AW42" s="534">
        <f>'Long Term Debt'!C21*CC8</f>
        <v>1366014.0279999999</v>
      </c>
      <c r="AX42" s="534">
        <f>'Long Term Debt'!D21*CD8</f>
        <v>1230808.6159999999</v>
      </c>
      <c r="AY42" s="534">
        <f>'Long Term Debt'!E21*CE8</f>
        <v>1480746.8232</v>
      </c>
      <c r="AZ42" s="534">
        <f>'Long Term Debt'!F21*CF8</f>
        <v>253583.74483099999</v>
      </c>
      <c r="BA42" s="534">
        <f>'Long Term Debt'!G21*CG8</f>
        <v>328572.15775199997</v>
      </c>
      <c r="BB42" s="553">
        <f t="shared" si="1"/>
        <v>-9.9192107849258623E-2</v>
      </c>
      <c r="BC42" s="553">
        <f t="shared" si="2"/>
        <v>0.22991098665198337</v>
      </c>
      <c r="BD42" s="553">
        <f t="shared" si="3"/>
        <v>0.19508929512724818</v>
      </c>
      <c r="BE42" s="538">
        <f t="shared" si="4"/>
        <v>-0.11791457643946976</v>
      </c>
      <c r="BF42" s="538">
        <f t="shared" si="5"/>
        <v>0.13187738802535109</v>
      </c>
      <c r="BG42" s="455">
        <f t="shared" si="6"/>
        <v>0.21833731156729663</v>
      </c>
    </row>
    <row r="43" spans="1:59" ht="15" customHeight="1">
      <c r="A43" s="535">
        <v>2007</v>
      </c>
      <c r="B43" s="777"/>
      <c r="C43" s="590" t="s">
        <v>487</v>
      </c>
      <c r="D43" s="647"/>
      <c r="E43" s="634" t="s">
        <v>629</v>
      </c>
      <c r="F43" s="634" t="s">
        <v>580</v>
      </c>
      <c r="G43" s="638" t="s">
        <v>603</v>
      </c>
      <c r="H43" s="638" t="s">
        <v>615</v>
      </c>
      <c r="I43" s="647"/>
      <c r="J43" s="437" t="s">
        <v>335</v>
      </c>
      <c r="K43" s="534">
        <f>'First Draft'!C1325*CA8</f>
        <v>120203.6216</v>
      </c>
      <c r="L43" s="534">
        <f>'First Draft'!D1325*CB8</f>
        <v>115641.526</v>
      </c>
      <c r="M43" s="534">
        <f>'First Draft'!E1325*CC8</f>
        <v>145932.29620000001</v>
      </c>
      <c r="N43" s="534">
        <f>'First Draft'!F1325*CD8</f>
        <v>108450.78559999999</v>
      </c>
      <c r="O43" s="534">
        <f>'First Draft'!G1325*CE8</f>
        <v>99924.730800000005</v>
      </c>
      <c r="P43" s="534">
        <f>'First Draft'!C1329*CA8</f>
        <v>15124.8493</v>
      </c>
      <c r="Q43" s="534">
        <f>'First Draft'!D1329*CB8</f>
        <v>-91340.508999999991</v>
      </c>
      <c r="R43" s="534">
        <f>'First Draft'!E1329*CC8</f>
        <v>-183421.812278</v>
      </c>
      <c r="S43" s="534">
        <f>'First Draft'!F1329*CD8</f>
        <v>189182.79609599998</v>
      </c>
      <c r="T43" s="534">
        <f>'First Draft'!G1329*CE8</f>
        <v>110821.0692</v>
      </c>
      <c r="U43" s="534">
        <f>'First Draft'!C1328*CA8</f>
        <v>1093362.6000000001</v>
      </c>
      <c r="V43" s="534">
        <f>'First Draft'!D1328*CB8</f>
        <v>1172360.3059999999</v>
      </c>
      <c r="W43" s="534">
        <f>'First Draft'!E1328*CC8</f>
        <v>1486704.3698</v>
      </c>
      <c r="X43" s="534">
        <f>'First Draft'!F1328*CD8</f>
        <v>1211284.7367999998</v>
      </c>
      <c r="Y43" s="534">
        <f>'First Draft'!G1328*CE8</f>
        <v>1167391.2348</v>
      </c>
      <c r="Z43" s="534">
        <f>'First Draft'!C1323*CA8</f>
        <v>1409758.5438999999</v>
      </c>
      <c r="AA43" s="534">
        <f>'First Draft'!D1323*CB8</f>
        <v>1529206.601</v>
      </c>
      <c r="AB43" s="534">
        <f>'First Draft'!E1323*CC8</f>
        <v>2053839.3067999999</v>
      </c>
      <c r="AC43" s="534">
        <f>'First Draft'!F1323*CD8</f>
        <v>1863375.4575999998</v>
      </c>
      <c r="AD43" s="534">
        <f>'First Draft'!G1323*CE8</f>
        <v>1638275.406</v>
      </c>
      <c r="AE43" s="61">
        <f t="shared" si="7"/>
        <v>1.0728680713051858E-2</v>
      </c>
      <c r="AF43" s="61">
        <f t="shared" si="7"/>
        <v>-5.9730653098325197E-2</v>
      </c>
      <c r="AG43" s="61">
        <f t="shared" si="7"/>
        <v>-8.9306798088201828E-2</v>
      </c>
      <c r="AH43" s="61">
        <f t="shared" si="7"/>
        <v>0.10152693346066961</v>
      </c>
      <c r="AI43" s="61">
        <f t="shared" si="7"/>
        <v>6.764495688217638E-2</v>
      </c>
      <c r="AJ43" s="61">
        <f t="shared" si="8"/>
        <v>4.493137366042943E-2</v>
      </c>
      <c r="AK43" s="61">
        <f t="shared" si="9"/>
        <v>-0.19770689834396707</v>
      </c>
      <c r="AL43" s="61">
        <f t="shared" si="10"/>
        <v>-0.30087803093987103</v>
      </c>
      <c r="AM43" s="61">
        <f t="shared" si="11"/>
        <v>0.33692679612926818</v>
      </c>
      <c r="AN43" s="61">
        <f t="shared" si="12"/>
        <v>0.2951113822391771</v>
      </c>
      <c r="AO43" s="434"/>
      <c r="AP43" s="434"/>
      <c r="AQ43" s="534">
        <f>'First Draft'!C1333*CA8</f>
        <v>316395.94390000001</v>
      </c>
      <c r="AR43" s="534">
        <f>'First Draft'!D1333*CB8</f>
        <v>356846.29499999998</v>
      </c>
      <c r="AS43" s="534">
        <f>'First Draft'!E1333*CC8</f>
        <v>567152.91559999995</v>
      </c>
      <c r="AT43" s="534">
        <f>'First Draft'!F1333*CD8</f>
        <v>652090.72079999989</v>
      </c>
      <c r="AU43" s="534">
        <f>'First Draft'!G1333*CE8</f>
        <v>470899.78200000001</v>
      </c>
      <c r="AV43" s="443">
        <f>'Shareholder funds'!F43</f>
        <v>280145.93070099998</v>
      </c>
      <c r="AW43" s="534">
        <f>'Long Term Debt'!C22*CA8</f>
        <v>1057115.9732000001</v>
      </c>
      <c r="AX43" s="534">
        <f>'Long Term Debt'!D22*CB8</f>
        <v>1140406.3059999999</v>
      </c>
      <c r="AY43" s="534">
        <f>'Long Term Debt'!E22*CC8</f>
        <v>1398393.4865999999</v>
      </c>
      <c r="AZ43" s="534">
        <f>'Long Term Debt'!F22*CD8</f>
        <v>1188886.176</v>
      </c>
      <c r="BA43" s="534">
        <f>'Long Term Debt'!G22*CE8</f>
        <v>1128848.1695999999</v>
      </c>
      <c r="BB43" s="553">
        <f t="shared" si="1"/>
        <v>9.8171811041044374E-2</v>
      </c>
      <c r="BC43" s="553">
        <f t="shared" si="2"/>
        <v>0.15912607944732296</v>
      </c>
      <c r="BD43" s="553">
        <f t="shared" si="3"/>
        <v>-0.1311660945475116</v>
      </c>
      <c r="BE43" s="538">
        <f t="shared" si="4"/>
        <v>8.2868723800118088E-2</v>
      </c>
      <c r="BF43" s="538">
        <f t="shared" si="5"/>
        <v>3.425190406624827E-2</v>
      </c>
      <c r="BG43" s="455">
        <f t="shared" si="6"/>
        <v>-0.17803041185975499</v>
      </c>
    </row>
    <row r="44" spans="1:59" ht="15" customHeight="1">
      <c r="A44" s="535">
        <v>2003</v>
      </c>
      <c r="B44" s="777"/>
      <c r="C44" s="590" t="s">
        <v>487</v>
      </c>
      <c r="D44" s="648">
        <v>0.32</v>
      </c>
      <c r="E44" s="633" t="s">
        <v>636</v>
      </c>
      <c r="F44" s="62" t="s">
        <v>593</v>
      </c>
      <c r="G44" s="637" t="s">
        <v>604</v>
      </c>
      <c r="H44" s="637" t="s">
        <v>616</v>
      </c>
      <c r="I44" s="648"/>
      <c r="J44" s="437" t="s">
        <v>344</v>
      </c>
      <c r="K44" s="534">
        <f>'First Draft'!C1340*CE8</f>
        <v>34576.985351999996</v>
      </c>
      <c r="L44" s="534">
        <f>'First Draft'!D1340*CF8</f>
        <v>30789.776290999998</v>
      </c>
      <c r="M44" s="534">
        <f>'First Draft'!E1340*CG8</f>
        <v>31168.028933999998</v>
      </c>
      <c r="N44" s="534">
        <f>'First Draft'!F1340*CH8</f>
        <v>28488.389184</v>
      </c>
      <c r="O44" s="534">
        <f>'First Draft'!G1340*CI8</f>
        <v>39129.549549999996</v>
      </c>
      <c r="P44" s="534">
        <f>'First Draft'!C1344*CE8</f>
        <v>-210.58969199999999</v>
      </c>
      <c r="Q44" s="534">
        <f>'First Draft'!D1344*CF8</f>
        <v>-2973.7271249999999</v>
      </c>
      <c r="R44" s="534">
        <f>'First Draft'!E1344*CG8</f>
        <v>714.76689599999997</v>
      </c>
      <c r="S44" s="534">
        <f>'First Draft'!F1344*CH8</f>
        <v>-5055.8307239999995</v>
      </c>
      <c r="T44" s="534">
        <f>'First Draft'!G1344*CI8</f>
        <v>-6829.4513079999997</v>
      </c>
      <c r="U44" s="534">
        <f>'First Draft'!C1343*CE8</f>
        <v>17345.940419999999</v>
      </c>
      <c r="V44" s="534">
        <f>'First Draft'!D1343*CF8</f>
        <v>15483.283641999999</v>
      </c>
      <c r="W44" s="534">
        <f>'First Draft'!E1343*CG8</f>
        <v>11294.149463999998</v>
      </c>
      <c r="X44" s="534">
        <f>'First Draft'!F1343*CH8</f>
        <v>13457.697525</v>
      </c>
      <c r="Y44" s="534">
        <f>'First Draft'!G1343*CI8</f>
        <v>11276.918357999999</v>
      </c>
      <c r="Z44" s="534">
        <f>'First Draft'!C1338*CE8</f>
        <v>24488.818068</v>
      </c>
      <c r="AA44" s="534">
        <f>'First Draft'!D1338*CF8</f>
        <v>22807.592987</v>
      </c>
      <c r="AB44" s="534">
        <f>'First Draft'!E1338*CG8</f>
        <v>21139.885061999998</v>
      </c>
      <c r="AC44" s="534">
        <f>'First Draft'!F1338*CH8</f>
        <v>22129.071219000001</v>
      </c>
      <c r="AD44" s="534">
        <f>'First Draft'!G1338*CI8</f>
        <v>23484.132576</v>
      </c>
      <c r="AE44" s="61">
        <f t="shared" si="7"/>
        <v>-8.5994224553932845E-3</v>
      </c>
      <c r="AF44" s="61">
        <f t="shared" si="7"/>
        <v>-0.13038320732463884</v>
      </c>
      <c r="AG44" s="61">
        <f t="shared" si="7"/>
        <v>3.3811295279217446E-2</v>
      </c>
      <c r="AH44" s="61">
        <f t="shared" si="7"/>
        <v>-0.22847008236202285</v>
      </c>
      <c r="AI44" s="61">
        <f t="shared" si="7"/>
        <v>-0.2908113078436404</v>
      </c>
      <c r="AJ44" s="61">
        <f t="shared" si="8"/>
        <v>-2.9112735198887602E-2</v>
      </c>
      <c r="AK44" s="61">
        <f t="shared" si="9"/>
        <v>-0.34638248040884567</v>
      </c>
      <c r="AL44" s="61">
        <f t="shared" si="10"/>
        <v>7.7200079814797831E-2</v>
      </c>
      <c r="AM44" s="61">
        <f t="shared" si="11"/>
        <v>-0.48430772668243077</v>
      </c>
      <c r="AN44" s="61">
        <f t="shared" si="12"/>
        <v>-0.46963799299873504</v>
      </c>
      <c r="AO44" s="434"/>
      <c r="AP44" s="434"/>
      <c r="AQ44" s="534">
        <f>'First Draft'!C1348*CE8</f>
        <v>7142.8776479999997</v>
      </c>
      <c r="AR44" s="534">
        <f>'First Draft'!D1348*CF8</f>
        <v>7324.3093449999997</v>
      </c>
      <c r="AS44" s="534">
        <f>'First Draft'!E1348*CG8</f>
        <v>9845.8842599999989</v>
      </c>
      <c r="AT44" s="534">
        <f>'First Draft'!F1348*CH8</f>
        <v>8671.3736939999999</v>
      </c>
      <c r="AU44" s="534">
        <f>'First Draft'!G1348*CI8</f>
        <v>12207.214217999999</v>
      </c>
      <c r="AV44" s="443">
        <f>'Shareholder funds'!F44</f>
        <v>16876.681930999999</v>
      </c>
      <c r="AW44" s="534">
        <f>'Long Term Debt'!C23*CE8</f>
        <v>1742.3213880000001</v>
      </c>
      <c r="AX44" s="534">
        <f>'Long Term Debt'!D23*CF8</f>
        <v>6342.0853319999997</v>
      </c>
      <c r="AY44" s="534">
        <f>'Long Term Debt'!E23*CG8</f>
        <v>4285.033488</v>
      </c>
      <c r="AZ44" s="534">
        <f>'Long Term Debt'!F23*CH8</f>
        <v>4860.5829329999997</v>
      </c>
      <c r="BA44" s="534">
        <f>'Long Term Debt'!G23*CI8</f>
        <v>642.54442799999993</v>
      </c>
      <c r="BB44" s="553">
        <f t="shared" si="1"/>
        <v>-10.628761234857366</v>
      </c>
      <c r="BC44" s="553">
        <f t="shared" si="2"/>
        <v>-1.0401696244445089</v>
      </c>
      <c r="BD44" s="553">
        <f t="shared" si="3"/>
        <v>0.16680543991118513</v>
      </c>
      <c r="BE44" s="538">
        <f t="shared" si="4"/>
        <v>-5.1189907780567676</v>
      </c>
      <c r="BF44" s="538">
        <f t="shared" si="5"/>
        <v>-0.76830608663543765</v>
      </c>
      <c r="BG44" s="455">
        <f t="shared" si="6"/>
        <v>0.12507210986530864</v>
      </c>
    </row>
    <row r="45" spans="1:59" ht="15" customHeight="1">
      <c r="A45" s="535">
        <v>2018</v>
      </c>
      <c r="B45" s="535"/>
      <c r="C45" s="590" t="s">
        <v>435</v>
      </c>
      <c r="D45" s="648">
        <v>0.31</v>
      </c>
      <c r="E45" s="633" t="s">
        <v>636</v>
      </c>
      <c r="F45" s="62" t="s">
        <v>593</v>
      </c>
      <c r="G45" s="637" t="s">
        <v>608</v>
      </c>
      <c r="H45" s="637" t="s">
        <v>620</v>
      </c>
      <c r="I45" s="648"/>
      <c r="J45" s="436" t="s">
        <v>341</v>
      </c>
      <c r="K45" s="591">
        <f>'First Draft'!C1374</f>
        <v>2997543.1030318099</v>
      </c>
      <c r="L45" s="591">
        <f>'First Draft'!D1374</f>
        <v>2299724.5603925399</v>
      </c>
      <c r="M45" s="591">
        <f>'First Draft'!E1374</f>
        <v>1551027.31705561</v>
      </c>
      <c r="N45" s="591">
        <f>'First Draft'!F1374</f>
        <v>1041142.23105481</v>
      </c>
      <c r="O45" s="591">
        <f>'First Draft'!G1374</f>
        <v>889368.09160745097</v>
      </c>
      <c r="P45" s="591">
        <f>'First Draft'!C1378</f>
        <v>25728.570619627801</v>
      </c>
      <c r="Q45" s="591">
        <f>'First Draft'!D1378</f>
        <v>14126.0254313797</v>
      </c>
      <c r="R45" s="591">
        <f>'First Draft'!E1378</f>
        <v>-1393.5079566761899</v>
      </c>
      <c r="S45" s="591">
        <f>'First Draft'!F1378</f>
        <v>1768.0092036128001</v>
      </c>
      <c r="T45" s="591">
        <f>'First Draft'!G1378</f>
        <v>-5435.9318143948904</v>
      </c>
      <c r="U45" s="534">
        <f>'First Draft'!C1377</f>
        <v>1035563.3461251929</v>
      </c>
      <c r="V45" s="534">
        <f>'First Draft'!D1377</f>
        <v>610955.6702470181</v>
      </c>
      <c r="W45" s="534">
        <f>'First Draft'!E1377</f>
        <v>409250.90646602935</v>
      </c>
      <c r="X45" s="534">
        <f>'First Draft'!F1377</f>
        <v>327839.81544065522</v>
      </c>
      <c r="Y45" s="534">
        <f>'First Draft'!G1377</f>
        <v>307051.03667252458</v>
      </c>
      <c r="Z45" s="534">
        <f>'First Draft'!C1372</f>
        <v>1280228.5311763301</v>
      </c>
      <c r="AA45" s="534">
        <f>'First Draft'!D1372</f>
        <v>740284.38910868799</v>
      </c>
      <c r="AB45" s="534">
        <f>'First Draft'!E1372</f>
        <v>475926.64601990598</v>
      </c>
      <c r="AC45" s="534">
        <f>'First Draft'!F1372</f>
        <v>395309.20545373898</v>
      </c>
      <c r="AD45" s="534">
        <f>'First Draft'!G1372</f>
        <v>375991.11005718302</v>
      </c>
      <c r="AE45" s="61">
        <f t="shared" si="7"/>
        <v>2.0096857703981383E-2</v>
      </c>
      <c r="AF45" s="61">
        <f t="shared" si="7"/>
        <v>1.9081890202206773E-2</v>
      </c>
      <c r="AG45" s="61">
        <f t="shared" si="7"/>
        <v>-2.927988941846104E-3</v>
      </c>
      <c r="AH45" s="61">
        <f t="shared" si="7"/>
        <v>4.4724716227730272E-3</v>
      </c>
      <c r="AI45" s="61">
        <f t="shared" si="7"/>
        <v>-1.4457607291747299E-2</v>
      </c>
      <c r="AJ45" s="61">
        <f t="shared" si="8"/>
        <v>0.13758818178825877</v>
      </c>
      <c r="AK45" s="61">
        <f t="shared" si="9"/>
        <v>0.14413983789523185</v>
      </c>
      <c r="AL45" s="61">
        <f t="shared" si="10"/>
        <v>-2.0776124502986226E-2</v>
      </c>
      <c r="AM45" s="61">
        <f t="shared" si="11"/>
        <v>2.5922090147919678E-2</v>
      </c>
      <c r="AN45" s="61">
        <f t="shared" si="12"/>
        <v>-0.10868144889601355</v>
      </c>
      <c r="AO45" s="434"/>
      <c r="AP45" s="434"/>
      <c r="AQ45" s="534">
        <f>'First Draft'!C1382</f>
        <v>244665.18505113601</v>
      </c>
      <c r="AR45" s="534">
        <f>'First Draft'!D1382</f>
        <v>129328.718861669</v>
      </c>
      <c r="AS45" s="534">
        <f>'First Draft'!E1382</f>
        <v>66675.739553876207</v>
      </c>
      <c r="AT45" s="534">
        <f>'First Draft'!F1382</f>
        <v>67469.390013083801</v>
      </c>
      <c r="AU45" s="534">
        <f>'First Draft'!G1382</f>
        <v>68940.073384657502</v>
      </c>
      <c r="AV45" s="443">
        <f>'Shareholder funds'!F45</f>
        <v>31094.143487000001</v>
      </c>
      <c r="AW45" s="534">
        <f>'First Draft'!C1375</f>
        <v>232588.881575957</v>
      </c>
      <c r="AX45" s="534">
        <f>'First Draft'!D1375</f>
        <v>53876.083035156102</v>
      </c>
      <c r="AY45" s="534">
        <f>'First Draft'!E1375</f>
        <v>52446.582541741402</v>
      </c>
      <c r="AZ45" s="534">
        <f>'First Draft'!F1375</f>
        <v>58128.308322504199</v>
      </c>
      <c r="BA45" s="534">
        <f>'First Draft'!G1375</f>
        <v>59933.008789643602</v>
      </c>
      <c r="BB45" s="553">
        <f t="shared" si="1"/>
        <v>-9.0700132100396347E-2</v>
      </c>
      <c r="BC45" s="553">
        <f t="shared" si="2"/>
        <v>3.0415631464855836E-2</v>
      </c>
      <c r="BD45" s="553">
        <f t="shared" si="3"/>
        <v>-2.6570043063666143E-2</v>
      </c>
      <c r="BE45" s="538">
        <f t="shared" si="4"/>
        <v>-4.8842192666801537E-2</v>
      </c>
      <c r="BF45" s="538">
        <f t="shared" si="5"/>
        <v>4.9825507915297898E-2</v>
      </c>
      <c r="BG45" s="455">
        <f t="shared" si="6"/>
        <v>-2.5758334351453999E-2</v>
      </c>
    </row>
    <row r="46" spans="1:59" ht="15" customHeight="1">
      <c r="A46" s="753">
        <v>2006</v>
      </c>
      <c r="B46" s="763"/>
      <c r="C46" s="763" t="s">
        <v>435</v>
      </c>
      <c r="D46" s="707"/>
      <c r="E46" s="715" t="s">
        <v>576</v>
      </c>
      <c r="F46" s="714" t="s">
        <v>576</v>
      </c>
      <c r="G46" s="713" t="s">
        <v>604</v>
      </c>
      <c r="H46" s="713" t="s">
        <v>616</v>
      </c>
      <c r="I46" s="707"/>
      <c r="J46" s="712" t="s">
        <v>349</v>
      </c>
      <c r="K46" s="769">
        <f>'First Draft'!C1389</f>
        <v>540239.40789000003</v>
      </c>
      <c r="L46" s="769">
        <f>'First Draft'!D1389</f>
        <v>547558.57881800004</v>
      </c>
      <c r="M46" s="769">
        <f>'First Draft'!E1389</f>
        <v>465974.42285599996</v>
      </c>
      <c r="N46" s="769">
        <f>'First Draft'!F1389</f>
        <v>359925.10252800002</v>
      </c>
      <c r="O46" s="769">
        <f>'First Draft'!G1389</f>
        <v>296457.50424599997</v>
      </c>
      <c r="P46" s="769">
        <f>'First Draft'!C1393</f>
        <v>43996.024669999999</v>
      </c>
      <c r="Q46" s="769">
        <f>'First Draft'!D1393</f>
        <v>53401.116436000004</v>
      </c>
      <c r="R46" s="769">
        <f>'First Draft'!E1393</f>
        <v>26522.188887999997</v>
      </c>
      <c r="S46" s="769">
        <f>'First Draft'!F1393</f>
        <v>19226.105172</v>
      </c>
      <c r="T46" s="769">
        <f>'First Draft'!G1393</f>
        <v>19381.859338999999</v>
      </c>
      <c r="U46" s="769">
        <f>'First Draft'!C1392</f>
        <v>495477.92514999997</v>
      </c>
      <c r="V46" s="769">
        <f>'First Draft'!D1392</f>
        <v>619536.08370399999</v>
      </c>
      <c r="W46" s="769">
        <f>'First Draft'!E1392</f>
        <v>471676.21691999998</v>
      </c>
      <c r="X46" s="769">
        <f>'First Draft'!F1392</f>
        <v>373487.45335199998</v>
      </c>
      <c r="Y46" s="769">
        <f>'First Draft'!G1392</f>
        <v>136986.275467</v>
      </c>
      <c r="Z46" s="769">
        <f>'First Draft'!C1387</f>
        <v>650489.17570000002</v>
      </c>
      <c r="AA46" s="769">
        <f>'First Draft'!D1387</f>
        <v>718574.79752400005</v>
      </c>
      <c r="AB46" s="769">
        <f>'First Draft'!E1387</f>
        <v>603225.9247359999</v>
      </c>
      <c r="AC46" s="769">
        <f>'First Draft'!F1387</f>
        <v>465819.87157199997</v>
      </c>
      <c r="AD46" s="769">
        <f>'First Draft'!G1387</f>
        <v>351254.782137</v>
      </c>
      <c r="AE46" s="61">
        <f t="shared" si="7"/>
        <v>6.763529096799388E-2</v>
      </c>
      <c r="AF46" s="61">
        <f t="shared" si="7"/>
        <v>7.4315320576236091E-2</v>
      </c>
      <c r="AG46" s="61">
        <f t="shared" si="7"/>
        <v>4.3967256380115553E-2</v>
      </c>
      <c r="AH46" s="61">
        <f t="shared" si="7"/>
        <v>4.1273690422690128E-2</v>
      </c>
      <c r="AI46" s="61">
        <f t="shared" si="7"/>
        <v>5.5178919475722572E-2</v>
      </c>
      <c r="AJ46" s="61">
        <f t="shared" si="8"/>
        <v>0.34635772205695065</v>
      </c>
      <c r="AK46" s="61">
        <f t="shared" si="9"/>
        <v>0.46317293551106542</v>
      </c>
      <c r="AL46" s="61">
        <f t="shared" si="10"/>
        <v>0.23692993592293529</v>
      </c>
      <c r="AM46" s="61">
        <f t="shared" si="11"/>
        <v>0.12541459181307124</v>
      </c>
      <c r="AN46" s="61">
        <f t="shared" si="12"/>
        <v>0.10331624230400514</v>
      </c>
      <c r="AO46" s="434"/>
      <c r="AP46" s="734"/>
      <c r="AQ46" s="769">
        <f>'First Draft'!C1397</f>
        <v>155011.09078</v>
      </c>
      <c r="AR46" s="769">
        <f>'First Draft'!D1397</f>
        <v>99038.534033999997</v>
      </c>
      <c r="AS46" s="769">
        <f>'First Draft'!E1397</f>
        <v>131549.70781599998</v>
      </c>
      <c r="AT46" s="769">
        <f>'First Draft'!F1397</f>
        <v>92332.418219999992</v>
      </c>
      <c r="AU46" s="769">
        <f>'First Draft'!G1397</f>
        <v>214268.35118099998</v>
      </c>
      <c r="AV46" s="443">
        <f>'Shareholder funds'!F46</f>
        <v>160926.466338</v>
      </c>
      <c r="AW46" s="769">
        <f>'First Draft'!C1390</f>
        <v>2029640</v>
      </c>
      <c r="AX46" s="769">
        <f>'First Draft'!D1390</f>
        <v>2061191</v>
      </c>
      <c r="AY46" s="769">
        <f>'First Draft'!E1390</f>
        <v>1741283</v>
      </c>
      <c r="AZ46" s="769">
        <f>'First Draft'!F1390</f>
        <v>1600934</v>
      </c>
      <c r="BA46" s="769">
        <f>'First Draft'!G1390</f>
        <v>308857</v>
      </c>
      <c r="BB46" s="711">
        <f t="shared" si="1"/>
        <v>6.2753505146394606E-2</v>
      </c>
      <c r="BC46" s="711">
        <f t="shared" si="2"/>
        <v>1.2009305300530815E-2</v>
      </c>
      <c r="BD46" s="711">
        <f t="shared" si="3"/>
        <v>1.5231406318214786E-2</v>
      </c>
      <c r="BE46" s="746">
        <f t="shared" si="4"/>
        <v>0.23575452302707831</v>
      </c>
      <c r="BF46" s="746">
        <f t="shared" si="5"/>
        <v>0.10143663876673255</v>
      </c>
      <c r="BG46" s="707">
        <f t="shared" si="6"/>
        <v>6.3578759435542281E-2</v>
      </c>
    </row>
    <row r="47" spans="1:59" ht="15" customHeight="1">
      <c r="A47" s="758"/>
      <c r="B47" s="768"/>
      <c r="C47" s="768"/>
      <c r="D47" s="745"/>
      <c r="E47" s="745"/>
      <c r="F47" s="745"/>
      <c r="G47" s="745"/>
      <c r="H47" s="745"/>
      <c r="I47" s="745"/>
      <c r="J47" s="733"/>
      <c r="K47" s="757"/>
      <c r="L47" s="757"/>
      <c r="M47" s="757"/>
      <c r="N47" s="757"/>
      <c r="O47" s="757"/>
      <c r="P47" s="757"/>
      <c r="Q47" s="757"/>
      <c r="R47" s="757"/>
      <c r="S47" s="757"/>
      <c r="T47" s="757"/>
      <c r="U47" s="767"/>
      <c r="V47" s="767"/>
      <c r="W47" s="767"/>
      <c r="X47" s="767"/>
      <c r="Y47" s="767"/>
      <c r="Z47" s="767"/>
      <c r="AA47" s="767"/>
      <c r="AB47" s="767"/>
      <c r="AC47" s="767"/>
      <c r="AD47" s="767"/>
      <c r="AE47" s="744"/>
      <c r="AF47" s="744"/>
      <c r="AG47" s="744"/>
      <c r="AH47" s="744"/>
      <c r="AI47" s="744"/>
      <c r="AJ47" s="744"/>
      <c r="AK47" s="744"/>
      <c r="AL47" s="744"/>
      <c r="AM47" s="744"/>
      <c r="AN47" s="744"/>
      <c r="AO47" s="762"/>
      <c r="AP47" s="762"/>
      <c r="AQ47" s="767"/>
      <c r="AR47" s="767"/>
      <c r="AS47" s="767"/>
      <c r="AT47" s="767"/>
      <c r="AU47" s="767"/>
      <c r="AV47" s="767"/>
      <c r="AW47" s="767"/>
      <c r="AX47" s="767"/>
      <c r="AY47" s="767"/>
      <c r="AZ47" s="767"/>
      <c r="BA47" s="767"/>
      <c r="BB47" s="774"/>
      <c r="BC47" s="774"/>
      <c r="BD47" s="774"/>
      <c r="BE47" s="744"/>
      <c r="BF47" s="744"/>
      <c r="BG47" s="745"/>
    </row>
    <row r="48" spans="1:59" ht="15" customHeight="1">
      <c r="A48" s="726" t="s">
        <v>491</v>
      </c>
      <c r="B48" s="726"/>
      <c r="C48" s="726" t="s">
        <v>491</v>
      </c>
      <c r="D48" s="726" t="s">
        <v>491</v>
      </c>
      <c r="E48" s="726"/>
      <c r="F48" s="726"/>
      <c r="G48" s="726"/>
      <c r="H48" s="726"/>
      <c r="I48" s="726" t="s">
        <v>491</v>
      </c>
      <c r="J48" s="726" t="s">
        <v>491</v>
      </c>
      <c r="K48" s="726" t="s">
        <v>491</v>
      </c>
      <c r="L48" s="726" t="s">
        <v>491</v>
      </c>
      <c r="M48" s="726" t="s">
        <v>491</v>
      </c>
      <c r="N48" s="726" t="s">
        <v>491</v>
      </c>
      <c r="O48" s="726" t="s">
        <v>491</v>
      </c>
      <c r="P48" s="726" t="s">
        <v>491</v>
      </c>
      <c r="Q48" s="726" t="s">
        <v>491</v>
      </c>
      <c r="R48" s="726" t="s">
        <v>491</v>
      </c>
      <c r="S48" s="726" t="s">
        <v>491</v>
      </c>
      <c r="T48" s="726" t="s">
        <v>491</v>
      </c>
      <c r="U48" s="726" t="s">
        <v>491</v>
      </c>
      <c r="V48" s="726" t="s">
        <v>491</v>
      </c>
      <c r="W48" s="726" t="s">
        <v>491</v>
      </c>
      <c r="X48" s="726" t="s">
        <v>491</v>
      </c>
      <c r="Y48" s="726" t="s">
        <v>491</v>
      </c>
      <c r="Z48" s="726" t="s">
        <v>491</v>
      </c>
      <c r="AA48" s="726" t="s">
        <v>491</v>
      </c>
      <c r="AB48" s="726" t="s">
        <v>491</v>
      </c>
      <c r="AC48" s="726" t="s">
        <v>491</v>
      </c>
      <c r="AD48" s="726" t="s">
        <v>491</v>
      </c>
      <c r="AE48" s="726" t="s">
        <v>491</v>
      </c>
      <c r="AF48" s="726" t="s">
        <v>491</v>
      </c>
      <c r="AG48" s="726" t="s">
        <v>491</v>
      </c>
      <c r="AH48" s="726"/>
      <c r="AI48" s="726"/>
      <c r="AJ48" s="726" t="s">
        <v>491</v>
      </c>
      <c r="AK48" s="726" t="s">
        <v>491</v>
      </c>
      <c r="AL48" s="726" t="s">
        <v>491</v>
      </c>
      <c r="AM48" s="726"/>
      <c r="AN48" s="726"/>
      <c r="AO48" s="726" t="s">
        <v>491</v>
      </c>
      <c r="AP48" s="726" t="s">
        <v>491</v>
      </c>
      <c r="AQ48" s="726" t="s">
        <v>491</v>
      </c>
      <c r="AR48" s="726" t="s">
        <v>491</v>
      </c>
      <c r="AS48" s="726" t="s">
        <v>491</v>
      </c>
      <c r="AT48" s="726" t="s">
        <v>491</v>
      </c>
      <c r="AU48" s="726" t="s">
        <v>491</v>
      </c>
      <c r="AV48" s="726"/>
      <c r="AW48" s="726" t="s">
        <v>491</v>
      </c>
      <c r="AX48" s="726" t="s">
        <v>491</v>
      </c>
      <c r="AY48" s="726" t="s">
        <v>491</v>
      </c>
      <c r="AZ48" s="726" t="s">
        <v>491</v>
      </c>
      <c r="BA48" s="726" t="s">
        <v>491</v>
      </c>
      <c r="BB48" s="726" t="s">
        <v>491</v>
      </c>
      <c r="BC48" s="726" t="s">
        <v>491</v>
      </c>
      <c r="BD48" s="726" t="s">
        <v>491</v>
      </c>
      <c r="BE48" s="726" t="s">
        <v>491</v>
      </c>
      <c r="BF48" s="726" t="s">
        <v>491</v>
      </c>
      <c r="BG48" s="726" t="s">
        <v>491</v>
      </c>
    </row>
    <row r="49" spans="1:59" ht="15" customHeight="1">
      <c r="A49" s="561" t="s">
        <v>491</v>
      </c>
      <c r="B49" s="561"/>
      <c r="C49" s="561"/>
      <c r="D49" s="561"/>
      <c r="E49" s="561"/>
      <c r="F49" s="561"/>
      <c r="G49" s="561"/>
      <c r="H49" s="561"/>
      <c r="I49" s="561"/>
      <c r="J49" s="561"/>
      <c r="K49" s="914" t="s">
        <v>5</v>
      </c>
      <c r="L49" s="914"/>
      <c r="M49" s="914"/>
      <c r="N49" s="914"/>
      <c r="O49" s="914"/>
      <c r="P49" s="934" t="s">
        <v>6</v>
      </c>
      <c r="Q49" s="934"/>
      <c r="R49" s="934"/>
      <c r="S49" s="934"/>
      <c r="T49" s="934"/>
      <c r="U49" s="935" t="s">
        <v>84</v>
      </c>
      <c r="V49" s="935"/>
      <c r="W49" s="935"/>
      <c r="X49" s="935"/>
      <c r="Y49" s="935"/>
      <c r="Z49" s="936" t="s">
        <v>90</v>
      </c>
      <c r="AA49" s="936"/>
      <c r="AB49" s="936"/>
      <c r="AC49" s="936"/>
      <c r="AD49" s="936"/>
      <c r="AE49" s="942" t="s">
        <v>9</v>
      </c>
      <c r="AF49" s="942"/>
      <c r="AG49" s="942"/>
      <c r="AH49" s="942"/>
      <c r="AI49" s="942"/>
      <c r="AJ49" s="919" t="s">
        <v>10</v>
      </c>
      <c r="AK49" s="919"/>
      <c r="AL49" s="919"/>
      <c r="AM49" s="919"/>
      <c r="AN49" s="919"/>
      <c r="AO49" s="464" t="s">
        <v>491</v>
      </c>
      <c r="AP49" s="464" t="s">
        <v>491</v>
      </c>
      <c r="AQ49" s="943" t="s">
        <v>105</v>
      </c>
      <c r="AR49" s="944"/>
      <c r="AS49" s="944"/>
      <c r="AT49" s="944"/>
      <c r="AU49" s="945"/>
      <c r="AV49" s="837"/>
      <c r="AW49" s="926" t="s">
        <v>563</v>
      </c>
      <c r="AX49" s="927"/>
      <c r="AY49" s="927"/>
      <c r="AZ49" s="927"/>
      <c r="BA49" s="928"/>
      <c r="BB49" s="917" t="s">
        <v>565</v>
      </c>
      <c r="BC49" s="918"/>
      <c r="BD49" s="918"/>
      <c r="BE49" s="919" t="s">
        <v>564</v>
      </c>
      <c r="BF49" s="919"/>
      <c r="BG49" s="919"/>
    </row>
    <row r="50" spans="1:59" s="465" customFormat="1" ht="15" customHeight="1">
      <c r="A50" s="726"/>
      <c r="B50" s="726"/>
      <c r="C50" s="726"/>
      <c r="D50" s="726"/>
      <c r="E50" s="726"/>
      <c r="F50" s="726"/>
      <c r="G50" s="726"/>
      <c r="H50" s="726"/>
      <c r="I50" s="726"/>
      <c r="J50" s="726"/>
      <c r="K50" s="804" t="s">
        <v>78</v>
      </c>
      <c r="L50" s="805" t="s">
        <v>77</v>
      </c>
      <c r="M50" s="805" t="s">
        <v>76</v>
      </c>
      <c r="N50" s="805" t="s">
        <v>74</v>
      </c>
      <c r="O50" s="805" t="s">
        <v>75</v>
      </c>
      <c r="P50" s="806" t="s">
        <v>83</v>
      </c>
      <c r="Q50" s="806" t="s">
        <v>82</v>
      </c>
      <c r="R50" s="806" t="s">
        <v>81</v>
      </c>
      <c r="S50" s="806" t="s">
        <v>80</v>
      </c>
      <c r="T50" s="806" t="s">
        <v>79</v>
      </c>
      <c r="U50" s="807" t="s">
        <v>89</v>
      </c>
      <c r="V50" s="807" t="s">
        <v>88</v>
      </c>
      <c r="W50" s="807" t="s">
        <v>87</v>
      </c>
      <c r="X50" s="807" t="s">
        <v>86</v>
      </c>
      <c r="Y50" s="807" t="s">
        <v>85</v>
      </c>
      <c r="Z50" s="808" t="s">
        <v>95</v>
      </c>
      <c r="AA50" s="808" t="s">
        <v>94</v>
      </c>
      <c r="AB50" s="808" t="s">
        <v>93</v>
      </c>
      <c r="AC50" s="808" t="s">
        <v>92</v>
      </c>
      <c r="AD50" s="808" t="s">
        <v>91</v>
      </c>
      <c r="AE50" s="518" t="s">
        <v>1095</v>
      </c>
      <c r="AF50" s="518" t="s">
        <v>1094</v>
      </c>
      <c r="AG50" s="518" t="s">
        <v>98</v>
      </c>
      <c r="AH50" s="518" t="s">
        <v>97</v>
      </c>
      <c r="AI50" s="518" t="s">
        <v>96</v>
      </c>
      <c r="AJ50" s="519" t="s">
        <v>1097</v>
      </c>
      <c r="AK50" s="519" t="s">
        <v>1096</v>
      </c>
      <c r="AL50" s="519" t="s">
        <v>101</v>
      </c>
      <c r="AM50" s="519" t="s">
        <v>100</v>
      </c>
      <c r="AN50" s="519" t="s">
        <v>99</v>
      </c>
      <c r="AO50" s="64" t="s">
        <v>115</v>
      </c>
      <c r="AP50" s="64" t="s">
        <v>116</v>
      </c>
      <c r="AQ50" s="813" t="s">
        <v>107</v>
      </c>
      <c r="AR50" s="813" t="s">
        <v>106</v>
      </c>
      <c r="AS50" s="813" t="s">
        <v>104</v>
      </c>
      <c r="AT50" s="813" t="s">
        <v>103</v>
      </c>
      <c r="AU50" s="813" t="s">
        <v>102</v>
      </c>
      <c r="AV50" s="813"/>
      <c r="AW50" s="807" t="s">
        <v>89</v>
      </c>
      <c r="AX50" s="807" t="s">
        <v>88</v>
      </c>
      <c r="AY50" s="807" t="s">
        <v>87</v>
      </c>
      <c r="AZ50" s="807" t="s">
        <v>86</v>
      </c>
      <c r="BA50" s="807" t="s">
        <v>85</v>
      </c>
      <c r="BB50" s="814" t="s">
        <v>566</v>
      </c>
      <c r="BC50" s="814" t="s">
        <v>567</v>
      </c>
      <c r="BD50" s="814" t="s">
        <v>568</v>
      </c>
      <c r="BE50" s="810" t="s">
        <v>99</v>
      </c>
      <c r="BF50" s="810" t="s">
        <v>100</v>
      </c>
      <c r="BG50" s="810" t="s">
        <v>101</v>
      </c>
    </row>
    <row r="51" spans="1:59" s="221" customFormat="1" ht="15" customHeight="1">
      <c r="A51" s="815">
        <v>2012</v>
      </c>
      <c r="B51" s="826"/>
      <c r="C51" s="78" t="s">
        <v>487</v>
      </c>
      <c r="D51" s="826"/>
      <c r="E51" s="826"/>
      <c r="F51" s="826"/>
      <c r="G51" s="826"/>
      <c r="H51" s="826"/>
      <c r="I51" s="817" t="s">
        <v>206</v>
      </c>
      <c r="J51" s="818" t="s">
        <v>1080</v>
      </c>
      <c r="K51" s="827">
        <f>'More Comp Group'!D1012*BV8</f>
        <v>10834.122138000001</v>
      </c>
      <c r="L51" s="827">
        <f>'More Comp Group'!E1012*BW8</f>
        <v>13900.429815</v>
      </c>
      <c r="M51" s="827">
        <f>'More Comp Group'!F1012*BX8</f>
        <v>8629.9828949999992</v>
      </c>
      <c r="N51" s="827">
        <f>'More Comp Group'!G1012*BY8</f>
        <v>4410.8821440000002</v>
      </c>
      <c r="O51" s="827">
        <f>'More Comp Group'!H1012*BZ8</f>
        <v>4513.6567080000004</v>
      </c>
      <c r="P51" s="827">
        <f>'More Comp Group'!D1016*BV8</f>
        <v>90486.963755999997</v>
      </c>
      <c r="Q51" s="827">
        <f>'More Comp Group'!E1016*BW8</f>
        <v>117180.89238</v>
      </c>
      <c r="R51" s="827">
        <f>'More Comp Group'!F1016*BX8</f>
        <v>147889.48925800002</v>
      </c>
      <c r="S51" s="827">
        <f>'More Comp Group'!G1016*BY8</f>
        <v>83539.418915999995</v>
      </c>
      <c r="T51" s="827">
        <f>'More Comp Group'!H1016*BZ8</f>
        <v>99495.831600000005</v>
      </c>
      <c r="U51" s="827">
        <f>'More Comp Group'!D1015*BV8</f>
        <v>47977.199234</v>
      </c>
      <c r="V51" s="827">
        <f>'More Comp Group'!E1015*BW8</f>
        <v>63686.914920000003</v>
      </c>
      <c r="W51" s="827">
        <f>'More Comp Group'!F1015*BX8</f>
        <v>67496.392804999996</v>
      </c>
      <c r="X51" s="827">
        <f>'More Comp Group'!G1015*BY8</f>
        <v>141367.77555600001</v>
      </c>
      <c r="Y51" s="827">
        <f>'More Comp Group'!H1015*BZ8</f>
        <v>145346.42548800001</v>
      </c>
      <c r="Z51" s="828">
        <f>'More Comp Group'!D1010*BV8</f>
        <v>723596.07693600003</v>
      </c>
      <c r="AA51" s="828">
        <f>'More Comp Group'!E1010*BW8</f>
        <v>848605.34458500007</v>
      </c>
      <c r="AB51" s="828">
        <f>'More Comp Group'!F1010*BX8</f>
        <v>828435.28036900004</v>
      </c>
      <c r="AC51" s="828">
        <f>'More Comp Group'!G1010*BY8</f>
        <v>798740.16428399994</v>
      </c>
      <c r="AD51" s="828">
        <f>'More Comp Group'!H1010*BZ8</f>
        <v>807423.58620000002</v>
      </c>
      <c r="AE51" s="61">
        <f>P51/Z51</f>
        <v>0.12505176111396096</v>
      </c>
      <c r="AF51" s="61">
        <f t="shared" ref="AF51:AI66" si="13">Q51/AA51</f>
        <v>0.13808644162771078</v>
      </c>
      <c r="AG51" s="61">
        <f t="shared" si="13"/>
        <v>0.17851664790534677</v>
      </c>
      <c r="AH51" s="61">
        <f t="shared" si="13"/>
        <v>0.10458897981033133</v>
      </c>
      <c r="AI51" s="61">
        <f t="shared" si="13"/>
        <v>0.12322631305367235</v>
      </c>
      <c r="AJ51" s="61">
        <f>P51/(AVERAGE(AQ51:AR51))</f>
        <v>0.1239091439836294</v>
      </c>
      <c r="AK51" s="61">
        <f t="shared" ref="AK51:AN66" si="14">Q51/(AVERAGE(AR51:AS51))</f>
        <v>0.15160631613336464</v>
      </c>
      <c r="AL51" s="61">
        <f t="shared" si="14"/>
        <v>0.20854303868106855</v>
      </c>
      <c r="AM51" s="61">
        <f t="shared" si="14"/>
        <v>0.12662768126151666</v>
      </c>
      <c r="AN51" s="61">
        <f t="shared" si="14"/>
        <v>0.1620066010975808</v>
      </c>
      <c r="AO51" s="843"/>
      <c r="AP51" s="843"/>
      <c r="AQ51" s="827">
        <f>'More Comp Group'!D1020*BV8</f>
        <v>675618.87770199997</v>
      </c>
      <c r="AR51" s="827">
        <f>'More Comp Group'!E1020*BW8</f>
        <v>784918.42966500006</v>
      </c>
      <c r="AS51" s="827">
        <f>'More Comp Group'!F1020*BX8</f>
        <v>760939.22809800005</v>
      </c>
      <c r="AT51" s="827">
        <f>'More Comp Group'!G1020*BY8</f>
        <v>657372.21680399997</v>
      </c>
      <c r="AU51" s="827">
        <f>'More Comp Group'!H1020*BZ8</f>
        <v>662077.33930800005</v>
      </c>
      <c r="AV51" s="827">
        <f>'Shareholder funds'!F51</f>
        <v>566216.21078099997</v>
      </c>
      <c r="AW51" s="827">
        <f>'More Comp Group'!D1018*BV8</f>
        <v>11423.20183</v>
      </c>
      <c r="AX51" s="827">
        <f>'More Comp Group'!E1018*BW8</f>
        <v>17049.466110000001</v>
      </c>
      <c r="AY51" s="827">
        <f>'More Comp Group'!F1018*BX8</f>
        <v>19360.890303</v>
      </c>
      <c r="AZ51" s="827">
        <f>'More Comp Group'!G1018*BY8</f>
        <v>90651.227100000004</v>
      </c>
      <c r="BA51" s="827">
        <f>'More Comp Group'!H1018*BZ8</f>
        <v>22033.38852</v>
      </c>
      <c r="BB51" s="823">
        <f t="shared" ref="BB51:BB82" si="15">T51/BA51</f>
        <v>4.5156845262219338</v>
      </c>
      <c r="BC51" s="823">
        <f t="shared" ref="BC51:BC82" si="16">S51/AZ51</f>
        <v>0.92154757953629496</v>
      </c>
      <c r="BD51" s="823">
        <f t="shared" ref="BD51:BD82" si="17">R51/AY51</f>
        <v>7.6385686269336643</v>
      </c>
      <c r="BE51" s="824">
        <f t="shared" ref="BE51:BE82" si="18">((AU51/(AU51+Y51))*AJ51)+(Y51/(AU51+Y51))*BB51</f>
        <v>0.91448390928770695</v>
      </c>
      <c r="BF51" s="824">
        <f t="shared" ref="BF51:BF82" si="19">((AT51/(AT51+X51))*AK51)+(X51/(AT51+X51))*BC51</f>
        <v>0.2878770484832619</v>
      </c>
      <c r="BG51" s="825">
        <f t="shared" ref="BG51:BG82" si="20">((AS51/(AS51+W51))*AL51)+(W51/(AS51+W51))*BD51</f>
        <v>0.81390079129588289</v>
      </c>
    </row>
    <row r="52" spans="1:59" s="221" customFormat="1" ht="15" customHeight="1">
      <c r="A52" s="815">
        <v>2012</v>
      </c>
      <c r="B52" s="826"/>
      <c r="C52" s="78" t="s">
        <v>487</v>
      </c>
      <c r="D52" s="826"/>
      <c r="E52" s="826"/>
      <c r="F52" s="826"/>
      <c r="G52" s="826"/>
      <c r="H52" s="826"/>
      <c r="I52" s="817" t="s">
        <v>206</v>
      </c>
      <c r="J52" s="818" t="s">
        <v>657</v>
      </c>
      <c r="K52" s="827">
        <f>'More Comp Group'!D1042*BV8</f>
        <v>379043.712918</v>
      </c>
      <c r="L52" s="827">
        <f>'More Comp Group'!E1042*BW8</f>
        <v>390610.08530999999</v>
      </c>
      <c r="M52" s="827">
        <f>'More Comp Group'!F1042*BX8</f>
        <v>458557.46558900003</v>
      </c>
      <c r="N52" s="827">
        <f>'More Comp Group'!G1042*BY8</f>
        <v>407443.71914399997</v>
      </c>
      <c r="O52" s="827">
        <f>'More Comp Group'!H1042*BZ8</f>
        <v>633294.09356399998</v>
      </c>
      <c r="P52" s="827">
        <f>'More Comp Group'!D1046*BV8</f>
        <v>-4989.2888380000004</v>
      </c>
      <c r="Q52" s="827">
        <f>'More Comp Group'!E1046*BW8</f>
        <v>-3473.4757050000003</v>
      </c>
      <c r="R52" s="827">
        <f>'More Comp Group'!F1046*BX8</f>
        <v>-38712.415921</v>
      </c>
      <c r="S52" s="827">
        <f>'More Comp Group'!G1046*BY8</f>
        <v>77438.180003999994</v>
      </c>
      <c r="T52" s="827">
        <f>'More Comp Group'!H1046*BZ8</f>
        <v>4089.134016</v>
      </c>
      <c r="U52" s="827">
        <f>'More Comp Group'!D1045*BV8</f>
        <v>269686.819762</v>
      </c>
      <c r="V52" s="827">
        <f>'More Comp Group'!E1045*BW8</f>
        <v>286728.34323</v>
      </c>
      <c r="W52" s="827">
        <f>'More Comp Group'!F1045*BX8</f>
        <v>282295.19425200002</v>
      </c>
      <c r="X52" s="827">
        <f>'More Comp Group'!G1045*BY8</f>
        <v>256880.24459999998</v>
      </c>
      <c r="Y52" s="827">
        <f>'More Comp Group'!H1045*BZ8</f>
        <v>480146.41620000004</v>
      </c>
      <c r="Z52" s="828">
        <f>'More Comp Group'!D1040*BV8</f>
        <v>375846.13567799999</v>
      </c>
      <c r="AA52" s="828">
        <f>'More Comp Group'!E1040*BW8</f>
        <v>383895.081015</v>
      </c>
      <c r="AB52" s="828">
        <f>'More Comp Group'!F1040*BX8</f>
        <v>378780.39514199999</v>
      </c>
      <c r="AC52" s="828">
        <f>'More Comp Group'!G1040*BY8</f>
        <v>404080.71377999999</v>
      </c>
      <c r="AD52" s="828">
        <f>'More Comp Group'!H1040*BZ8</f>
        <v>630235.45846800006</v>
      </c>
      <c r="AE52" s="61">
        <f t="shared" ref="AE52:AI115" si="21">P52/Z52</f>
        <v>-1.3274817443578805E-2</v>
      </c>
      <c r="AF52" s="61">
        <f t="shared" si="13"/>
        <v>-9.0479817970480336E-3</v>
      </c>
      <c r="AG52" s="61">
        <f t="shared" si="13"/>
        <v>-0.10220279723423173</v>
      </c>
      <c r="AH52" s="61">
        <f t="shared" si="13"/>
        <v>0.19164037620008975</v>
      </c>
      <c r="AI52" s="61">
        <f t="shared" si="13"/>
        <v>6.4882639671528797E-3</v>
      </c>
      <c r="AJ52" s="61">
        <f t="shared" ref="AJ52:AN115" si="22">P52/(AVERAGE(AQ52:AR52))</f>
        <v>-4.9076729196121334E-2</v>
      </c>
      <c r="AK52" s="61">
        <f t="shared" si="14"/>
        <v>-3.5873389430192339E-2</v>
      </c>
      <c r="AL52" s="61">
        <f t="shared" si="14"/>
        <v>-0.31772418878697017</v>
      </c>
      <c r="AM52" s="61">
        <f t="shared" si="14"/>
        <v>0.52096139972664324</v>
      </c>
      <c r="AN52" s="61">
        <f>T52/(AVERAGE(AU52:AV52))</f>
        <v>2.8891232926957097E-2</v>
      </c>
      <c r="AO52" s="843"/>
      <c r="AP52" s="843"/>
      <c r="AQ52" s="827">
        <f>'More Comp Group'!D1050*BV8</f>
        <v>106159.31591600001</v>
      </c>
      <c r="AR52" s="827">
        <f>'More Comp Group'!E1050*BW8</f>
        <v>97166.737785000005</v>
      </c>
      <c r="AS52" s="827">
        <f>'More Comp Group'!F1050*BX8</f>
        <v>96485.200890000007</v>
      </c>
      <c r="AT52" s="827">
        <f>'More Comp Group'!G1050*BY8</f>
        <v>147200.46917999999</v>
      </c>
      <c r="AU52" s="827">
        <f>'More Comp Group'!H1050*BZ8</f>
        <v>150089.04226799999</v>
      </c>
      <c r="AV52" s="827">
        <f>'Shareholder funds'!F52</f>
        <v>132981.882835</v>
      </c>
      <c r="AW52" s="827">
        <f>'More Comp Group'!D1048*BV8</f>
        <v>6407.7013059999999</v>
      </c>
      <c r="AX52" s="827">
        <f>'More Comp Group'!E1048*BW8</f>
        <v>19020.459405000001</v>
      </c>
      <c r="AY52" s="827">
        <f>'More Comp Group'!F1048*BX8</f>
        <v>49342.354998000003</v>
      </c>
      <c r="AZ52" s="827">
        <f>'More Comp Group'!G1048*BY8</f>
        <v>19605.869112</v>
      </c>
      <c r="BA52" s="827">
        <f>'More Comp Group'!H1048*BZ8</f>
        <v>109737.955008</v>
      </c>
      <c r="BB52" s="823">
        <f t="shared" si="15"/>
        <v>3.7262713850480432E-2</v>
      </c>
      <c r="BC52" s="823">
        <f t="shared" si="16"/>
        <v>3.9497448219014712</v>
      </c>
      <c r="BD52" s="823">
        <f t="shared" si="17"/>
        <v>-0.78456765840562603</v>
      </c>
      <c r="BE52" s="824">
        <f t="shared" si="18"/>
        <v>1.6701185388852374E-2</v>
      </c>
      <c r="BF52" s="824">
        <f t="shared" si="19"/>
        <v>2.4978446181224028</v>
      </c>
      <c r="BG52" s="825">
        <f t="shared" si="20"/>
        <v>-0.66565050607134424</v>
      </c>
    </row>
    <row r="53" spans="1:59" ht="15" customHeight="1">
      <c r="A53" s="449">
        <v>2016</v>
      </c>
      <c r="B53" s="777"/>
      <c r="C53" s="50" t="s">
        <v>487</v>
      </c>
      <c r="D53" s="51"/>
      <c r="E53" s="51"/>
      <c r="F53" s="51"/>
      <c r="G53" s="51"/>
      <c r="H53" s="51"/>
      <c r="I53" s="50" t="s">
        <v>207</v>
      </c>
      <c r="J53" s="437" t="s">
        <v>526</v>
      </c>
      <c r="K53" s="446">
        <f>'Comp Group'!C30*BR8</f>
        <v>25938.495428999999</v>
      </c>
      <c r="L53" s="446">
        <f>'Comp Group'!D30*BS8</f>
        <v>24652.271298</v>
      </c>
      <c r="M53" s="446">
        <f>'Comp Group'!E30*BT8</f>
        <v>22501.205694</v>
      </c>
      <c r="N53" s="446">
        <f>'Comp Group'!F30*BU8</f>
        <v>46998.909969</v>
      </c>
      <c r="O53" s="446">
        <f>'Comp Group'!G30*BV8</f>
        <v>28310.111592000001</v>
      </c>
      <c r="P53" s="446">
        <f>'Comp Group'!C34*BR8</f>
        <v>7512.6798739999995</v>
      </c>
      <c r="Q53" s="446">
        <f>'Comp Group'!D34*BS8</f>
        <v>-8322.7065239999993</v>
      </c>
      <c r="R53" s="446">
        <f>'Comp Group'!E34*BT8</f>
        <v>660.05183199999999</v>
      </c>
      <c r="S53" s="446">
        <f>'Comp Group'!F34*BU8</f>
        <v>1537.9266540000001</v>
      </c>
      <c r="T53" s="446">
        <f>'Comp Group'!G34*BV8</f>
        <v>2375.449572</v>
      </c>
      <c r="U53" s="443">
        <f>'Comp Group'!C33*BR8</f>
        <v>10320.526069</v>
      </c>
      <c r="V53" s="443">
        <f>'Comp Group'!D33*BS8</f>
        <v>18590.664659999999</v>
      </c>
      <c r="W53" s="443">
        <f>'Comp Group'!E33*BT8</f>
        <v>13509.997072</v>
      </c>
      <c r="X53" s="443">
        <f>'Comp Group'!F33*BU8</f>
        <v>11060.857071</v>
      </c>
      <c r="Y53" s="443">
        <f>'Comp Group'!G33*BV8</f>
        <v>9327.3849840000003</v>
      </c>
      <c r="Z53" s="443">
        <f>'Comp Group'!C35*BR8</f>
        <v>57323.723561999999</v>
      </c>
      <c r="AA53" s="443">
        <f>'Comp Group'!D35*BS8</f>
        <v>61480.622651999998</v>
      </c>
      <c r="AB53" s="443">
        <f>'Comp Group'!E35*BT8</f>
        <v>28056.924434</v>
      </c>
      <c r="AC53" s="443">
        <f>'Comp Group'!F35*BU8</f>
        <v>33277.337401000004</v>
      </c>
      <c r="AD53" s="443">
        <f>'Comp Group'!G35*BV8</f>
        <v>32175.527808000003</v>
      </c>
      <c r="AE53" s="61">
        <f t="shared" si="21"/>
        <v>0.13105708085893025</v>
      </c>
      <c r="AF53" s="61">
        <f t="shared" si="13"/>
        <v>-0.13537121396946777</v>
      </c>
      <c r="AG53" s="61">
        <f t="shared" si="13"/>
        <v>2.3525452105510703E-2</v>
      </c>
      <c r="AH53" s="61">
        <f t="shared" si="13"/>
        <v>4.6215435912663624E-2</v>
      </c>
      <c r="AI53" s="61">
        <f t="shared" si="13"/>
        <v>7.3827835433654551E-2</v>
      </c>
      <c r="AJ53" s="61">
        <f t="shared" si="22"/>
        <v>0.16714644910946946</v>
      </c>
      <c r="AK53" s="61">
        <f t="shared" si="14"/>
        <v>-0.28980354602115943</v>
      </c>
      <c r="AL53" s="61">
        <f t="shared" si="14"/>
        <v>3.5907971320502857E-2</v>
      </c>
      <c r="AM53" s="61">
        <f t="shared" si="14"/>
        <v>6.8254097490925425E-2</v>
      </c>
      <c r="AN53" s="61">
        <f>T53/(AVERAGE(AU53:AV53))</f>
        <v>0.10396685587525281</v>
      </c>
      <c r="AO53" s="843"/>
      <c r="AP53" s="437"/>
      <c r="AQ53" s="443">
        <f>'Comp Group'!C38*BR8</f>
        <v>47003.424894999996</v>
      </c>
      <c r="AR53" s="443">
        <f>'Comp Group'!D38*BS8</f>
        <v>42889.957992000003</v>
      </c>
      <c r="AS53" s="443">
        <f>'Comp Group'!E38*BT8</f>
        <v>14546.927362</v>
      </c>
      <c r="AT53" s="443">
        <f>'Comp Group'!F38*BU8</f>
        <v>22216.599383000001</v>
      </c>
      <c r="AU53" s="443">
        <f>'Comp Group'!G38*BV8</f>
        <v>22848.142824000002</v>
      </c>
      <c r="AV53" s="855">
        <f>'Shareholder funds'!F53</f>
        <v>22848.142824000002</v>
      </c>
      <c r="AW53" s="443">
        <f>'Long Term Debt'!C27*BR8</f>
        <v>1993.2922309999999</v>
      </c>
      <c r="AX53" s="443">
        <f>'Long Term Debt'!D27*BS8</f>
        <v>2074.9596419999998</v>
      </c>
      <c r="AY53" s="443">
        <f>'Long Term Debt'!E27*BT8</f>
        <v>1784.0285760000002</v>
      </c>
      <c r="AZ53" s="443">
        <f>'Long Term Debt'!F27*BU8</f>
        <v>1463.16137</v>
      </c>
      <c r="BA53" s="443">
        <f>'Long Term Debt'!G27*BV8</f>
        <v>1289.9627840000001</v>
      </c>
      <c r="BB53" s="553">
        <f t="shared" si="15"/>
        <v>1.8414869029275809</v>
      </c>
      <c r="BC53" s="553">
        <f t="shared" si="16"/>
        <v>1.0510984540276649</v>
      </c>
      <c r="BD53" s="553">
        <f t="shared" si="17"/>
        <v>0.36997828447339842</v>
      </c>
      <c r="BE53" s="538">
        <f t="shared" si="18"/>
        <v>0.65252210790950294</v>
      </c>
      <c r="BF53" s="538">
        <f t="shared" si="19"/>
        <v>0.15588933285796863</v>
      </c>
      <c r="BG53" s="455">
        <f t="shared" si="20"/>
        <v>0.19676982783491248</v>
      </c>
    </row>
    <row r="54" spans="1:59" ht="15" customHeight="1">
      <c r="A54" s="449">
        <v>2016</v>
      </c>
      <c r="B54" s="777"/>
      <c r="C54" s="50" t="s">
        <v>487</v>
      </c>
      <c r="D54" s="51"/>
      <c r="E54" s="51"/>
      <c r="F54" s="51"/>
      <c r="G54" s="51"/>
      <c r="H54" s="51"/>
      <c r="I54" s="50" t="s">
        <v>207</v>
      </c>
      <c r="J54" s="437" t="s">
        <v>527</v>
      </c>
      <c r="K54" s="446">
        <f>'Comp Group'!C42*BR8</f>
        <v>32013.198755999998</v>
      </c>
      <c r="L54" s="446">
        <f>'Comp Group'!D42*BS8</f>
        <v>22315.928459999999</v>
      </c>
      <c r="M54" s="446">
        <f>'Comp Group'!E42*BT8</f>
        <v>18270.191126000002</v>
      </c>
      <c r="N54" s="446">
        <f>'Comp Group'!F42*BU8</f>
        <v>17099.225231</v>
      </c>
      <c r="O54" s="446">
        <f>'Comp Group'!G42*BV8</f>
        <v>16735.354041999999</v>
      </c>
      <c r="P54" s="446">
        <f>'Comp Group'!C46*BR8</f>
        <v>3619.3302319999998</v>
      </c>
      <c r="Q54" s="446">
        <f>'Comp Group'!D46*BS8</f>
        <v>-4513.1017679999995</v>
      </c>
      <c r="R54" s="446">
        <f>'Comp Group'!E46*BT8</f>
        <v>-4200.6270020000002</v>
      </c>
      <c r="S54" s="446">
        <f>'Comp Group'!F46*BU8</f>
        <v>4203.6423770000001</v>
      </c>
      <c r="T54" s="446">
        <f>'Comp Group'!G46*BV8</f>
        <v>-4494.2482280000004</v>
      </c>
      <c r="U54" s="443">
        <f>'Comp Group'!C45*BR8</f>
        <v>5544.2881619999998</v>
      </c>
      <c r="V54" s="443">
        <f>'Comp Group'!D45*BS8</f>
        <v>6744.0798839999998</v>
      </c>
      <c r="W54" s="443">
        <f>'Comp Group'!E45*BT8</f>
        <v>5450.270254</v>
      </c>
      <c r="X54" s="443">
        <f>'Comp Group'!F45*BU8</f>
        <v>4036.7300710000004</v>
      </c>
      <c r="Y54" s="443">
        <f>'Comp Group'!G45*BV8</f>
        <v>4720.3395479999999</v>
      </c>
      <c r="Z54" s="443">
        <f>'Comp Group'!C47*BR8</f>
        <v>29261.179752</v>
      </c>
      <c r="AA54" s="443">
        <f>'Comp Group'!D47*BS8</f>
        <v>28424.623415999999</v>
      </c>
      <c r="AB54" s="443">
        <f>'Comp Group'!E47*BT8</f>
        <v>31852.343534000003</v>
      </c>
      <c r="AC54" s="443">
        <f>'Comp Group'!F47*BU8</f>
        <v>34031.419103</v>
      </c>
      <c r="AD54" s="443">
        <f>'Comp Group'!G47*BV8</f>
        <v>30815.253108000001</v>
      </c>
      <c r="AE54" s="61">
        <f t="shared" si="21"/>
        <v>0.12369050949672043</v>
      </c>
      <c r="AF54" s="61">
        <f t="shared" si="13"/>
        <v>-0.15877437325905291</v>
      </c>
      <c r="AG54" s="61">
        <f t="shared" si="13"/>
        <v>-0.13187811432198526</v>
      </c>
      <c r="AH54" s="61">
        <f t="shared" si="13"/>
        <v>0.12352239453421539</v>
      </c>
      <c r="AI54" s="61">
        <f t="shared" si="13"/>
        <v>-0.14584492336469698</v>
      </c>
      <c r="AJ54" s="61">
        <f t="shared" si="22"/>
        <v>0.15945086863491284</v>
      </c>
      <c r="AK54" s="61">
        <f t="shared" si="14"/>
        <v>-0.18772280159567617</v>
      </c>
      <c r="AL54" s="61">
        <f t="shared" si="14"/>
        <v>-0.14896727036425692</v>
      </c>
      <c r="AM54" s="61">
        <f t="shared" si="14"/>
        <v>0.14989057169967107</v>
      </c>
      <c r="AN54" s="61">
        <f t="shared" si="14"/>
        <v>-0.13976619679025418</v>
      </c>
      <c r="AO54" s="843"/>
      <c r="AP54" s="437"/>
      <c r="AQ54" s="443">
        <f>'Comp Group'!C50*BR8</f>
        <v>23716.891589999999</v>
      </c>
      <c r="AR54" s="443">
        <f>'Comp Group'!D50*BS8</f>
        <v>21680.543532</v>
      </c>
      <c r="AS54" s="443">
        <f>'Comp Group'!E50*BT8</f>
        <v>26402.073280000001</v>
      </c>
      <c r="AT54" s="443">
        <f>'Comp Group'!F50*BU8</f>
        <v>29994.569979</v>
      </c>
      <c r="AU54" s="443">
        <f>'Comp Group'!G50*BV8</f>
        <v>26094.913560000001</v>
      </c>
      <c r="AV54" s="827">
        <f>'Shareholder funds'!F54</f>
        <v>38216.033309999999</v>
      </c>
      <c r="AW54" s="443">
        <f>'Long Term Debt'!C28*BR8</f>
        <v>1141.1032359999999</v>
      </c>
      <c r="AX54" s="443">
        <f>'Long Term Debt'!D28*BS8</f>
        <v>295.19334600000002</v>
      </c>
      <c r="AY54" s="443">
        <f>'Long Term Debt'!E28*BT8</f>
        <v>575.30563200000006</v>
      </c>
      <c r="AZ54" s="443">
        <f>'Long Term Debt'!F28*BU8</f>
        <v>447.40117400000003</v>
      </c>
      <c r="BA54" s="443">
        <f>'Long Term Debt'!G28*BV8</f>
        <v>491.93495999999999</v>
      </c>
      <c r="BB54" s="553">
        <f t="shared" si="15"/>
        <v>-9.1358585858585872</v>
      </c>
      <c r="BC54" s="553">
        <f t="shared" si="16"/>
        <v>9.3956891963810527</v>
      </c>
      <c r="BD54" s="553">
        <f t="shared" si="17"/>
        <v>-7.3015572390572387</v>
      </c>
      <c r="BE54" s="538">
        <f t="shared" si="18"/>
        <v>-1.2644224539422424</v>
      </c>
      <c r="BF54" s="538">
        <f t="shared" si="19"/>
        <v>0.94904386139329366</v>
      </c>
      <c r="BG54" s="455">
        <f t="shared" si="20"/>
        <v>-1.3728504770681567</v>
      </c>
    </row>
    <row r="55" spans="1:59" ht="15" customHeight="1">
      <c r="A55" s="449">
        <v>2012</v>
      </c>
      <c r="B55" s="777"/>
      <c r="C55" s="50" t="s">
        <v>487</v>
      </c>
      <c r="D55" s="51"/>
      <c r="E55" s="51"/>
      <c r="F55" s="51"/>
      <c r="G55" s="51"/>
      <c r="H55" s="51"/>
      <c r="I55" s="411" t="s">
        <v>210</v>
      </c>
      <c r="J55" s="437" t="s">
        <v>359</v>
      </c>
      <c r="K55" s="447">
        <f>'Comp Group'!C57*BV8</f>
        <v>30851.278648</v>
      </c>
      <c r="L55" s="447">
        <f>'Comp Group'!D57*BW8</f>
        <v>35511.310259999998</v>
      </c>
      <c r="M55" s="447">
        <f>'Comp Group'!E57*BX8</f>
        <v>26290.086125129204</v>
      </c>
      <c r="N55" s="447">
        <f>'Comp Group'!F57*BY8</f>
        <v>15246.908015999999</v>
      </c>
      <c r="O55" s="447">
        <f>'Comp Group'!G57*BZ8</f>
        <v>12733.716204</v>
      </c>
      <c r="P55" s="447">
        <f>'Comp Group'!C61*BV8</f>
        <v>-1358.038632</v>
      </c>
      <c r="Q55" s="447">
        <f>'Comp Group'!D61*BW8</f>
        <v>207.90867</v>
      </c>
      <c r="R55" s="447">
        <f>'Comp Group'!E61*BX8</f>
        <v>-284.69280111874508</v>
      </c>
      <c r="S55" s="447">
        <f>'Comp Group'!F61*BY8</f>
        <v>-559.61261999999999</v>
      </c>
      <c r="T55" s="447">
        <f>'Comp Group'!G61*BZ8</f>
        <v>-1278.5687640000001</v>
      </c>
      <c r="U55" s="443">
        <f>'Comp Group'!C60*BV8</f>
        <v>19537.395698</v>
      </c>
      <c r="V55" s="443">
        <f>'Comp Group'!D60*BW8</f>
        <v>16233.114149999999</v>
      </c>
      <c r="W55" s="443">
        <f>'Comp Group'!E60*BX8</f>
        <v>12296.65851523074</v>
      </c>
      <c r="X55" s="443">
        <f>'Comp Group'!F60*BY8</f>
        <v>6298.2638159999997</v>
      </c>
      <c r="Y55" s="443">
        <f>'Comp Group'!G60*BZ8</f>
        <v>8185.9476599999998</v>
      </c>
      <c r="Z55" s="443">
        <f>'Comp Group'!C62*BV8</f>
        <v>34230.722752000001</v>
      </c>
      <c r="AA55" s="443">
        <f>'Comp Group'!D62*BW8</f>
        <v>33940.692390000004</v>
      </c>
      <c r="AB55" s="443">
        <f>'Comp Group'!E62*BX8</f>
        <v>30559.442895360917</v>
      </c>
      <c r="AC55" s="443">
        <f>'Comp Group'!F62*BY8</f>
        <v>22995.006923999998</v>
      </c>
      <c r="AD55" s="443">
        <f>'Comp Group'!G62*BZ8</f>
        <v>24837.702912000001</v>
      </c>
      <c r="AE55" s="61">
        <f t="shared" si="21"/>
        <v>-3.9673092556032977E-2</v>
      </c>
      <c r="AF55" s="61">
        <f t="shared" si="13"/>
        <v>6.1256461008808542E-3</v>
      </c>
      <c r="AG55" s="61">
        <f t="shared" si="13"/>
        <v>-9.3160337409803669E-3</v>
      </c>
      <c r="AH55" s="61">
        <f t="shared" si="13"/>
        <v>-2.4336266644735368E-2</v>
      </c>
      <c r="AI55" s="61">
        <f t="shared" si="13"/>
        <v>-5.1476932811780951E-2</v>
      </c>
      <c r="AJ55" s="61">
        <f t="shared" si="22"/>
        <v>-8.3826881560151112E-2</v>
      </c>
      <c r="AK55" s="61">
        <f t="shared" si="14"/>
        <v>1.1559998557459523E-2</v>
      </c>
      <c r="AL55" s="61">
        <f t="shared" si="14"/>
        <v>-1.6287073747483654E-2</v>
      </c>
      <c r="AM55" s="61">
        <f t="shared" si="14"/>
        <v>-3.3561661396950347E-2</v>
      </c>
      <c r="AN55" s="61">
        <f t="shared" si="14"/>
        <v>-7.6902192249807724E-2</v>
      </c>
      <c r="AO55" s="843"/>
      <c r="AP55" s="437"/>
      <c r="AQ55" s="443">
        <f>'Comp Group'!C65*BV8</f>
        <v>14693.451280000001</v>
      </c>
      <c r="AR55" s="443">
        <f>'Comp Group'!D65*BW8</f>
        <v>17707.578239999999</v>
      </c>
      <c r="AS55" s="443">
        <f>'Comp Group'!E65*BX8</f>
        <v>18262.784380130113</v>
      </c>
      <c r="AT55" s="443">
        <f>'Comp Group'!F65*BY8</f>
        <v>16696.571184</v>
      </c>
      <c r="AU55" s="443">
        <f>'Comp Group'!G65*BZ8</f>
        <v>16651.755251999999</v>
      </c>
      <c r="AV55" s="827">
        <f>'Shareholder funds'!F55</f>
        <v>16600.060505000001</v>
      </c>
      <c r="AW55" s="443">
        <f>'Long Term Debt'!C29*BV8</f>
        <v>7535.4249340000006</v>
      </c>
      <c r="AX55" s="443">
        <f>'Long Term Debt'!D29*BW8</f>
        <v>997.03828499999997</v>
      </c>
      <c r="AY55" s="443">
        <f>'Long Term Debt'!E29*BX8</f>
        <v>1366.562942</v>
      </c>
      <c r="AZ55" s="443">
        <f>'Long Term Debt'!F29*BY8</f>
        <v>1464.6205559999999</v>
      </c>
      <c r="BA55" s="443">
        <f>'Long Term Debt'!G29*BZ8</f>
        <v>1917.4066560000001</v>
      </c>
      <c r="BB55" s="553">
        <f t="shared" si="15"/>
        <v>-0.66682190760059612</v>
      </c>
      <c r="BC55" s="553">
        <f t="shared" si="16"/>
        <v>-0.38208709942481517</v>
      </c>
      <c r="BD55" s="553">
        <f t="shared" si="17"/>
        <v>-0.20832761694978341</v>
      </c>
      <c r="BE55" s="538">
        <f t="shared" si="18"/>
        <v>-0.27596891603555807</v>
      </c>
      <c r="BF55" s="538">
        <f t="shared" si="19"/>
        <v>-9.6259573685401417E-2</v>
      </c>
      <c r="BG55" s="455">
        <f t="shared" si="20"/>
        <v>-9.3561289410511422E-2</v>
      </c>
    </row>
    <row r="56" spans="1:59" ht="15" customHeight="1">
      <c r="A56" s="449">
        <v>2012</v>
      </c>
      <c r="B56" s="777"/>
      <c r="C56" s="50" t="s">
        <v>487</v>
      </c>
      <c r="D56" s="51"/>
      <c r="E56" s="51"/>
      <c r="F56" s="51"/>
      <c r="G56" s="51"/>
      <c r="H56" s="51"/>
      <c r="I56" s="411" t="s">
        <v>210</v>
      </c>
      <c r="J56" s="437" t="s">
        <v>527</v>
      </c>
      <c r="K56" s="447">
        <f>'Comp Group'!C69*BV8</f>
        <v>16735.354041999999</v>
      </c>
      <c r="L56" s="447">
        <f>'Comp Group'!D69*BW8</f>
        <v>20528.513640000001</v>
      </c>
      <c r="M56" s="447">
        <f>'Comp Group'!E69*BX8</f>
        <v>14507.940269000001</v>
      </c>
      <c r="N56" s="447">
        <f>'Comp Group'!F69*BY8</f>
        <v>23392.839059999998</v>
      </c>
      <c r="O56" s="447">
        <f>'Comp Group'!G69*BZ8</f>
        <v>21100.581612000002</v>
      </c>
      <c r="P56" s="447">
        <f>'Comp Group'!C73*BV8</f>
        <v>-4494.2482280000004</v>
      </c>
      <c r="Q56" s="447">
        <f>'Comp Group'!D73*BW8</f>
        <v>-3932.1165000000001</v>
      </c>
      <c r="R56" s="447">
        <f>'Comp Group'!E73*BX8</f>
        <v>-12423.701922</v>
      </c>
      <c r="S56" s="447">
        <f>'Comp Group'!F73*BY8</f>
        <v>-10187.528543999999</v>
      </c>
      <c r="T56" s="447">
        <f>'Comp Group'!G73*BZ8</f>
        <v>-3528.5211720000002</v>
      </c>
      <c r="U56" s="443">
        <f>'Comp Group'!C72*BV8</f>
        <v>4720.3395479999999</v>
      </c>
      <c r="V56" s="443">
        <f>'Comp Group'!D72*BW8</f>
        <v>4858.7905950000004</v>
      </c>
      <c r="W56" s="443">
        <f>'Comp Group'!E72*BX8</f>
        <v>5551.2150010000005</v>
      </c>
      <c r="X56" s="443">
        <f>'Comp Group'!F72*BY8</f>
        <v>9062.2859639999988</v>
      </c>
      <c r="Y56" s="443">
        <f>'Comp Group'!G72*BZ8</f>
        <v>12474.037620000001</v>
      </c>
      <c r="Z56" s="443">
        <f>'Comp Group'!C74*BV8</f>
        <v>30815.253108000001</v>
      </c>
      <c r="AA56" s="443">
        <f>'Comp Group'!D74*BW8</f>
        <v>43074.823904999997</v>
      </c>
      <c r="AB56" s="443">
        <f>'Comp Group'!E74*BX8</f>
        <v>51373.980841999997</v>
      </c>
      <c r="AC56" s="443">
        <f>'Comp Group'!F74*BY8</f>
        <v>74439.309672000003</v>
      </c>
      <c r="AD56" s="443">
        <f>'Comp Group'!G74*BZ8</f>
        <v>90938.047068</v>
      </c>
      <c r="AE56" s="61">
        <f t="shared" si="21"/>
        <v>-0.14584492336469698</v>
      </c>
      <c r="AF56" s="61">
        <f t="shared" si="13"/>
        <v>-9.1285724317112571E-2</v>
      </c>
      <c r="AG56" s="61">
        <f t="shared" si="13"/>
        <v>-0.24182867900015248</v>
      </c>
      <c r="AH56" s="61">
        <f t="shared" si="13"/>
        <v>-0.13685683799176862</v>
      </c>
      <c r="AI56" s="61">
        <f t="shared" si="13"/>
        <v>-3.880137396574513E-2</v>
      </c>
      <c r="AJ56" s="61">
        <f t="shared" si="22"/>
        <v>-0.13976619679025418</v>
      </c>
      <c r="AK56" s="61">
        <f t="shared" si="14"/>
        <v>-9.3578597974366962E-2</v>
      </c>
      <c r="AL56" s="61">
        <f t="shared" si="14"/>
        <v>-0.22344795371204418</v>
      </c>
      <c r="AM56" s="61">
        <f t="shared" si="14"/>
        <v>-0.1416498309699312</v>
      </c>
      <c r="AN56" s="61">
        <f t="shared" si="14"/>
        <v>-4.5683141701851004E-2</v>
      </c>
      <c r="AO56" s="843"/>
      <c r="AP56" s="437"/>
      <c r="AQ56" s="443">
        <f>'Comp Group'!C77*BV8</f>
        <v>26094.913560000001</v>
      </c>
      <c r="AR56" s="443">
        <f>'Comp Group'!D77*BW8</f>
        <v>38216.033309999999</v>
      </c>
      <c r="AS56" s="443">
        <f>'Comp Group'!E77*BX8</f>
        <v>45822.765841</v>
      </c>
      <c r="AT56" s="443">
        <f>'Comp Group'!F77*BY8</f>
        <v>65377.195631999995</v>
      </c>
      <c r="AU56" s="443">
        <f>'Comp Group'!G77*BZ8</f>
        <v>78463.830851999999</v>
      </c>
      <c r="AV56" s="827">
        <f>'Shareholder funds'!F56</f>
        <v>76014.212494000007</v>
      </c>
      <c r="AW56" s="443">
        <f>'Long Term Debt'!C30*BV8</f>
        <v>491.93495999999999</v>
      </c>
      <c r="AX56" s="443">
        <f>'Long Term Debt'!D30*BW8</f>
        <v>486.34072500000002</v>
      </c>
      <c r="AY56" s="443">
        <f>'Long Term Debt'!E30*BX8</f>
        <v>390.93303200000003</v>
      </c>
      <c r="AZ56" s="443">
        <f>'Long Term Debt'!F30*BY8</f>
        <v>278.688804</v>
      </c>
      <c r="BA56" s="443">
        <f>'Long Term Debt'!G30*BZ8</f>
        <v>213.60081600000001</v>
      </c>
      <c r="BB56" s="553">
        <f t="shared" si="15"/>
        <v>-16.51923076923077</v>
      </c>
      <c r="BC56" s="553">
        <f t="shared" si="16"/>
        <v>-36.555212831585436</v>
      </c>
      <c r="BD56" s="553">
        <f t="shared" si="17"/>
        <v>-31.779616724738673</v>
      </c>
      <c r="BE56" s="538">
        <f t="shared" si="18"/>
        <v>-2.3865535990592028</v>
      </c>
      <c r="BF56" s="538">
        <f t="shared" si="19"/>
        <v>-4.5324294477566269</v>
      </c>
      <c r="BG56" s="455">
        <f t="shared" si="20"/>
        <v>-3.6332494638297712</v>
      </c>
    </row>
    <row r="57" spans="1:59" ht="15" customHeight="1">
      <c r="A57" s="449">
        <v>2007</v>
      </c>
      <c r="B57" s="777"/>
      <c r="C57" s="50" t="s">
        <v>487</v>
      </c>
      <c r="D57" s="51"/>
      <c r="E57" s="51"/>
      <c r="F57" s="51"/>
      <c r="G57" s="51"/>
      <c r="H57" s="51"/>
      <c r="I57" s="50" t="s">
        <v>211</v>
      </c>
      <c r="J57" s="437" t="s">
        <v>528</v>
      </c>
      <c r="K57" s="447">
        <f>'Comp Group'!C84*CA8</f>
        <v>904847.83674499998</v>
      </c>
      <c r="L57" s="447">
        <f>'Comp Group'!D84*CB8</f>
        <v>691368.88651999994</v>
      </c>
      <c r="M57" s="447">
        <f>'Comp Group'!E84*CC8</f>
        <v>780221.25949199998</v>
      </c>
      <c r="N57" s="447">
        <f>'Comp Group'!F84*CD8</f>
        <v>591086.04167199996</v>
      </c>
      <c r="O57" s="447">
        <f>'Comp Group'!G84*CE8</f>
        <v>470022.14282399998</v>
      </c>
      <c r="P57" s="447">
        <f>'Comp Group'!C88*CA8</f>
        <v>-23134.227328000001</v>
      </c>
      <c r="Q57" s="447">
        <f>'Comp Group'!D88*CB8</f>
        <v>115286.8366</v>
      </c>
      <c r="R57" s="447">
        <f>'Comp Group'!E88*CC8</f>
        <v>11713.237686</v>
      </c>
      <c r="S57" s="447">
        <f>'Comp Group'!F88*CD8</f>
        <v>29763.392391999998</v>
      </c>
      <c r="T57" s="447">
        <f>'Comp Group'!G88*CE8</f>
        <v>70165.862760000004</v>
      </c>
      <c r="U57" s="443">
        <f>'Comp Group'!C87*CA8</f>
        <v>3366982.6269740001</v>
      </c>
      <c r="V57" s="443">
        <f>'Comp Group'!D87*CB8</f>
        <v>2392653.2097</v>
      </c>
      <c r="W57" s="443">
        <f>'Comp Group'!E87*CC8</f>
        <v>2576683.2435559998</v>
      </c>
      <c r="X57" s="443">
        <f>'Comp Group'!F87*CD8</f>
        <v>2085332.5328399998</v>
      </c>
      <c r="Y57" s="443">
        <f>'Comp Group'!G87*CE8</f>
        <v>1147378.5014160001</v>
      </c>
      <c r="Z57" s="443">
        <f>'Comp Group'!C89*CA8</f>
        <v>4481544.6994829997</v>
      </c>
      <c r="AA57" s="443">
        <f>'Comp Group'!D89*CB8</f>
        <v>3480539.1224499997</v>
      </c>
      <c r="AB57" s="443">
        <f>'Comp Group'!E89*CC8</f>
        <v>3565294.275862</v>
      </c>
      <c r="AC57" s="443">
        <f>'Comp Group'!F89*CD8</f>
        <v>2864711.0748719997</v>
      </c>
      <c r="AD57" s="443">
        <f>'Comp Group'!G89*CE8</f>
        <v>1661108.230404</v>
      </c>
      <c r="AE57" s="61">
        <f t="shared" si="21"/>
        <v>-5.1621101382005215E-3</v>
      </c>
      <c r="AF57" s="61">
        <f t="shared" si="13"/>
        <v>3.3123269856782413E-2</v>
      </c>
      <c r="AG57" s="61">
        <f t="shared" si="13"/>
        <v>3.2853494774054883E-3</v>
      </c>
      <c r="AH57" s="61">
        <f t="shared" si="13"/>
        <v>1.0389666397100754E-2</v>
      </c>
      <c r="AI57" s="61">
        <f t="shared" si="13"/>
        <v>4.2240391971891493E-2</v>
      </c>
      <c r="AJ57" s="61">
        <f t="shared" si="22"/>
        <v>-2.1007738484299605E-2</v>
      </c>
      <c r="AK57" s="61">
        <f t="shared" si="14"/>
        <v>0.11103974698106059</v>
      </c>
      <c r="AL57" s="61">
        <f t="shared" si="14"/>
        <v>1.3250350988365413E-2</v>
      </c>
      <c r="AM57" s="61">
        <f t="shared" si="14"/>
        <v>4.6033881303686151E-2</v>
      </c>
      <c r="AN57" s="61">
        <f t="shared" si="14"/>
        <v>0.16825918092628686</v>
      </c>
      <c r="AO57" s="843"/>
      <c r="AP57" s="437"/>
      <c r="AQ57" s="443">
        <f>'Comp Group'!C92*CA8</f>
        <v>1114562.0725090001</v>
      </c>
      <c r="AR57" s="443">
        <f>'Comp Group'!D92*CB8</f>
        <v>1087886.0725199999</v>
      </c>
      <c r="AS57" s="443">
        <f>'Comp Group'!E92*CC8</f>
        <v>988610.67273400002</v>
      </c>
      <c r="AT57" s="443">
        <f>'Comp Group'!F92*CD8</f>
        <v>779378.3709199999</v>
      </c>
      <c r="AU57" s="443">
        <f>'Comp Group'!G92*CE8</f>
        <v>513729.72898800002</v>
      </c>
      <c r="AV57" s="827">
        <f>'Shareholder funds'!F57</f>
        <v>320291.48012199998</v>
      </c>
      <c r="AW57" s="443">
        <f>'Long Term Debt'!C31*CA8</f>
        <v>2804854.267029</v>
      </c>
      <c r="AX57" s="443">
        <f>'Long Term Debt'!D31*CB8</f>
        <v>1912990.5973099999</v>
      </c>
      <c r="AY57" s="443">
        <f>'Long Term Debt'!E31*CC8</f>
        <v>2036992.8192420001</v>
      </c>
      <c r="AZ57" s="443">
        <f>'Long Term Debt'!F31*CD8</f>
        <v>1807506.5340399998</v>
      </c>
      <c r="BA57" s="443">
        <f>'Long Term Debt'!G31*CE8</f>
        <v>917533.04372399999</v>
      </c>
      <c r="BB57" s="553">
        <f t="shared" si="15"/>
        <v>7.6472300632593193E-2</v>
      </c>
      <c r="BC57" s="553">
        <f t="shared" si="16"/>
        <v>1.6466547606594346E-2</v>
      </c>
      <c r="BD57" s="553">
        <f t="shared" si="17"/>
        <v>5.7502596844493034E-3</v>
      </c>
      <c r="BE57" s="538">
        <f t="shared" si="18"/>
        <v>4.6324720143463144E-2</v>
      </c>
      <c r="BF57" s="538">
        <f t="shared" si="19"/>
        <v>4.2196301336515217E-2</v>
      </c>
      <c r="BG57" s="455">
        <f t="shared" si="20"/>
        <v>7.8299396445370081E-3</v>
      </c>
    </row>
    <row r="58" spans="1:59" ht="15" customHeight="1">
      <c r="A58" s="449">
        <v>2007</v>
      </c>
      <c r="B58" s="777"/>
      <c r="C58" s="50" t="s">
        <v>487</v>
      </c>
      <c r="D58" s="51"/>
      <c r="E58" s="51"/>
      <c r="F58" s="51"/>
      <c r="G58" s="51"/>
      <c r="H58" s="51"/>
      <c r="I58" s="50" t="s">
        <v>211</v>
      </c>
      <c r="J58" s="437" t="s">
        <v>529</v>
      </c>
      <c r="K58" s="447">
        <f>'Comp Group'!C108*CA8</f>
        <v>433512.63842600002</v>
      </c>
      <c r="L58" s="447">
        <f>'Comp Group'!D108*CB8</f>
        <v>404119.52191000001</v>
      </c>
      <c r="M58" s="447">
        <f>'Comp Group'!E108*CC8</f>
        <v>404460.78869399999</v>
      </c>
      <c r="N58" s="447">
        <f>'Comp Group'!F108*CD8</f>
        <v>381635.88473599998</v>
      </c>
      <c r="O58" s="447">
        <f>'Comp Group'!G108*CE8</f>
        <v>293957.29610400001</v>
      </c>
      <c r="P58" s="447">
        <f>'Comp Group'!C112*CA8</f>
        <v>8021.1399590000001</v>
      </c>
      <c r="Q58" s="447">
        <f>'Comp Group'!D112*CB8</f>
        <v>164156.96466</v>
      </c>
      <c r="R58" s="447">
        <f>'Comp Group'!E112*CC8</f>
        <v>8191.2299460000004</v>
      </c>
      <c r="S58" s="447">
        <f>'Comp Group'!F112*CD8</f>
        <v>116412.455848</v>
      </c>
      <c r="T58" s="447">
        <f>'Comp Group'!G112*CE8</f>
        <v>135182.971464</v>
      </c>
      <c r="U58" s="443">
        <f>'Comp Group'!C111*CA8</f>
        <v>1752189.7705600001</v>
      </c>
      <c r="V58" s="443">
        <f>'Comp Group'!D111*CB8</f>
        <v>1220039.6682499999</v>
      </c>
      <c r="W58" s="443">
        <f>'Comp Group'!E111*CC8</f>
        <v>1171437.7529239999</v>
      </c>
      <c r="X58" s="443">
        <f>'Comp Group'!F111*CD8</f>
        <v>1128861.79752</v>
      </c>
      <c r="Y58" s="443">
        <f>'Comp Group'!G111*CE8</f>
        <v>799262.18854799995</v>
      </c>
      <c r="Z58" s="443">
        <f>'Comp Group'!C113*CA8</f>
        <v>2578746.0530440002</v>
      </c>
      <c r="AA58" s="443">
        <f>'Comp Group'!D113*CB8</f>
        <v>1959826.0544199999</v>
      </c>
      <c r="AB58" s="443">
        <f>'Comp Group'!E113*CC8</f>
        <v>1836218.601602</v>
      </c>
      <c r="AC58" s="443">
        <f>'Comp Group'!F113*CD8</f>
        <v>1764963.9841519999</v>
      </c>
      <c r="AD58" s="443">
        <f>'Comp Group'!G113*CE8</f>
        <v>1294716.0417599999</v>
      </c>
      <c r="AE58" s="61">
        <f t="shared" si="21"/>
        <v>3.1104807507244445E-3</v>
      </c>
      <c r="AF58" s="61">
        <f t="shared" si="13"/>
        <v>8.3760986996665565E-2</v>
      </c>
      <c r="AG58" s="61">
        <f t="shared" si="13"/>
        <v>4.4609230833701401E-3</v>
      </c>
      <c r="AH58" s="61">
        <f t="shared" si="13"/>
        <v>6.5957411535472146E-2</v>
      </c>
      <c r="AI58" s="61">
        <f t="shared" si="13"/>
        <v>0.10441128950579476</v>
      </c>
      <c r="AJ58" s="61">
        <f t="shared" si="22"/>
        <v>1.0241873360194326E-2</v>
      </c>
      <c r="AK58" s="61">
        <f t="shared" si="14"/>
        <v>0.23374738958426713</v>
      </c>
      <c r="AL58" s="61">
        <f t="shared" si="14"/>
        <v>1.259334132880368E-2</v>
      </c>
      <c r="AM58" s="61">
        <f t="shared" si="14"/>
        <v>0.20575650619152708</v>
      </c>
      <c r="AN58" s="61">
        <f t="shared" si="14"/>
        <v>0.29571803219955239</v>
      </c>
      <c r="AO58" s="843"/>
      <c r="AP58" s="437"/>
      <c r="AQ58" s="443">
        <f>'Comp Group'!C116*CA8</f>
        <v>826556.11682300002</v>
      </c>
      <c r="AR58" s="443">
        <f>'Comp Group'!D116*CB8</f>
        <v>739786.22639999993</v>
      </c>
      <c r="AS58" s="443">
        <f>'Comp Group'!E116*CC8</f>
        <v>664781.02846399997</v>
      </c>
      <c r="AT58" s="443">
        <f>'Comp Group'!F116*CD8</f>
        <v>636101.67329599999</v>
      </c>
      <c r="AU58" s="443">
        <f>'Comp Group'!G116*CE8</f>
        <v>495453.85321199999</v>
      </c>
      <c r="AV58" s="827">
        <f>'Shareholder funds'!F58</f>
        <v>418815.53008199995</v>
      </c>
      <c r="AW58" s="443">
        <f>'Long Term Debt'!C32*CA8</f>
        <v>1440132.4882499999</v>
      </c>
      <c r="AX58" s="443">
        <f>'Long Term Debt'!D32*CB8</f>
        <v>1032088.6368</v>
      </c>
      <c r="AY58" s="443">
        <f>'Long Term Debt'!E32*CC8</f>
        <v>919388.38829799998</v>
      </c>
      <c r="AZ58" s="443">
        <f>'Long Term Debt'!F32*CD8</f>
        <v>766511.09074399993</v>
      </c>
      <c r="BA58" s="443">
        <f>'Long Term Debt'!G32*CE8</f>
        <v>658578.439488</v>
      </c>
      <c r="BB58" s="553">
        <f t="shared" si="15"/>
        <v>0.20526479969355751</v>
      </c>
      <c r="BC58" s="553">
        <f t="shared" si="16"/>
        <v>0.15187315259196887</v>
      </c>
      <c r="BD58" s="553">
        <f t="shared" si="17"/>
        <v>8.9094337608112036E-3</v>
      </c>
      <c r="BE58" s="538">
        <f t="shared" si="18"/>
        <v>0.13063464358210955</v>
      </c>
      <c r="BF58" s="538">
        <f t="shared" si="19"/>
        <v>0.18138103760590391</v>
      </c>
      <c r="BG58" s="455">
        <f t="shared" si="20"/>
        <v>1.024314839582063E-2</v>
      </c>
    </row>
    <row r="59" spans="1:59" ht="15" customHeight="1">
      <c r="A59" s="449">
        <v>2004</v>
      </c>
      <c r="B59" s="777"/>
      <c r="C59" s="50" t="s">
        <v>487</v>
      </c>
      <c r="D59" s="51"/>
      <c r="E59" s="51"/>
      <c r="F59" s="51"/>
      <c r="G59" s="51"/>
      <c r="H59" s="51"/>
      <c r="I59" s="50" t="s">
        <v>212</v>
      </c>
      <c r="J59" s="437" t="s">
        <v>531</v>
      </c>
      <c r="K59" s="447">
        <f>'Comp Group'!C135*CD8</f>
        <v>19537.739271999999</v>
      </c>
      <c r="L59" s="447">
        <f>'Comp Group'!D135*CE8</f>
        <v>17148.619908000001</v>
      </c>
      <c r="M59" s="447">
        <f>'Comp Group'!E135*CF8</f>
        <v>15678.577825999999</v>
      </c>
      <c r="N59" s="447">
        <f>'Comp Group'!F135*CG8</f>
        <v>13610.749409999999</v>
      </c>
      <c r="O59" s="447">
        <f>'Comp Group'!G135*CH8</f>
        <v>27137.042939999999</v>
      </c>
      <c r="P59" s="447">
        <f>'Comp Group'!C139*CD8</f>
        <v>5970.6110159999998</v>
      </c>
      <c r="Q59" s="447">
        <f>'Comp Group'!D139*CE8</f>
        <v>5940.8460479999994</v>
      </c>
      <c r="R59" s="447">
        <f>'Comp Group'!E139*CF8</f>
        <v>5365.4589229999992</v>
      </c>
      <c r="S59" s="447">
        <f>'Comp Group'!F139*CG8</f>
        <v>4717.9372319999993</v>
      </c>
      <c r="T59" s="447">
        <f>'Comp Group'!G139*CH8</f>
        <v>3408.8598419999998</v>
      </c>
      <c r="U59" s="443">
        <f>'Comp Group'!C138*CD8</f>
        <v>857272.14667199994</v>
      </c>
      <c r="V59" s="443">
        <f>'Comp Group'!D138*CE8</f>
        <v>685770.89200799994</v>
      </c>
      <c r="W59" s="443">
        <f>'Comp Group'!E138*CF8</f>
        <v>565713.45185399998</v>
      </c>
      <c r="X59" s="443">
        <f>'Comp Group'!F138*CG8</f>
        <v>467649.76994999999</v>
      </c>
      <c r="Y59" s="443">
        <f>'Comp Group'!G138*CH8</f>
        <v>361017.400869</v>
      </c>
      <c r="Z59" s="443">
        <f>'Comp Group'!C140*CD8</f>
        <v>913806.35368799989</v>
      </c>
      <c r="AA59" s="443">
        <f>'Comp Group'!D140*CE8</f>
        <v>733213.36207199993</v>
      </c>
      <c r="AB59" s="443">
        <f>'Comp Group'!E140*CF8</f>
        <v>609187.39880899992</v>
      </c>
      <c r="AC59" s="443">
        <f>'Comp Group'!F140*CG8</f>
        <v>505666.80588599999</v>
      </c>
      <c r="AD59" s="443">
        <f>'Comp Group'!G140*CH8</f>
        <v>394033.195266</v>
      </c>
      <c r="AE59" s="61">
        <f t="shared" si="21"/>
        <v>6.533781464643373E-3</v>
      </c>
      <c r="AF59" s="61">
        <f t="shared" si="13"/>
        <v>8.1024792445293994E-3</v>
      </c>
      <c r="AG59" s="61">
        <f t="shared" si="13"/>
        <v>8.8075671517332966E-3</v>
      </c>
      <c r="AH59" s="61">
        <f t="shared" si="13"/>
        <v>9.3301303883957815E-3</v>
      </c>
      <c r="AI59" s="61">
        <f t="shared" si="13"/>
        <v>8.6511996526048539E-3</v>
      </c>
      <c r="AJ59" s="61">
        <f t="shared" si="22"/>
        <v>0.11484519766689971</v>
      </c>
      <c r="AK59" s="61">
        <f t="shared" si="14"/>
        <v>0.13068808126828102</v>
      </c>
      <c r="AL59" s="61">
        <f t="shared" si="14"/>
        <v>0.13168227287617046</v>
      </c>
      <c r="AM59" s="61">
        <f t="shared" si="14"/>
        <v>0.13283821607227073</v>
      </c>
      <c r="AN59" s="61">
        <f t="shared" si="14"/>
        <v>0.12500914259307555</v>
      </c>
      <c r="AO59" s="843"/>
      <c r="AP59" s="437"/>
      <c r="AQ59" s="443">
        <f>'Comp Group'!C143*CD8</f>
        <v>56534.207015999993</v>
      </c>
      <c r="AR59" s="443">
        <f>'Comp Group'!D143*CE8</f>
        <v>47442.470064000001</v>
      </c>
      <c r="AS59" s="443">
        <f>'Comp Group'!E143*CF8</f>
        <v>43473.946954999999</v>
      </c>
      <c r="AT59" s="443">
        <f>'Comp Group'!F143*CG8</f>
        <v>38017.035936</v>
      </c>
      <c r="AU59" s="443">
        <f>'Comp Group'!G143*CH8</f>
        <v>33015.794396999998</v>
      </c>
      <c r="AV59" s="827">
        <f>'Shareholder funds'!F59</f>
        <v>21521.974141999999</v>
      </c>
      <c r="AW59" s="443">
        <f>'Long Term Debt'!C33*CD8</f>
        <v>26621.091623999997</v>
      </c>
      <c r="AX59" s="443">
        <f>'Long Term Debt'!D33*CE8</f>
        <v>29038.897944</v>
      </c>
      <c r="AY59" s="443">
        <f>'Long Term Debt'!E33*CF8</f>
        <v>15893.308134999999</v>
      </c>
      <c r="AZ59" s="443">
        <f>'Long Term Debt'!F33*CG8</f>
        <v>15168.429845999999</v>
      </c>
      <c r="BA59" s="443">
        <f>'Long Term Debt'!G33*CH8</f>
        <v>355876.299237</v>
      </c>
      <c r="BB59" s="553">
        <f t="shared" si="15"/>
        <v>9.578777370981454E-3</v>
      </c>
      <c r="BC59" s="553">
        <f t="shared" si="16"/>
        <v>0.31103662540550603</v>
      </c>
      <c r="BD59" s="553">
        <f t="shared" si="17"/>
        <v>0.33759232989287286</v>
      </c>
      <c r="BE59" s="538">
        <f t="shared" si="18"/>
        <v>1.839898473206952E-2</v>
      </c>
      <c r="BF59" s="538">
        <f t="shared" si="19"/>
        <v>0.29747766325164876</v>
      </c>
      <c r="BG59" s="455">
        <f t="shared" si="20"/>
        <v>0.3228977992546056</v>
      </c>
    </row>
    <row r="60" spans="1:59" ht="15" customHeight="1">
      <c r="A60" s="449">
        <v>2004</v>
      </c>
      <c r="B60" s="777"/>
      <c r="C60" s="50" t="s">
        <v>487</v>
      </c>
      <c r="D60" s="51"/>
      <c r="E60" s="51"/>
      <c r="F60" s="51"/>
      <c r="G60" s="51"/>
      <c r="H60" s="51"/>
      <c r="I60" s="50" t="s">
        <v>212</v>
      </c>
      <c r="J60" s="437" t="s">
        <v>533</v>
      </c>
      <c r="K60" s="447">
        <f>'Comp Group'!C159*CD8</f>
        <v>178127.59199999998</v>
      </c>
      <c r="L60" s="447">
        <f>'Comp Group'!D159*CE8</f>
        <v>146117.08799999999</v>
      </c>
      <c r="M60" s="447">
        <f>'Comp Group'!E159*CF8</f>
        <v>143205.36899999998</v>
      </c>
      <c r="N60" s="447">
        <f>'Comp Group'!F159*CG8</f>
        <v>127403.33399999999</v>
      </c>
      <c r="O60" s="447">
        <f>'Comp Group'!G159*CH8</f>
        <v>113365.13099999999</v>
      </c>
      <c r="P60" s="447">
        <f>'Comp Group'!C163*CD8</f>
        <v>59718.087999999996</v>
      </c>
      <c r="Q60" s="447">
        <f>'Comp Group'!D163*CE8</f>
        <v>48237.371999999996</v>
      </c>
      <c r="R60" s="447">
        <f>'Comp Group'!E163*CF8</f>
        <v>49911.968999999997</v>
      </c>
      <c r="S60" s="447">
        <f>'Comp Group'!F163*CG8</f>
        <v>40138.74</v>
      </c>
      <c r="T60" s="447">
        <f>'Comp Group'!G163*CH8</f>
        <v>30211.878000000001</v>
      </c>
      <c r="U60" s="443">
        <f>'Comp Group'!C162*CD8</f>
        <v>5846725.9279999994</v>
      </c>
      <c r="V60" s="443">
        <f>'Comp Group'!D162*CE8</f>
        <v>4967044.3439999996</v>
      </c>
      <c r="W60" s="443">
        <f>'Comp Group'!E162*CF8</f>
        <v>4202712.1809999999</v>
      </c>
      <c r="X60" s="443">
        <f>'Comp Group'!F162*CG8</f>
        <v>3536074.3319999999</v>
      </c>
      <c r="Y60" s="443">
        <f>'Comp Group'!G162*CH8</f>
        <v>2930410.9890000001</v>
      </c>
      <c r="Z60" s="443">
        <f>'Comp Group'!C164*CD8</f>
        <v>6503796.0079999994</v>
      </c>
      <c r="AA60" s="443">
        <f>'Comp Group'!D164*CE8</f>
        <v>5538399.6239999998</v>
      </c>
      <c r="AB60" s="443">
        <f>'Comp Group'!E164*CF8</f>
        <v>4710072.7879999997</v>
      </c>
      <c r="AC60" s="443">
        <f>'Comp Group'!F164*CG8</f>
        <v>3974181.2459999998</v>
      </c>
      <c r="AD60" s="443">
        <f>'Comp Group'!G164*CH8</f>
        <v>3308906.5260000001</v>
      </c>
      <c r="AE60" s="61">
        <f t="shared" si="21"/>
        <v>9.182035833618353E-3</v>
      </c>
      <c r="AF60" s="61">
        <f t="shared" si="13"/>
        <v>8.7096228648740059E-3</v>
      </c>
      <c r="AG60" s="61">
        <f t="shared" si="13"/>
        <v>1.05968572560412E-2</v>
      </c>
      <c r="AH60" s="61">
        <f t="shared" si="13"/>
        <v>1.0099876557064303E-2</v>
      </c>
      <c r="AI60" s="61">
        <f t="shared" si="13"/>
        <v>9.1304718832664906E-3</v>
      </c>
      <c r="AJ60" s="61">
        <f t="shared" si="22"/>
        <v>9.7227051711143445E-2</v>
      </c>
      <c r="AK60" s="61">
        <f t="shared" si="14"/>
        <v>8.9434804069034701E-2</v>
      </c>
      <c r="AL60" s="61">
        <f t="shared" si="14"/>
        <v>0.10558156233057951</v>
      </c>
      <c r="AM60" s="61">
        <f t="shared" si="14"/>
        <v>9.8306685097128116E-2</v>
      </c>
      <c r="AN60" s="61">
        <f t="shared" si="14"/>
        <v>8.7765447886192741E-2</v>
      </c>
      <c r="AO60" s="843"/>
      <c r="AP60" s="437"/>
      <c r="AQ60" s="443">
        <f>'Comp Group'!C167*CD8</f>
        <v>657070.07999999996</v>
      </c>
      <c r="AR60" s="443">
        <f>'Comp Group'!D167*CE8</f>
        <v>571355.28</v>
      </c>
      <c r="AS60" s="443">
        <f>'Comp Group'!E167*CF8</f>
        <v>507360.60699999996</v>
      </c>
      <c r="AT60" s="443">
        <f>'Comp Group'!F167*CG8</f>
        <v>438106.91399999999</v>
      </c>
      <c r="AU60" s="443">
        <f>'Comp Group'!G167*CH8</f>
        <v>378495.53700000001</v>
      </c>
      <c r="AV60" s="827">
        <f>'Shareholder funds'!F60</f>
        <v>309973.07399999996</v>
      </c>
      <c r="AW60" s="443">
        <f>'Long Term Debt'!C35*CD8</f>
        <v>81278.2</v>
      </c>
      <c r="AX60" s="443">
        <f>'Long Term Debt'!D35*CE8</f>
        <v>19201.284</v>
      </c>
      <c r="AY60" s="443">
        <f>'Long Term Debt'!E35*CF8</f>
        <v>17414.768</v>
      </c>
      <c r="AZ60" s="443">
        <f>'Long Term Debt'!F35*CG8</f>
        <v>16650.144</v>
      </c>
      <c r="BA60" s="443">
        <f>'Long Term Debt'!G35*CH8</f>
        <v>15105.939</v>
      </c>
      <c r="BB60" s="553">
        <f t="shared" si="15"/>
        <v>2</v>
      </c>
      <c r="BC60" s="553">
        <f t="shared" si="16"/>
        <v>2.4107142857142856</v>
      </c>
      <c r="BD60" s="553">
        <f t="shared" si="17"/>
        <v>2.8660714285714284</v>
      </c>
      <c r="BE60" s="538">
        <f t="shared" si="18"/>
        <v>1.7823477142093003</v>
      </c>
      <c r="BF60" s="538">
        <f t="shared" si="19"/>
        <v>2.1548204229825099</v>
      </c>
      <c r="BG60" s="455">
        <f t="shared" si="20"/>
        <v>2.568716403035185</v>
      </c>
    </row>
    <row r="61" spans="1:59" ht="15" customHeight="1">
      <c r="A61" s="449">
        <v>2004</v>
      </c>
      <c r="B61" s="777"/>
      <c r="C61" s="50" t="s">
        <v>487</v>
      </c>
      <c r="D61" s="51"/>
      <c r="E61" s="51"/>
      <c r="F61" s="51"/>
      <c r="G61" s="51"/>
      <c r="H61" s="51"/>
      <c r="I61" s="50" t="s">
        <v>212</v>
      </c>
      <c r="J61" s="437" t="s">
        <v>534</v>
      </c>
      <c r="K61" s="447">
        <f>'Comp Group'!C171*CD8</f>
        <v>320321.66399999999</v>
      </c>
      <c r="L61" s="447">
        <f>'Comp Group'!D171*CE8</f>
        <v>282087.15600000002</v>
      </c>
      <c r="M61" s="447">
        <f>'Comp Group'!E171*CF8</f>
        <v>259200.16299999997</v>
      </c>
      <c r="N61" s="447">
        <f>'Comp Group'!F171*CG8</f>
        <v>226560.88799999998</v>
      </c>
      <c r="O61" s="447">
        <f>'Comp Group'!G171*CH8</f>
        <v>198353.685</v>
      </c>
      <c r="P61" s="447">
        <f>'Comp Group'!C175*CD8</f>
        <v>120291.73599999999</v>
      </c>
      <c r="Q61" s="447">
        <f>'Comp Group'!D175*CE8</f>
        <v>118954.296</v>
      </c>
      <c r="R61" s="447">
        <f>'Comp Group'!E175*CF8</f>
        <v>86296.39499999999</v>
      </c>
      <c r="S61" s="447">
        <f>'Comp Group'!F175*CG8</f>
        <v>54112.967999999993</v>
      </c>
      <c r="T61" s="447">
        <f>'Comp Group'!G175*CH8</f>
        <v>29647.17</v>
      </c>
      <c r="U61" s="443">
        <f>'Comp Group'!C174*CD8</f>
        <v>9704617.0800000001</v>
      </c>
      <c r="V61" s="443">
        <f>'Comp Group'!D174*CE8</f>
        <v>8029883.3039999995</v>
      </c>
      <c r="W61" s="443">
        <f>'Comp Group'!E174*CF8</f>
        <v>7103203.9869999997</v>
      </c>
      <c r="X61" s="443">
        <f>'Comp Group'!F174*CG8</f>
        <v>5894894.2859999994</v>
      </c>
      <c r="Y61" s="443">
        <f>'Comp Group'!G174*CH8</f>
        <v>5440114.5180000002</v>
      </c>
      <c r="Z61" s="443">
        <f>'Comp Group'!C176*CD8</f>
        <v>10406860.727999998</v>
      </c>
      <c r="AA61" s="443">
        <f>'Comp Group'!D176*CE8</f>
        <v>8580007.8959999997</v>
      </c>
      <c r="AB61" s="443">
        <f>'Comp Group'!E176*CF8</f>
        <v>7561430.0699999994</v>
      </c>
      <c r="AC61" s="443">
        <f>'Comp Group'!F176*CG8</f>
        <v>6280226.1899999995</v>
      </c>
      <c r="AD61" s="443">
        <f>'Comp Group'!G176*CH8</f>
        <v>5773009.8839999996</v>
      </c>
      <c r="AE61" s="61">
        <f t="shared" si="21"/>
        <v>1.1558887847547642E-2</v>
      </c>
      <c r="AF61" s="61">
        <f t="shared" si="13"/>
        <v>1.3864124304064628E-2</v>
      </c>
      <c r="AG61" s="61">
        <f t="shared" si="13"/>
        <v>1.1412708204811843E-2</v>
      </c>
      <c r="AH61" s="61">
        <f t="shared" si="13"/>
        <v>8.6164043082021542E-3</v>
      </c>
      <c r="AI61" s="61">
        <f t="shared" si="13"/>
        <v>5.1354788222635235E-3</v>
      </c>
      <c r="AJ61" s="61">
        <f t="shared" si="22"/>
        <v>0.19210282113190608</v>
      </c>
      <c r="AK61" s="61">
        <f t="shared" si="14"/>
        <v>0.23593834753965928</v>
      </c>
      <c r="AL61" s="61">
        <f t="shared" si="14"/>
        <v>0.20478142432728422</v>
      </c>
      <c r="AM61" s="61">
        <f t="shared" si="14"/>
        <v>0.15093000760191158</v>
      </c>
      <c r="AN61" s="61">
        <f t="shared" si="14"/>
        <v>9.6598838962381153E-2</v>
      </c>
      <c r="AO61" s="843"/>
      <c r="AP61" s="437"/>
      <c r="AQ61" s="443">
        <f>'Comp Group'!C179*CD8</f>
        <v>702243.64799999993</v>
      </c>
      <c r="AR61" s="443">
        <f>'Comp Group'!D179*CE8</f>
        <v>550124.59199999995</v>
      </c>
      <c r="AS61" s="443">
        <f>'Comp Group'!E179*CF8</f>
        <v>458226.08299999998</v>
      </c>
      <c r="AT61" s="443">
        <f>'Comp Group'!F179*CG8</f>
        <v>384588.59399999998</v>
      </c>
      <c r="AU61" s="443">
        <f>'Comp Group'!G179*CH8</f>
        <v>332471.83500000002</v>
      </c>
      <c r="AV61" s="827">
        <f>'Shareholder funds'!F61</f>
        <v>281348.58599999995</v>
      </c>
      <c r="AW61" s="443">
        <f>'Long Term Debt'!C36*CD8</f>
        <v>235963.44799999997</v>
      </c>
      <c r="AX61" s="443">
        <f>'Long Term Debt'!D36*CE8</f>
        <v>240406.32</v>
      </c>
      <c r="AY61" s="443">
        <f>'Long Term Debt'!E36*CF8</f>
        <v>232145.07699999999</v>
      </c>
      <c r="AZ61" s="443">
        <f>'Long Term Debt'!F36*CG8</f>
        <v>178691.72399999999</v>
      </c>
      <c r="BA61" s="443">
        <f>'Long Term Debt'!G36*CH8</f>
        <v>212894.916</v>
      </c>
      <c r="BB61" s="553">
        <f t="shared" si="15"/>
        <v>0.13925729442970822</v>
      </c>
      <c r="BC61" s="553">
        <f t="shared" si="16"/>
        <v>0.30282861896838603</v>
      </c>
      <c r="BD61" s="553">
        <f t="shared" si="17"/>
        <v>0.3717347622237106</v>
      </c>
      <c r="BE61" s="538">
        <f t="shared" si="18"/>
        <v>0.14230093001345143</v>
      </c>
      <c r="BF61" s="538">
        <f t="shared" si="19"/>
        <v>0.29873190655867687</v>
      </c>
      <c r="BG61" s="455">
        <f t="shared" si="20"/>
        <v>0.36161731441822498</v>
      </c>
    </row>
    <row r="62" spans="1:59" ht="15" customHeight="1">
      <c r="A62" s="449">
        <v>2008</v>
      </c>
      <c r="B62" s="413"/>
      <c r="C62" s="411" t="s">
        <v>435</v>
      </c>
      <c r="D62" s="536"/>
      <c r="E62" s="536"/>
      <c r="F62" s="536"/>
      <c r="G62" s="536"/>
      <c r="H62" s="536"/>
      <c r="I62" s="411" t="s">
        <v>245</v>
      </c>
      <c r="J62" s="524" t="s">
        <v>356</v>
      </c>
      <c r="K62" s="592">
        <f>'Comp Group'!C226</f>
        <v>1253300</v>
      </c>
      <c r="L62" s="592">
        <f>'Comp Group'!D226</f>
        <v>1135100</v>
      </c>
      <c r="M62" s="592">
        <f>'Comp Group'!E226</f>
        <v>1350202</v>
      </c>
      <c r="N62" s="592">
        <f>'Comp Group'!F226</f>
        <v>1917502</v>
      </c>
      <c r="O62" s="592">
        <f>'Comp Group'!G226</f>
        <v>1519867</v>
      </c>
      <c r="P62" s="592">
        <f>'Comp Group'!C230</f>
        <v>33700</v>
      </c>
      <c r="Q62" s="592">
        <f>'Comp Group'!D230</f>
        <v>-7600</v>
      </c>
      <c r="R62" s="592">
        <f>'Comp Group'!E230</f>
        <v>165825</v>
      </c>
      <c r="S62" s="592">
        <f>'Comp Group'!F230</f>
        <v>417384</v>
      </c>
      <c r="T62" s="592">
        <f>'Comp Group'!G230</f>
        <v>470009</v>
      </c>
      <c r="U62" s="534">
        <f>'Comp Group'!C229</f>
        <v>1365489</v>
      </c>
      <c r="V62" s="534">
        <f>'Comp Group'!D229</f>
        <v>1279699</v>
      </c>
      <c r="W62" s="534">
        <f>'Comp Group'!E229</f>
        <v>1480371</v>
      </c>
      <c r="X62" s="534">
        <f>'Comp Group'!F229</f>
        <v>1925125</v>
      </c>
      <c r="Y62" s="534">
        <f>'Comp Group'!G229</f>
        <v>2134234</v>
      </c>
      <c r="Z62" s="534">
        <f>'Comp Group'!C231</f>
        <v>3137179</v>
      </c>
      <c r="AA62" s="534">
        <f>'Comp Group'!D231</f>
        <v>3001507</v>
      </c>
      <c r="AB62" s="534">
        <f>'Comp Group'!E231</f>
        <v>2929408</v>
      </c>
      <c r="AC62" s="534">
        <f>'Comp Group'!F231</f>
        <v>3064805</v>
      </c>
      <c r="AD62" s="534">
        <f>'Comp Group'!G231</f>
        <v>2874968</v>
      </c>
      <c r="AE62" s="61">
        <f t="shared" si="21"/>
        <v>1.0742134892526055E-2</v>
      </c>
      <c r="AF62" s="61">
        <f t="shared" si="13"/>
        <v>-2.5320613944928333E-3</v>
      </c>
      <c r="AG62" s="61">
        <f t="shared" si="13"/>
        <v>5.660700045879577E-2</v>
      </c>
      <c r="AH62" s="61">
        <f t="shared" si="13"/>
        <v>0.13618615213692226</v>
      </c>
      <c r="AI62" s="61">
        <f t="shared" si="13"/>
        <v>0.16348321094356527</v>
      </c>
      <c r="AJ62" s="61">
        <f t="shared" si="22"/>
        <v>1.9293027889016427E-2</v>
      </c>
      <c r="AK62" s="61">
        <f t="shared" si="14"/>
        <v>-4.7936869665643487E-3</v>
      </c>
      <c r="AL62" s="61">
        <f t="shared" si="14"/>
        <v>0.12811365630155788</v>
      </c>
      <c r="AM62" s="61">
        <f t="shared" si="14"/>
        <v>0.44392777335203842</v>
      </c>
      <c r="AN62" s="61">
        <f t="shared" si="14"/>
        <v>0.69329047798512999</v>
      </c>
      <c r="AO62" s="843"/>
      <c r="AP62" s="437"/>
      <c r="AQ62" s="534">
        <f>'Comp Group'!C234</f>
        <v>1771690</v>
      </c>
      <c r="AR62" s="534">
        <f>'Comp Group'!D234</f>
        <v>1721800</v>
      </c>
      <c r="AS62" s="534">
        <f>'Comp Group'!E234</f>
        <v>1449037</v>
      </c>
      <c r="AT62" s="534">
        <f>'Comp Group'!F234</f>
        <v>1139680</v>
      </c>
      <c r="AU62" s="534">
        <f>'Comp Group'!G234</f>
        <v>740734</v>
      </c>
      <c r="AV62" s="827">
        <f>'Shareholder funds'!F62</f>
        <v>615145</v>
      </c>
      <c r="AW62" s="534">
        <f>'Comp Group'!C227</f>
        <v>833348</v>
      </c>
      <c r="AX62" s="534">
        <f>'Comp Group'!D227</f>
        <v>895281</v>
      </c>
      <c r="AY62" s="534">
        <f>'Comp Group'!E227</f>
        <v>999760</v>
      </c>
      <c r="AZ62" s="534">
        <f>'Comp Group'!F227</f>
        <v>1389459</v>
      </c>
      <c r="BA62" s="534">
        <f>'Comp Group'!G227</f>
        <v>1268593</v>
      </c>
      <c r="BB62" s="553">
        <f t="shared" si="15"/>
        <v>0.37049628998425815</v>
      </c>
      <c r="BC62" s="553">
        <f t="shared" si="16"/>
        <v>0.30039317460968623</v>
      </c>
      <c r="BD62" s="553">
        <f t="shared" si="17"/>
        <v>0.16586480755381292</v>
      </c>
      <c r="BE62" s="538">
        <f t="shared" si="18"/>
        <v>0.28000895337917009</v>
      </c>
      <c r="BF62" s="538">
        <f t="shared" si="19"/>
        <v>0.18690622767465406</v>
      </c>
      <c r="BG62" s="455">
        <f t="shared" si="20"/>
        <v>0.14719113186332738</v>
      </c>
    </row>
    <row r="63" spans="1:59" ht="15" customHeight="1">
      <c r="A63" s="449">
        <v>2008</v>
      </c>
      <c r="B63" s="676"/>
      <c r="C63" s="50" t="s">
        <v>487</v>
      </c>
      <c r="D63" s="51"/>
      <c r="E63" s="51"/>
      <c r="F63" s="51"/>
      <c r="G63" s="51"/>
      <c r="H63" s="51"/>
      <c r="I63" s="50" t="s">
        <v>245</v>
      </c>
      <c r="J63" s="524" t="s">
        <v>535</v>
      </c>
      <c r="K63" s="448">
        <f>'Comp Group'!C238*BZ8</f>
        <v>136206.06080400001</v>
      </c>
      <c r="L63" s="448">
        <f>'Comp Group'!D238*CA8</f>
        <v>70009.332565999997</v>
      </c>
      <c r="M63" s="448">
        <f>'Comp Group'!E238*CB8</f>
        <v>58587.659</v>
      </c>
      <c r="N63" s="448">
        <f>'Comp Group'!F238*CC8</f>
        <v>114511.276766</v>
      </c>
      <c r="O63" s="448">
        <f>'Comp Group'!G238*CD8</f>
        <v>129536.23291199999</v>
      </c>
      <c r="P63" s="448">
        <f>'Comp Group'!C242*BZ8</f>
        <v>-6132.6294480000006</v>
      </c>
      <c r="Q63" s="448">
        <f>'Comp Group'!D242*CA8</f>
        <v>-33785.235661999999</v>
      </c>
      <c r="R63" s="448">
        <f>'Comp Group'!E242*CB8</f>
        <v>-75492.603159999999</v>
      </c>
      <c r="S63" s="448">
        <f>'Comp Group'!F242*CC8</f>
        <v>-67735.813787999999</v>
      </c>
      <c r="T63" s="448">
        <f>'Comp Group'!G242*CD8</f>
        <v>-46202.977791999998</v>
      </c>
      <c r="U63" s="443">
        <f>'Comp Group'!C241*BZ8</f>
        <v>82345.793508000002</v>
      </c>
      <c r="V63" s="443">
        <f>'Comp Group'!D241*CA8</f>
        <v>79116.049058000004</v>
      </c>
      <c r="W63" s="443">
        <f>'Comp Group'!E241*CB8</f>
        <v>66816.453079999992</v>
      </c>
      <c r="X63" s="443">
        <f>'Comp Group'!F241*CC8</f>
        <v>55019.90958</v>
      </c>
      <c r="Y63" s="443">
        <f>'Comp Group'!G241*CD8</f>
        <v>57965.387783999999</v>
      </c>
      <c r="Z63" s="443">
        <f>'Comp Group'!C243*BZ8</f>
        <v>161262.36522000001</v>
      </c>
      <c r="AA63" s="443">
        <f>'Comp Group'!D243*CA8</f>
        <v>111911.46024499999</v>
      </c>
      <c r="AB63" s="443">
        <f>'Comp Group'!E243*CB8</f>
        <v>97640.240099999995</v>
      </c>
      <c r="AC63" s="443">
        <f>'Comp Group'!F243*CC8</f>
        <v>141393.77841600002</v>
      </c>
      <c r="AD63" s="443">
        <f>'Comp Group'!G243*CD8</f>
        <v>159161.70903199998</v>
      </c>
      <c r="AE63" s="61">
        <f t="shared" si="21"/>
        <v>-3.8028894340186838E-2</v>
      </c>
      <c r="AF63" s="61">
        <f t="shared" si="13"/>
        <v>-0.30189254601839999</v>
      </c>
      <c r="AG63" s="61">
        <f t="shared" si="13"/>
        <v>-0.77317101107783948</v>
      </c>
      <c r="AH63" s="61">
        <f t="shared" si="13"/>
        <v>-0.47905795111233174</v>
      </c>
      <c r="AI63" s="61">
        <f t="shared" si="13"/>
        <v>-0.29028953052213541</v>
      </c>
      <c r="AJ63" s="61">
        <f t="shared" si="22"/>
        <v>-0.1097935832639293</v>
      </c>
      <c r="AK63" s="61">
        <f t="shared" si="14"/>
        <v>-1.0621081879111964</v>
      </c>
      <c r="AL63" s="61">
        <f t="shared" si="14"/>
        <v>-1.2882954459901019</v>
      </c>
      <c r="AM63" s="61">
        <f t="shared" si="14"/>
        <v>-0.72224497674887156</v>
      </c>
      <c r="AN63" s="61">
        <f t="shared" si="14"/>
        <v>-0.7616415472864978</v>
      </c>
      <c r="AO63" s="843"/>
      <c r="AP63" s="437"/>
      <c r="AQ63" s="443">
        <f>'Comp Group'!C246*BZ8</f>
        <v>78916.571712000004</v>
      </c>
      <c r="AR63" s="443">
        <f>'Comp Group'!D246*CA8</f>
        <v>32795.411186999998</v>
      </c>
      <c r="AS63" s="443">
        <f>'Comp Group'!E246*CB8</f>
        <v>30823.78702</v>
      </c>
      <c r="AT63" s="443">
        <f>'Comp Group'!F246*CC8</f>
        <v>86373.868835999994</v>
      </c>
      <c r="AU63" s="443">
        <f>'Comp Group'!G246*CD8</f>
        <v>101196.32124799999</v>
      </c>
      <c r="AV63" s="827">
        <f>'Shareholder funds'!F63</f>
        <v>20128.409412000001</v>
      </c>
      <c r="AW63" s="443">
        <f>'Long Term Debt'!C37*BZ8</f>
        <v>51449.042699999998</v>
      </c>
      <c r="AX63" s="443">
        <f>'Long Term Debt'!D37*CA8</f>
        <v>27236.821993000001</v>
      </c>
      <c r="AY63" s="443">
        <f>'Long Term Debt'!E37*CB8</f>
        <v>8975.7188299999998</v>
      </c>
      <c r="AZ63" s="443">
        <f>'Long Term Debt'!F37*CC8</f>
        <v>9024.5380559999994</v>
      </c>
      <c r="BA63" s="443">
        <f>'Long Term Debt'!G37*CD8</f>
        <v>3308.4505199999999</v>
      </c>
      <c r="BB63" s="553">
        <f t="shared" si="15"/>
        <v>-13.965140936126195</v>
      </c>
      <c r="BC63" s="553">
        <f t="shared" si="16"/>
        <v>-7.5057375089648586</v>
      </c>
      <c r="BD63" s="553">
        <f t="shared" si="17"/>
        <v>-8.4107584684668648</v>
      </c>
      <c r="BE63" s="538">
        <f t="shared" si="18"/>
        <v>-5.1557973430577313</v>
      </c>
      <c r="BF63" s="538">
        <f t="shared" si="19"/>
        <v>-3.5694879791799417</v>
      </c>
      <c r="BG63" s="455">
        <f t="shared" si="20"/>
        <v>-6.1622871103689931</v>
      </c>
    </row>
    <row r="64" spans="1:59" ht="15" customHeight="1">
      <c r="A64" s="449">
        <v>2008</v>
      </c>
      <c r="B64" s="413"/>
      <c r="C64" s="411" t="s">
        <v>435</v>
      </c>
      <c r="D64" s="536"/>
      <c r="E64" s="536"/>
      <c r="F64" s="536"/>
      <c r="G64" s="536"/>
      <c r="H64" s="536"/>
      <c r="I64" s="411" t="s">
        <v>256</v>
      </c>
      <c r="J64" s="524" t="s">
        <v>356</v>
      </c>
      <c r="K64" s="537">
        <f>'Comp Group'!C253</f>
        <v>1253300</v>
      </c>
      <c r="L64" s="537">
        <f>'Comp Group'!D253</f>
        <v>1135100</v>
      </c>
      <c r="M64" s="537">
        <f>'Comp Group'!E253</f>
        <v>1350202</v>
      </c>
      <c r="N64" s="537">
        <f>'Comp Group'!F253</f>
        <v>1917502</v>
      </c>
      <c r="O64" s="537">
        <f>'Comp Group'!G253</f>
        <v>1519867</v>
      </c>
      <c r="P64" s="537">
        <f>'Comp Group'!C257</f>
        <v>33700</v>
      </c>
      <c r="Q64" s="537">
        <f>'Comp Group'!D257</f>
        <v>-7600</v>
      </c>
      <c r="R64" s="537">
        <f>'Comp Group'!E257</f>
        <v>165825</v>
      </c>
      <c r="S64" s="537">
        <f>'Comp Group'!F257</f>
        <v>417384</v>
      </c>
      <c r="T64" s="537">
        <f>'Comp Group'!G257</f>
        <v>470009</v>
      </c>
      <c r="U64" s="534">
        <f>'Comp Group'!C256</f>
        <v>1365489</v>
      </c>
      <c r="V64" s="534">
        <f>'Comp Group'!D256</f>
        <v>1279699</v>
      </c>
      <c r="W64" s="534">
        <f>'Comp Group'!E256</f>
        <v>1480371</v>
      </c>
      <c r="X64" s="534">
        <f>'Comp Group'!F256</f>
        <v>1925125</v>
      </c>
      <c r="Y64" s="534">
        <f>'Comp Group'!G256</f>
        <v>2134234</v>
      </c>
      <c r="Z64" s="534">
        <f>'Comp Group'!C258</f>
        <v>3137179</v>
      </c>
      <c r="AA64" s="534">
        <f>'Comp Group'!D258</f>
        <v>3001507</v>
      </c>
      <c r="AB64" s="534">
        <f>'Comp Group'!E258</f>
        <v>2929408</v>
      </c>
      <c r="AC64" s="534">
        <f>'Comp Group'!F258</f>
        <v>3064805</v>
      </c>
      <c r="AD64" s="534">
        <f>'Comp Group'!G258</f>
        <v>2874968</v>
      </c>
      <c r="AE64" s="61">
        <f t="shared" si="21"/>
        <v>1.0742134892526055E-2</v>
      </c>
      <c r="AF64" s="61">
        <f t="shared" si="13"/>
        <v>-2.5320613944928333E-3</v>
      </c>
      <c r="AG64" s="61">
        <f t="shared" si="13"/>
        <v>5.660700045879577E-2</v>
      </c>
      <c r="AH64" s="61">
        <f t="shared" si="13"/>
        <v>0.13618615213692226</v>
      </c>
      <c r="AI64" s="61">
        <f t="shared" si="13"/>
        <v>0.16348321094356527</v>
      </c>
      <c r="AJ64" s="61">
        <f t="shared" si="22"/>
        <v>1.9293027889016427E-2</v>
      </c>
      <c r="AK64" s="61">
        <f t="shared" si="14"/>
        <v>-4.7936869665643487E-3</v>
      </c>
      <c r="AL64" s="61">
        <f t="shared" si="14"/>
        <v>0.12811365630155788</v>
      </c>
      <c r="AM64" s="61">
        <f t="shared" si="14"/>
        <v>0.44392777335203842</v>
      </c>
      <c r="AN64" s="61">
        <f t="shared" si="14"/>
        <v>0.69329047798512999</v>
      </c>
      <c r="AO64" s="843"/>
      <c r="AP64" s="437"/>
      <c r="AQ64" s="534">
        <f>'Comp Group'!C261</f>
        <v>1771690</v>
      </c>
      <c r="AR64" s="534">
        <f>'Comp Group'!D261</f>
        <v>1721800</v>
      </c>
      <c r="AS64" s="534">
        <f>'Comp Group'!E261</f>
        <v>1449037</v>
      </c>
      <c r="AT64" s="534">
        <f>'Comp Group'!F261</f>
        <v>1139680</v>
      </c>
      <c r="AU64" s="534">
        <f>'Comp Group'!G261</f>
        <v>740734</v>
      </c>
      <c r="AV64" s="827">
        <f>'Shareholder funds'!F64</f>
        <v>615145</v>
      </c>
      <c r="AW64" s="534">
        <f>'Comp Group'!C254</f>
        <v>833348</v>
      </c>
      <c r="AX64" s="534">
        <f>'Comp Group'!D254</f>
        <v>895281</v>
      </c>
      <c r="AY64" s="534">
        <f>'Comp Group'!E254</f>
        <v>999760</v>
      </c>
      <c r="AZ64" s="534">
        <f>'Comp Group'!F254</f>
        <v>1389459</v>
      </c>
      <c r="BA64" s="534">
        <f>'Comp Group'!G254</f>
        <v>1268593</v>
      </c>
      <c r="BB64" s="553">
        <f t="shared" si="15"/>
        <v>0.37049628998425815</v>
      </c>
      <c r="BC64" s="553">
        <f t="shared" si="16"/>
        <v>0.30039317460968623</v>
      </c>
      <c r="BD64" s="553">
        <f t="shared" si="17"/>
        <v>0.16586480755381292</v>
      </c>
      <c r="BE64" s="538">
        <f t="shared" si="18"/>
        <v>0.28000895337917009</v>
      </c>
      <c r="BF64" s="538">
        <f t="shared" si="19"/>
        <v>0.18690622767465406</v>
      </c>
      <c r="BG64" s="455">
        <f t="shared" si="20"/>
        <v>0.14719113186332738</v>
      </c>
    </row>
    <row r="65" spans="1:59" ht="15" customHeight="1">
      <c r="A65" s="449">
        <v>2008</v>
      </c>
      <c r="B65" s="413"/>
      <c r="C65" s="411" t="s">
        <v>435</v>
      </c>
      <c r="D65" s="536"/>
      <c r="E65" s="536"/>
      <c r="F65" s="536"/>
      <c r="G65" s="536"/>
      <c r="H65" s="536"/>
      <c r="I65" s="411" t="s">
        <v>256</v>
      </c>
      <c r="J65" s="437" t="s">
        <v>530</v>
      </c>
      <c r="K65" s="534">
        <f>'Comp Group'!C265</f>
        <v>608568</v>
      </c>
      <c r="L65" s="534">
        <f>'Comp Group'!D265</f>
        <v>568263</v>
      </c>
      <c r="M65" s="534">
        <f>'Comp Group'!E265</f>
        <v>477695</v>
      </c>
      <c r="N65" s="534">
        <f>'Comp Group'!F265</f>
        <v>582431</v>
      </c>
      <c r="O65" s="534">
        <f>'Comp Group'!G265</f>
        <v>452754</v>
      </c>
      <c r="P65" s="534">
        <f>'Comp Group'!C269</f>
        <v>170688</v>
      </c>
      <c r="Q65" s="534">
        <f>'Comp Group'!D269</f>
        <v>155783</v>
      </c>
      <c r="R65" s="534">
        <f>'Comp Group'!E269</f>
        <v>162470</v>
      </c>
      <c r="S65" s="534">
        <f>'Comp Group'!F269</f>
        <v>113791</v>
      </c>
      <c r="T65" s="534">
        <f>'Comp Group'!G269</f>
        <v>135014</v>
      </c>
      <c r="U65" s="534">
        <f>'Comp Group'!C268</f>
        <v>360161</v>
      </c>
      <c r="V65" s="534">
        <f>'Comp Group'!D268</f>
        <v>308145</v>
      </c>
      <c r="W65" s="534">
        <f>'Comp Group'!E268</f>
        <v>304423</v>
      </c>
      <c r="X65" s="534">
        <f>'Comp Group'!F268</f>
        <v>293254</v>
      </c>
      <c r="Y65" s="534">
        <f>'Comp Group'!G268</f>
        <v>284808</v>
      </c>
      <c r="Z65" s="534">
        <f>'Comp Group'!C270</f>
        <v>1333183</v>
      </c>
      <c r="AA65" s="534">
        <f>'Comp Group'!D270</f>
        <v>1216917</v>
      </c>
      <c r="AB65" s="534">
        <f>'Comp Group'!E270</f>
        <v>1144278</v>
      </c>
      <c r="AC65" s="534">
        <f>'Comp Group'!F270</f>
        <v>954317</v>
      </c>
      <c r="AD65" s="534">
        <f>'Comp Group'!G270</f>
        <v>852640</v>
      </c>
      <c r="AE65" s="61">
        <f t="shared" si="21"/>
        <v>0.12803043543159492</v>
      </c>
      <c r="AF65" s="61">
        <f t="shared" si="13"/>
        <v>0.12801448249962816</v>
      </c>
      <c r="AG65" s="61">
        <f t="shared" si="13"/>
        <v>0.14198472748755112</v>
      </c>
      <c r="AH65" s="61">
        <f t="shared" si="13"/>
        <v>0.11923815671312572</v>
      </c>
      <c r="AI65" s="61">
        <f t="shared" si="13"/>
        <v>0.15834818915368737</v>
      </c>
      <c r="AJ65" s="61">
        <f t="shared" si="22"/>
        <v>0.18141006019793898</v>
      </c>
      <c r="AK65" s="61">
        <f t="shared" si="14"/>
        <v>0.17817750726713016</v>
      </c>
      <c r="AL65" s="61">
        <f t="shared" si="14"/>
        <v>0.21649402799218345</v>
      </c>
      <c r="AM65" s="61">
        <f t="shared" si="14"/>
        <v>0.18519208688767244</v>
      </c>
      <c r="AN65" s="61">
        <f t="shared" si="14"/>
        <v>0.2584316547864236</v>
      </c>
      <c r="AO65" s="843"/>
      <c r="AP65" s="437"/>
      <c r="AQ65" s="534">
        <f>'Comp Group'!C273</f>
        <v>973021</v>
      </c>
      <c r="AR65" s="534">
        <f>'Comp Group'!D273</f>
        <v>908771</v>
      </c>
      <c r="AS65" s="534">
        <f>'Comp Group'!E273</f>
        <v>839856</v>
      </c>
      <c r="AT65" s="534">
        <f>'Comp Group'!F273</f>
        <v>661063</v>
      </c>
      <c r="AU65" s="534">
        <f>'Comp Group'!G273</f>
        <v>567834</v>
      </c>
      <c r="AV65" s="827">
        <f>'Shareholder funds'!F65</f>
        <v>477038</v>
      </c>
      <c r="AW65" s="534">
        <f>'Comp Group'!C266</f>
        <v>142300</v>
      </c>
      <c r="AX65" s="534">
        <f>'Comp Group'!D266</f>
        <v>100402</v>
      </c>
      <c r="AY65" s="534">
        <f>'Comp Group'!E266</f>
        <v>72790</v>
      </c>
      <c r="AZ65" s="534">
        <f>'Comp Group'!F266</f>
        <v>55735</v>
      </c>
      <c r="BA65" s="534">
        <f>'Comp Group'!G266</f>
        <v>93672</v>
      </c>
      <c r="BB65" s="553">
        <f t="shared" si="15"/>
        <v>1.4413485353147151</v>
      </c>
      <c r="BC65" s="553">
        <f t="shared" si="16"/>
        <v>2.0416434915223829</v>
      </c>
      <c r="BD65" s="553">
        <f t="shared" si="17"/>
        <v>2.2320373677702983</v>
      </c>
      <c r="BE65" s="538">
        <f t="shared" si="18"/>
        <v>0.60226729831318404</v>
      </c>
      <c r="BF65" s="538">
        <f t="shared" si="19"/>
        <v>0.75080573640565529</v>
      </c>
      <c r="BG65" s="455">
        <f t="shared" si="20"/>
        <v>0.75270744283705349</v>
      </c>
    </row>
    <row r="66" spans="1:59" ht="15" customHeight="1">
      <c r="A66" s="449">
        <v>2008</v>
      </c>
      <c r="B66" s="413"/>
      <c r="C66" s="411" t="s">
        <v>487</v>
      </c>
      <c r="D66" s="536"/>
      <c r="E66" s="536"/>
      <c r="F66" s="536"/>
      <c r="G66" s="536"/>
      <c r="H66" s="536"/>
      <c r="I66" s="411" t="s">
        <v>256</v>
      </c>
      <c r="J66" s="524" t="s">
        <v>535</v>
      </c>
      <c r="K66" s="534">
        <f>'Comp Group'!C278*BZ8</f>
        <v>136206.06080400001</v>
      </c>
      <c r="L66" s="534">
        <f>'Comp Group'!D278*CA8</f>
        <v>70009.332565999997</v>
      </c>
      <c r="M66" s="534">
        <f>'Comp Group'!E278*CB8</f>
        <v>58587.659</v>
      </c>
      <c r="N66" s="534">
        <f>'Comp Group'!F278*CC8</f>
        <v>114511.276766</v>
      </c>
      <c r="O66" s="534">
        <f>'Comp Group'!G278*CD8</f>
        <v>129536.23291199999</v>
      </c>
      <c r="P66" s="534">
        <f>'Comp Group'!C282*BZ8</f>
        <v>-6132.6294480000006</v>
      </c>
      <c r="Q66" s="534">
        <f>'Comp Group'!D282*CA8</f>
        <v>-33785.235661999999</v>
      </c>
      <c r="R66" s="534">
        <f>'Comp Group'!E282*CB8</f>
        <v>-75492.603159999999</v>
      </c>
      <c r="S66" s="534">
        <f>'Comp Group'!F282*CC8</f>
        <v>-67735.813787999999</v>
      </c>
      <c r="T66" s="534">
        <f>'Comp Group'!G282*CD8</f>
        <v>-46202.977791999998</v>
      </c>
      <c r="U66" s="534">
        <f>'Comp Group'!C281*BZ8</f>
        <v>82345.793508000002</v>
      </c>
      <c r="V66" s="534">
        <f>'Comp Group'!D281*CA8</f>
        <v>79116.049058000004</v>
      </c>
      <c r="W66" s="534">
        <f>'Comp Group'!E281*CB8</f>
        <v>66816.453079999992</v>
      </c>
      <c r="X66" s="534">
        <f>'Comp Group'!F281*CC8</f>
        <v>55019.90958</v>
      </c>
      <c r="Y66" s="534">
        <f>'Comp Group'!G281*CD8</f>
        <v>57965.387783999999</v>
      </c>
      <c r="Z66" s="534">
        <f>'Comp Group'!C283*BZ8</f>
        <v>161262.36522000001</v>
      </c>
      <c r="AA66" s="534">
        <f>'Comp Group'!D283*CA8</f>
        <v>111911.46024499999</v>
      </c>
      <c r="AB66" s="534">
        <f>'Comp Group'!E283*CB8</f>
        <v>97640.240099999995</v>
      </c>
      <c r="AC66" s="534">
        <f>'Comp Group'!F283*CC8</f>
        <v>141393.77841600002</v>
      </c>
      <c r="AD66" s="534">
        <f>'Comp Group'!G283*CD8</f>
        <v>159161.70903199998</v>
      </c>
      <c r="AE66" s="61">
        <f t="shared" si="21"/>
        <v>-3.8028894340186838E-2</v>
      </c>
      <c r="AF66" s="61">
        <f t="shared" si="13"/>
        <v>-0.30189254601839999</v>
      </c>
      <c r="AG66" s="61">
        <f t="shared" si="13"/>
        <v>-0.77317101107783948</v>
      </c>
      <c r="AH66" s="61">
        <f t="shared" si="13"/>
        <v>-0.47905795111233174</v>
      </c>
      <c r="AI66" s="61">
        <f t="shared" si="13"/>
        <v>-0.29028953052213541</v>
      </c>
      <c r="AJ66" s="61">
        <f t="shared" si="22"/>
        <v>-0.1097935832639293</v>
      </c>
      <c r="AK66" s="61">
        <f t="shared" si="14"/>
        <v>-1.0621081879111964</v>
      </c>
      <c r="AL66" s="61">
        <f t="shared" si="14"/>
        <v>-1.2882954459901019</v>
      </c>
      <c r="AM66" s="61">
        <f t="shared" si="14"/>
        <v>-0.72224497674887156</v>
      </c>
      <c r="AN66" s="61">
        <f t="shared" si="14"/>
        <v>-0.7616415472864978</v>
      </c>
      <c r="AO66" s="843"/>
      <c r="AP66" s="437"/>
      <c r="AQ66" s="534">
        <f>'Comp Group'!C286*BZ8</f>
        <v>78916.571712000004</v>
      </c>
      <c r="AR66" s="534">
        <f>'Comp Group'!D286*CA8</f>
        <v>32795.411186999998</v>
      </c>
      <c r="AS66" s="534">
        <f>'Comp Group'!E286*CB8</f>
        <v>30823.78702</v>
      </c>
      <c r="AT66" s="534">
        <f>'Comp Group'!F286*CC8</f>
        <v>86373.868835999994</v>
      </c>
      <c r="AU66" s="534">
        <f>'Comp Group'!G286*CD8</f>
        <v>101196.32124799999</v>
      </c>
      <c r="AV66" s="827">
        <f>'Shareholder funds'!F66</f>
        <v>20128.409412000001</v>
      </c>
      <c r="AW66" s="534">
        <f>'Comp Group'!C279*BZ8</f>
        <v>51449.042699999998</v>
      </c>
      <c r="AX66" s="534">
        <f>'Comp Group'!D279*CA8</f>
        <v>27236.821993000001</v>
      </c>
      <c r="AY66" s="534">
        <f>'Comp Group'!E279*CB8</f>
        <v>8975.7188299999998</v>
      </c>
      <c r="AZ66" s="534">
        <f>'Comp Group'!F279*CC8</f>
        <v>9024.5380559999994</v>
      </c>
      <c r="BA66" s="534">
        <f>'Comp Group'!G279*CD8</f>
        <v>3308.4505199999999</v>
      </c>
      <c r="BB66" s="553">
        <f t="shared" si="15"/>
        <v>-13.965140936126195</v>
      </c>
      <c r="BC66" s="553">
        <f t="shared" si="16"/>
        <v>-7.5057375089648586</v>
      </c>
      <c r="BD66" s="553">
        <f t="shared" si="17"/>
        <v>-8.4107584684668648</v>
      </c>
      <c r="BE66" s="538">
        <f t="shared" si="18"/>
        <v>-5.1557973430577313</v>
      </c>
      <c r="BF66" s="538">
        <f t="shared" si="19"/>
        <v>-3.5694879791799417</v>
      </c>
      <c r="BG66" s="455">
        <f t="shared" si="20"/>
        <v>-6.1622871103689931</v>
      </c>
    </row>
    <row r="67" spans="1:59" ht="15" customHeight="1">
      <c r="A67" s="449">
        <v>2008</v>
      </c>
      <c r="B67" s="676"/>
      <c r="C67" s="50" t="s">
        <v>487</v>
      </c>
      <c r="D67" s="51"/>
      <c r="E67" s="51"/>
      <c r="F67" s="51"/>
      <c r="G67" s="51"/>
      <c r="H67" s="51"/>
      <c r="I67" s="50" t="s">
        <v>256</v>
      </c>
      <c r="J67" s="524" t="s">
        <v>517</v>
      </c>
      <c r="K67" s="448">
        <f>'Comp Group'!C290*BZ8</f>
        <v>81997.174116000009</v>
      </c>
      <c r="L67" s="448">
        <f>'Comp Group'!D290*CA8</f>
        <v>53502.042221000003</v>
      </c>
      <c r="M67" s="448">
        <f>'Comp Group'!E290*CB8</f>
        <v>35584.293939999996</v>
      </c>
      <c r="N67" s="448">
        <f>'Comp Group'!F290*CC8</f>
        <v>30210.520295999999</v>
      </c>
      <c r="O67" s="448">
        <f>'Comp Group'!G290*CD8</f>
        <v>22586.441776</v>
      </c>
      <c r="P67" s="448">
        <f>'Comp Group'!C294*BZ8</f>
        <v>-3307.062132</v>
      </c>
      <c r="Q67" s="448">
        <f>'Comp Group'!D294*CA8</f>
        <v>70365.669376999998</v>
      </c>
      <c r="R67" s="448">
        <f>'Comp Group'!E294*CB8</f>
        <v>12182.94181</v>
      </c>
      <c r="S67" s="448">
        <f>'Comp Group'!F294*CC8</f>
        <v>-1891.888078</v>
      </c>
      <c r="T67" s="448">
        <f>'Comp Group'!G294*CD8</f>
        <v>21748.506311999998</v>
      </c>
      <c r="U67" s="443">
        <f>'Comp Group'!C293*BZ8</f>
        <v>314030.347488</v>
      </c>
      <c r="V67" s="443">
        <f>'Comp Group'!D293*CA8</f>
        <v>245865.110506</v>
      </c>
      <c r="W67" s="443">
        <f>'Comp Group'!E293*CB8</f>
        <v>98145.432839999994</v>
      </c>
      <c r="X67" s="443">
        <f>'Comp Group'!F293*CC8</f>
        <v>91315.107260000004</v>
      </c>
      <c r="Y67" s="443">
        <f>'Comp Group'!G293*CD8</f>
        <v>137138.05462399998</v>
      </c>
      <c r="Z67" s="443">
        <f>'Comp Group'!C295*BZ8</f>
        <v>501247.89079199999</v>
      </c>
      <c r="AA67" s="443">
        <f>'Comp Group'!D295*CA8</f>
        <v>375161.20175200002</v>
      </c>
      <c r="AB67" s="443">
        <f>'Comp Group'!E295*CB8</f>
        <v>154980.25516999999</v>
      </c>
      <c r="AC67" s="443">
        <f>'Comp Group'!F295*CC8</f>
        <v>132590.73671200001</v>
      </c>
      <c r="AD67" s="443">
        <f>'Comp Group'!G295*CD8</f>
        <v>176900.89007199998</v>
      </c>
      <c r="AE67" s="61">
        <f t="shared" si="21"/>
        <v>-6.5976579507888902E-3</v>
      </c>
      <c r="AF67" s="61">
        <f t="shared" si="21"/>
        <v>0.18756115783933106</v>
      </c>
      <c r="AG67" s="61">
        <f t="shared" si="21"/>
        <v>7.8609638348035776E-2</v>
      </c>
      <c r="AH67" s="61">
        <f t="shared" si="21"/>
        <v>-1.4268629354623506E-2</v>
      </c>
      <c r="AI67" s="61">
        <f t="shared" si="21"/>
        <v>0.12294175740522387</v>
      </c>
      <c r="AJ67" s="61">
        <f t="shared" si="22"/>
        <v>-2.0896806778651304E-2</v>
      </c>
      <c r="AK67" s="61">
        <f t="shared" si="22"/>
        <v>0.75608793859241075</v>
      </c>
      <c r="AL67" s="61">
        <f t="shared" si="22"/>
        <v>0.24835201375237662</v>
      </c>
      <c r="AM67" s="61">
        <f t="shared" si="22"/>
        <v>-4.6691315593877444E-2</v>
      </c>
      <c r="AN67" s="61">
        <f t="shared" si="22"/>
        <v>0.35436938455307021</v>
      </c>
      <c r="AO67" s="843"/>
      <c r="AP67" s="437"/>
      <c r="AQ67" s="443">
        <f>'Comp Group'!C298*BZ8</f>
        <v>187217.54330399999</v>
      </c>
      <c r="AR67" s="443">
        <f>'Comp Group'!D298*CA8</f>
        <v>129296.091246</v>
      </c>
      <c r="AS67" s="443">
        <f>'Comp Group'!E298*CB8</f>
        <v>56834.822329999995</v>
      </c>
      <c r="AT67" s="443">
        <f>'Comp Group'!F298*CC8</f>
        <v>41275.449666</v>
      </c>
      <c r="AU67" s="443">
        <f>'Comp Group'!G298*CD8</f>
        <v>39762.664335999994</v>
      </c>
      <c r="AV67" s="827">
        <f>'Shareholder funds'!F67</f>
        <v>82982.173452000003</v>
      </c>
      <c r="AW67" s="443">
        <f>'Long Term Debt'!C38*BZ8</f>
        <v>984769.59279600007</v>
      </c>
      <c r="AX67" s="443">
        <f>'Long Term Debt'!D38*CA8</f>
        <v>679496.19654699997</v>
      </c>
      <c r="AY67" s="443">
        <f>'Long Term Debt'!E38*CB8</f>
        <v>532197.86424999998</v>
      </c>
      <c r="AZ67" s="443">
        <f>'Long Term Debt'!F38*CC8</f>
        <v>390226.23214400001</v>
      </c>
      <c r="BA67" s="443">
        <f>'Long Term Debt'!G38*CD8</f>
        <v>387822.95243199996</v>
      </c>
      <c r="BB67" s="553">
        <f t="shared" si="15"/>
        <v>5.6078440369805943E-2</v>
      </c>
      <c r="BC67" s="553">
        <f t="shared" si="16"/>
        <v>-4.8481827262239555E-3</v>
      </c>
      <c r="BD67" s="553">
        <f t="shared" si="17"/>
        <v>2.2891752538633004E-2</v>
      </c>
      <c r="BE67" s="538">
        <f t="shared" si="18"/>
        <v>3.8776413941994603E-2</v>
      </c>
      <c r="BF67" s="538">
        <f t="shared" si="19"/>
        <v>0.23203128518382987</v>
      </c>
      <c r="BG67" s="455">
        <f t="shared" si="20"/>
        <v>0.10557321331247585</v>
      </c>
    </row>
    <row r="68" spans="1:59" ht="15" customHeight="1">
      <c r="A68" s="449">
        <v>2006</v>
      </c>
      <c r="B68" s="676"/>
      <c r="C68" s="50" t="s">
        <v>487</v>
      </c>
      <c r="D68" s="51"/>
      <c r="E68" s="51"/>
      <c r="F68" s="51"/>
      <c r="G68" s="51"/>
      <c r="H68" s="51"/>
      <c r="I68" s="50" t="s">
        <v>257</v>
      </c>
      <c r="J68" s="524" t="s">
        <v>536</v>
      </c>
      <c r="K68" s="448">
        <f>'Comp Group'!C305*CB8</f>
        <v>2036268.65</v>
      </c>
      <c r="L68" s="448">
        <f>'Comp Group'!D305*CC8</f>
        <v>2543792.1140000001</v>
      </c>
      <c r="M68" s="448">
        <f>'Comp Group'!E305*CD8</f>
        <v>2367505.6319999998</v>
      </c>
      <c r="N68" s="448">
        <f>'Comp Group'!F305*CE8</f>
        <v>2079202.452</v>
      </c>
      <c r="O68" s="448">
        <f>'Comp Group'!G305*CF8</f>
        <v>1588164.6459999999</v>
      </c>
      <c r="P68" s="448">
        <f>'Comp Group'!C309*CB8</f>
        <v>63109.15</v>
      </c>
      <c r="Q68" s="448">
        <f>'Comp Group'!D309*CC8</f>
        <v>-162886.11600000001</v>
      </c>
      <c r="R68" s="448">
        <f>'Comp Group'!E309*CD8</f>
        <v>108656.12</v>
      </c>
      <c r="S68" s="448">
        <f>'Comp Group'!F309*CE8</f>
        <v>334539.44400000002</v>
      </c>
      <c r="T68" s="448">
        <f>'Comp Group'!G309*CF8</f>
        <v>135897.386</v>
      </c>
      <c r="U68" s="443">
        <f>'Comp Group'!C308*CB8</f>
        <v>1589072.42</v>
      </c>
      <c r="V68" s="443">
        <f>'Comp Group'!D308*CB8</f>
        <v>2021090.5</v>
      </c>
      <c r="W68" s="443">
        <f>'Comp Group'!E308*CC8</f>
        <v>1982680.0079999999</v>
      </c>
      <c r="X68" s="443">
        <f>'Comp Group'!F308*CD8</f>
        <v>1947254.5599999998</v>
      </c>
      <c r="Y68" s="443">
        <f>'Comp Group'!G308*CE8</f>
        <v>735893.11199999996</v>
      </c>
      <c r="Z68" s="443">
        <f>'Comp Group'!C310*CB8</f>
        <v>2431699.4</v>
      </c>
      <c r="AA68" s="443">
        <f>'Comp Group'!D310*CC8</f>
        <v>2946872.3259999999</v>
      </c>
      <c r="AB68" s="443">
        <f>'Comp Group'!E310*CD8</f>
        <v>2736251.9919999996</v>
      </c>
      <c r="AC68" s="443">
        <f>'Comp Group'!F310*CE8</f>
        <v>2583431.2919999999</v>
      </c>
      <c r="AD68" s="443">
        <f>'Comp Group'!G310*CF8</f>
        <v>1233805.2149999999</v>
      </c>
      <c r="AE68" s="61">
        <f t="shared" si="21"/>
        <v>2.5952693823915903E-2</v>
      </c>
      <c r="AF68" s="61">
        <f t="shared" si="21"/>
        <v>-5.5274235861143314E-2</v>
      </c>
      <c r="AG68" s="61">
        <f t="shared" si="21"/>
        <v>3.9709836783190545E-2</v>
      </c>
      <c r="AH68" s="61">
        <f t="shared" si="21"/>
        <v>0.12949422925856549</v>
      </c>
      <c r="AI68" s="61">
        <f t="shared" si="21"/>
        <v>0.1101449275362319</v>
      </c>
      <c r="AJ68" s="61">
        <f t="shared" si="22"/>
        <v>8.3301060172524116E-2</v>
      </c>
      <c r="AK68" s="61">
        <f t="shared" si="22"/>
        <v>-0.21406916748531668</v>
      </c>
      <c r="AL68" s="61">
        <f t="shared" si="22"/>
        <v>0.13121522483683898</v>
      </c>
      <c r="AM68" s="61">
        <f t="shared" si="22"/>
        <v>0.51162508164265763</v>
      </c>
      <c r="AN68" s="61">
        <f t="shared" si="22"/>
        <v>0.31713779533892544</v>
      </c>
      <c r="AO68" s="843"/>
      <c r="AP68" s="437"/>
      <c r="AQ68" s="443">
        <f>'Comp Group'!C313*CB8</f>
        <v>842626.98</v>
      </c>
      <c r="AR68" s="443">
        <f>'Comp Group'!D313*CC8</f>
        <v>672579.42599999998</v>
      </c>
      <c r="AS68" s="443">
        <f>'Comp Group'!E313*CD8</f>
        <v>849228.85599999991</v>
      </c>
      <c r="AT68" s="443">
        <f>'Comp Group'!F313*CE8</f>
        <v>806922.25199999998</v>
      </c>
      <c r="AU68" s="443">
        <f>'Comp Group'!G313*CF8</f>
        <v>500830.06899999996</v>
      </c>
      <c r="AV68" s="827">
        <f>'Shareholder funds'!F68</f>
        <v>356194.15199999994</v>
      </c>
      <c r="AW68" s="443">
        <f>'Long Term Debt'!C39*CB8</f>
        <v>900303.95</v>
      </c>
      <c r="AX68" s="443">
        <f>'Long Term Debt'!D39*CC8</f>
        <v>1274682.74</v>
      </c>
      <c r="AY68" s="443">
        <f>'Long Term Debt'!E39*CD8</f>
        <v>610185.39199999999</v>
      </c>
      <c r="AZ68" s="443">
        <f>'Long Term Debt'!F39*CE8</f>
        <v>476441.61599999998</v>
      </c>
      <c r="BA68" s="443">
        <f>'Long Term Debt'!G39*CF8</f>
        <v>303203.55</v>
      </c>
      <c r="BB68" s="553">
        <f t="shared" si="15"/>
        <v>0.4482051282051282</v>
      </c>
      <c r="BC68" s="553">
        <f t="shared" si="16"/>
        <v>0.70216251638269989</v>
      </c>
      <c r="BD68" s="553">
        <f t="shared" si="17"/>
        <v>0.17807066741447</v>
      </c>
      <c r="BE68" s="538">
        <f t="shared" si="18"/>
        <v>0.30043161479578445</v>
      </c>
      <c r="BF68" s="538">
        <f t="shared" si="19"/>
        <v>0.43372378344468832</v>
      </c>
      <c r="BG68" s="455">
        <f t="shared" si="20"/>
        <v>0.16401972304849505</v>
      </c>
    </row>
    <row r="69" spans="1:59" ht="15" customHeight="1">
      <c r="A69" s="535">
        <v>2006</v>
      </c>
      <c r="B69" s="676"/>
      <c r="C69" s="411" t="s">
        <v>487</v>
      </c>
      <c r="D69" s="536"/>
      <c r="E69" s="536"/>
      <c r="F69" s="536"/>
      <c r="G69" s="536"/>
      <c r="H69" s="536"/>
      <c r="I69" s="411" t="s">
        <v>257</v>
      </c>
      <c r="J69" s="524" t="s">
        <v>537</v>
      </c>
      <c r="K69" s="537">
        <f>'Comp Group'!C317*CB8</f>
        <v>278174.74815</v>
      </c>
      <c r="L69" s="537">
        <f>'Comp Group'!D317*CC8</f>
        <v>319679.64403199998</v>
      </c>
      <c r="M69" s="537">
        <f>'Comp Group'!E317*CD8</f>
        <v>317554.95407199999</v>
      </c>
      <c r="N69" s="537">
        <f>'Comp Group'!F317*CE8</f>
        <v>257533.86532799999</v>
      </c>
      <c r="O69" s="537">
        <f>'Comp Group'!G317*CF8</f>
        <v>235523.69748099998</v>
      </c>
      <c r="P69" s="447">
        <f>'Comp Group'!C321*CB8</f>
        <v>6026.5244000000002</v>
      </c>
      <c r="Q69" s="447">
        <f>'Comp Group'!D321*CC8</f>
        <v>1690.7075440000001</v>
      </c>
      <c r="R69" s="447">
        <f>'Comp Group'!E321*CD8</f>
        <v>1546.3391439999998</v>
      </c>
      <c r="S69" s="447">
        <f>'Comp Group'!F321*CE8</f>
        <v>3213.4831799999997</v>
      </c>
      <c r="T69" s="447">
        <f>'Comp Group'!G321*CF8</f>
        <v>6938.2301579999994</v>
      </c>
      <c r="U69" s="443">
        <f>'Comp Group'!C320</f>
        <v>965521</v>
      </c>
      <c r="V69" s="443">
        <f>'Comp Group'!D320*CB8</f>
        <v>168740.28664999999</v>
      </c>
      <c r="W69" s="443">
        <f>'Comp Group'!E320*CC8</f>
        <v>199128.27681000001</v>
      </c>
      <c r="X69" s="443">
        <f>'Comp Group'!F320*CD8</f>
        <v>164816.61840799998</v>
      </c>
      <c r="Y69" s="443">
        <f>'Comp Group'!G320*CE8</f>
        <v>112798.48923599999</v>
      </c>
      <c r="Z69" s="443">
        <f>'Comp Group'!C322*CB8</f>
        <v>252848.80659999998</v>
      </c>
      <c r="AA69" s="443">
        <f>'Comp Group'!D322*CC8</f>
        <v>295677.49388800003</v>
      </c>
      <c r="AB69" s="443">
        <f>'Comp Group'!E322*CD8</f>
        <v>290362.34836799995</v>
      </c>
      <c r="AC69" s="443">
        <f>'Comp Group'!F322*CE8</f>
        <v>242045.76621599999</v>
      </c>
      <c r="AD69" s="443">
        <f>'Comp Group'!G322*CF8</f>
        <v>203218.52539599998</v>
      </c>
      <c r="AE69" s="61">
        <f t="shared" si="21"/>
        <v>2.3834498098042441E-2</v>
      </c>
      <c r="AF69" s="61">
        <f t="shared" si="21"/>
        <v>5.7180799315095145E-3</v>
      </c>
      <c r="AG69" s="61">
        <f t="shared" si="21"/>
        <v>5.3255497921521067E-3</v>
      </c>
      <c r="AH69" s="61">
        <f t="shared" si="21"/>
        <v>1.3276345338477474E-2</v>
      </c>
      <c r="AI69" s="61">
        <f t="shared" si="21"/>
        <v>3.4141720812508991E-2</v>
      </c>
      <c r="AJ69" s="61">
        <f t="shared" si="22"/>
        <v>5.8972350244914505E-2</v>
      </c>
      <c r="AK69" s="61">
        <f t="shared" si="22"/>
        <v>1.6363916709009677E-2</v>
      </c>
      <c r="AL69" s="61">
        <f t="shared" si="22"/>
        <v>1.6063992014230592E-2</v>
      </c>
      <c r="AM69" s="61">
        <f t="shared" si="22"/>
        <v>3.5206909095713071E-2</v>
      </c>
      <c r="AN69" s="61">
        <f t="shared" si="22"/>
        <v>7.87257193317175E-2</v>
      </c>
      <c r="AO69" s="843"/>
      <c r="AP69" s="437"/>
      <c r="AQ69" s="443">
        <f>'Comp Group'!C325*CB8</f>
        <v>98587.516430000003</v>
      </c>
      <c r="AR69" s="443">
        <f>'Comp Group'!D325*CC8</f>
        <v>105797.22913200001</v>
      </c>
      <c r="AS69" s="443">
        <f>'Comp Group'!E325*CD8</f>
        <v>100841.26384799999</v>
      </c>
      <c r="AT69" s="443">
        <f>'Comp Group'!F325*CE8</f>
        <v>91681.135643999994</v>
      </c>
      <c r="AU69" s="443">
        <f>'Comp Group'!G325*CF8</f>
        <v>90867.305132999987</v>
      </c>
      <c r="AV69" s="827">
        <f>'Shareholder funds'!F69</f>
        <v>85396.061321999994</v>
      </c>
      <c r="AW69" s="443">
        <f>'Long Term Debt'!C40*CB8</f>
        <v>79325.804999999993</v>
      </c>
      <c r="AX69" s="443">
        <f>'Long Term Debt'!D40*CC8</f>
        <v>70946.611961999995</v>
      </c>
      <c r="AY69" s="443">
        <f>'Long Term Debt'!E40*CD8</f>
        <v>71334.197231999991</v>
      </c>
      <c r="AZ69" s="443">
        <f>'Long Term Debt'!F40*CE8</f>
        <v>42864.134639999997</v>
      </c>
      <c r="BA69" s="443">
        <f>'Long Term Debt'!G40*CF8</f>
        <v>28263.857485999997</v>
      </c>
      <c r="BB69" s="553">
        <f t="shared" si="15"/>
        <v>0.24548065179838702</v>
      </c>
      <c r="BC69" s="553">
        <f t="shared" si="16"/>
        <v>7.4969043630271681E-2</v>
      </c>
      <c r="BD69" s="553">
        <f t="shared" si="17"/>
        <v>2.16773890224186E-2</v>
      </c>
      <c r="BE69" s="538">
        <f t="shared" si="18"/>
        <v>0.1622683146476939</v>
      </c>
      <c r="BF69" s="538">
        <f t="shared" si="19"/>
        <v>5.4021551865440137E-2</v>
      </c>
      <c r="BG69" s="455">
        <f t="shared" si="20"/>
        <v>1.9790323930594371E-2</v>
      </c>
    </row>
    <row r="70" spans="1:59" ht="15" customHeight="1">
      <c r="A70" s="680">
        <v>2006</v>
      </c>
      <c r="B70" s="681"/>
      <c r="C70" s="53" t="s">
        <v>487</v>
      </c>
      <c r="D70" s="751"/>
      <c r="E70" s="751"/>
      <c r="F70" s="751"/>
      <c r="G70" s="751"/>
      <c r="H70" s="751"/>
      <c r="I70" s="53" t="s">
        <v>257</v>
      </c>
      <c r="J70" s="740" t="s">
        <v>538</v>
      </c>
      <c r="K70" s="730">
        <f>'Comp Group'!C329*CB8</f>
        <v>97897.150259999995</v>
      </c>
      <c r="L70" s="730">
        <f>'Comp Group'!D329*CC8</f>
        <v>89372.699315999998</v>
      </c>
      <c r="M70" s="730">
        <f>'Comp Group'!E329*CD8</f>
        <v>53980.018191999996</v>
      </c>
      <c r="N70" s="730">
        <f>'Comp Group'!F329*CE8</f>
        <v>33373.392672000002</v>
      </c>
      <c r="O70" s="730">
        <f>'Comp Group'!G329*CF8</f>
        <v>23938.153505999999</v>
      </c>
      <c r="P70" s="730">
        <f>'Comp Group'!C333*CB8</f>
        <v>4546.5748899999999</v>
      </c>
      <c r="Q70" s="730">
        <f>'Comp Group'!D333*CC8</f>
        <v>15767.951344000001</v>
      </c>
      <c r="R70" s="730">
        <f>'Comp Group'!E333*CD8</f>
        <v>2133.4244159999998</v>
      </c>
      <c r="S70" s="730">
        <f>'Comp Group'!F333*CE8</f>
        <v>-2839.760628</v>
      </c>
      <c r="T70" s="730">
        <f>'Comp Group'!G333*CF8</f>
        <v>435.21371099999999</v>
      </c>
      <c r="U70" s="756">
        <f>'Comp Group'!C332</f>
        <v>218788</v>
      </c>
      <c r="V70" s="756">
        <f>'Comp Group'!D332*CB8</f>
        <v>32765.791369999999</v>
      </c>
      <c r="W70" s="756">
        <f>'Comp Group'!E332*CC8</f>
        <v>14663.705732</v>
      </c>
      <c r="X70" s="756">
        <f>'Comp Group'!F332*CD8</f>
        <v>10747.202496</v>
      </c>
      <c r="Y70" s="756">
        <f>'Comp Group'!G332*CE8</f>
        <v>5550.4199399999998</v>
      </c>
      <c r="Z70" s="756">
        <f>'Comp Group'!C334*CB8</f>
        <v>131285.56531999999</v>
      </c>
      <c r="AA70" s="756">
        <f>'Comp Group'!D334*CC8</f>
        <v>144421.01508400001</v>
      </c>
      <c r="AB70" s="756">
        <f>'Comp Group'!E334*CD8</f>
        <v>105016.56775999999</v>
      </c>
      <c r="AC70" s="756">
        <f>'Comp Group'!F334*CE8</f>
        <v>87776.094024000005</v>
      </c>
      <c r="AD70" s="756">
        <f>'Comp Group'!G334*CF8</f>
        <v>50612.446944999996</v>
      </c>
      <c r="AE70" s="61">
        <f t="shared" si="21"/>
        <v>3.463118644397821E-2</v>
      </c>
      <c r="AF70" s="61">
        <f t="shared" si="21"/>
        <v>0.10918044949918709</v>
      </c>
      <c r="AG70" s="61">
        <f t="shared" si="21"/>
        <v>2.0315122285043914E-2</v>
      </c>
      <c r="AH70" s="61">
        <f t="shared" si="21"/>
        <v>-3.235232393940364E-2</v>
      </c>
      <c r="AI70" s="61">
        <f t="shared" si="21"/>
        <v>8.5989462527457337E-3</v>
      </c>
      <c r="AJ70" s="61">
        <f t="shared" si="22"/>
        <v>4.4600505951239842E-2</v>
      </c>
      <c r="AK70" s="61">
        <f t="shared" si="22"/>
        <v>0.15878253343663742</v>
      </c>
      <c r="AL70" s="61">
        <f t="shared" si="22"/>
        <v>2.5242907208832172E-2</v>
      </c>
      <c r="AM70" s="61">
        <f t="shared" si="22"/>
        <v>-4.6154219558203764E-2</v>
      </c>
      <c r="AN70" s="61">
        <f t="shared" si="22"/>
        <v>1.0352022723097104E-2</v>
      </c>
      <c r="AO70" s="843"/>
      <c r="AP70" s="437"/>
      <c r="AQ70" s="756">
        <f>'Comp Group'!C337*CB8</f>
        <v>96329.646789999999</v>
      </c>
      <c r="AR70" s="756">
        <f>'Comp Group'!D337*CC8</f>
        <v>107550.322418</v>
      </c>
      <c r="AS70" s="756">
        <f>'Comp Group'!E337*CD8</f>
        <v>91060.330815999987</v>
      </c>
      <c r="AT70" s="756">
        <f>'Comp Group'!F337*CE8</f>
        <v>77971.262759999998</v>
      </c>
      <c r="AU70" s="756">
        <f>'Comp Group'!G337*CF8</f>
        <v>45084.035549999993</v>
      </c>
      <c r="AV70" s="827">
        <f>'Shareholder funds'!F70</f>
        <v>38998.799783999995</v>
      </c>
      <c r="AW70" s="756">
        <f>'Long Term Debt'!C41*CB8</f>
        <v>0</v>
      </c>
      <c r="AX70" s="756">
        <f>'Long Term Debt'!D41*CC8</f>
        <v>0</v>
      </c>
      <c r="AY70" s="756">
        <f>'Long Term Debt'!E41*CD8</f>
        <v>0</v>
      </c>
      <c r="AZ70" s="756">
        <f>'Long Term Debt'!F41*CE8</f>
        <v>55.418340000000001</v>
      </c>
      <c r="BA70" s="756">
        <f>'Long Term Debt'!G41*CF8</f>
        <v>0</v>
      </c>
      <c r="BB70" s="743" t="e">
        <f t="shared" si="15"/>
        <v>#DIV/0!</v>
      </c>
      <c r="BC70" s="743">
        <f t="shared" si="16"/>
        <v>-51.242253521126763</v>
      </c>
      <c r="BD70" s="743" t="e">
        <f t="shared" si="17"/>
        <v>#DIV/0!</v>
      </c>
      <c r="BE70" s="766" t="e">
        <f t="shared" si="18"/>
        <v>#DIV/0!</v>
      </c>
      <c r="BF70" s="766">
        <f t="shared" si="19"/>
        <v>-6.0678506864750421</v>
      </c>
      <c r="BG70" s="760" t="e">
        <f t="shared" si="20"/>
        <v>#DIV/0!</v>
      </c>
    </row>
    <row r="71" spans="1:59" ht="15" customHeight="1">
      <c r="A71" s="449">
        <v>2005</v>
      </c>
      <c r="B71" s="676"/>
      <c r="C71" s="50" t="s">
        <v>487</v>
      </c>
      <c r="D71" s="51"/>
      <c r="E71" s="51"/>
      <c r="F71" s="51"/>
      <c r="G71" s="51"/>
      <c r="H71" s="51"/>
      <c r="I71" s="411" t="s">
        <v>258</v>
      </c>
      <c r="J71" s="524" t="s">
        <v>539</v>
      </c>
      <c r="K71" s="448">
        <f>'Comp Group'!C344*CC8</f>
        <v>147154.12185600001</v>
      </c>
      <c r="L71" s="448">
        <f>'Comp Group'!D344*CD8</f>
        <v>108664.16226399998</v>
      </c>
      <c r="M71" s="448">
        <f>'Comp Group'!E344*CE8</f>
        <v>61357.156643999995</v>
      </c>
      <c r="N71" s="448">
        <f>'Comp Group'!F344*CF8</f>
        <v>41539.819283999997</v>
      </c>
      <c r="O71" s="448">
        <f>'Comp Group'!G344*CG8</f>
        <v>35739.236771999997</v>
      </c>
      <c r="P71" s="448">
        <f>'Comp Group'!C348*CC8</f>
        <v>7090.580054</v>
      </c>
      <c r="Q71" s="448">
        <f>'Comp Group'!D348*CD8</f>
        <v>5636.2581679999994</v>
      </c>
      <c r="R71" s="448">
        <f>'Comp Group'!E348*CE8</f>
        <v>5965.6672200000003</v>
      </c>
      <c r="S71" s="448">
        <f>'Comp Group'!F348*CF8</f>
        <v>1284.4946289999998</v>
      </c>
      <c r="T71" s="448">
        <f>'Comp Group'!G348*CG8</f>
        <v>1164.915432</v>
      </c>
      <c r="U71" s="443">
        <f>'Comp Group'!C347*CC8</f>
        <v>50678.617038000004</v>
      </c>
      <c r="V71" s="443">
        <f>'Comp Group'!D347*CD8</f>
        <v>39804.07344</v>
      </c>
      <c r="W71" s="443">
        <f>'Comp Group'!E347*CE8</f>
        <v>20407.530515999999</v>
      </c>
      <c r="X71" s="443">
        <f>'Comp Group'!F347*CF8</f>
        <v>13283.42527</v>
      </c>
      <c r="Y71" s="443">
        <f>'Comp Group'!G347*CG8</f>
        <v>10171.008054</v>
      </c>
      <c r="Z71" s="443">
        <f>'Comp Group'!C349*CC8</f>
        <v>123879.74544</v>
      </c>
      <c r="AA71" s="443">
        <f>'Comp Group'!D349*CD8</f>
        <v>86125.289623999997</v>
      </c>
      <c r="AB71" s="443">
        <f>'Comp Group'!E349*CE8</f>
        <v>57205.620492000002</v>
      </c>
      <c r="AC71" s="443">
        <f>'Comp Group'!F349*CF8</f>
        <v>36933.924125999998</v>
      </c>
      <c r="AD71" s="443">
        <f>'Comp Group'!G349*CG8</f>
        <v>26532.450449999997</v>
      </c>
      <c r="AE71" s="61">
        <f t="shared" si="21"/>
        <v>5.7237605944502494E-2</v>
      </c>
      <c r="AF71" s="61">
        <f t="shared" si="21"/>
        <v>6.5442545303550176E-2</v>
      </c>
      <c r="AG71" s="61">
        <f t="shared" si="21"/>
        <v>0.10428463442388981</v>
      </c>
      <c r="AH71" s="61">
        <f t="shared" si="21"/>
        <v>3.4778179123830688E-2</v>
      </c>
      <c r="AI71" s="61">
        <f t="shared" si="21"/>
        <v>4.3905308866788069E-2</v>
      </c>
      <c r="AJ71" s="61">
        <f t="shared" si="22"/>
        <v>0.11864895021628805</v>
      </c>
      <c r="AK71" s="61">
        <f t="shared" si="22"/>
        <v>0.13561906696382334</v>
      </c>
      <c r="AL71" s="61">
        <f t="shared" si="22"/>
        <v>0.1973798672647234</v>
      </c>
      <c r="AM71" s="61">
        <f t="shared" si="22"/>
        <v>6.4205564079488117E-2</v>
      </c>
      <c r="AN71" s="61">
        <f t="shared" si="22"/>
        <v>8.6219328328380515E-2</v>
      </c>
      <c r="AO71" s="843"/>
      <c r="AP71" s="437"/>
      <c r="AQ71" s="443">
        <f>'Comp Group'!C352*CC8</f>
        <v>73201.128402000002</v>
      </c>
      <c r="AR71" s="443">
        <f>'Comp Group'!D352*CD8</f>
        <v>46320.873959999997</v>
      </c>
      <c r="AS71" s="443">
        <f>'Comp Group'!E352*CE8</f>
        <v>36798.089975999996</v>
      </c>
      <c r="AT71" s="443">
        <f>'Comp Group'!F352*CF8</f>
        <v>23650.498855999998</v>
      </c>
      <c r="AU71" s="443">
        <f>'Comp Group'!G352*CG8</f>
        <v>16361.442395999999</v>
      </c>
      <c r="AV71" s="827">
        <f>'Shareholder funds'!F71</f>
        <v>10660.698801</v>
      </c>
      <c r="AW71" s="443">
        <f>'Long Term Debt'!C42*CC8</f>
        <v>7163.7529560000003</v>
      </c>
      <c r="AX71" s="443">
        <f>'Long Term Debt'!D42*CD8</f>
        <v>9093.2339039999988</v>
      </c>
      <c r="AY71" s="443">
        <f>'Long Term Debt'!E42*CE8</f>
        <v>6593.22138</v>
      </c>
      <c r="AZ71" s="443">
        <f>'Long Term Debt'!F42*CF8</f>
        <v>2516.900443</v>
      </c>
      <c r="BA71" s="443">
        <f>'Long Term Debt'!G42*CG8</f>
        <v>0</v>
      </c>
      <c r="BB71" s="553" t="e">
        <f t="shared" si="15"/>
        <v>#DIV/0!</v>
      </c>
      <c r="BC71" s="553">
        <f t="shared" si="16"/>
        <v>0.51034780997096429</v>
      </c>
      <c r="BD71" s="553">
        <f t="shared" si="17"/>
        <v>0.90481827867882092</v>
      </c>
      <c r="BE71" s="538" t="e">
        <f t="shared" si="18"/>
        <v>#DIV/0!</v>
      </c>
      <c r="BF71" s="538">
        <f t="shared" si="19"/>
        <v>0.27039167431729716</v>
      </c>
      <c r="BG71" s="455">
        <f t="shared" si="20"/>
        <v>0.4497514147622762</v>
      </c>
    </row>
    <row r="72" spans="1:59" ht="15" customHeight="1">
      <c r="A72" s="449">
        <v>2005</v>
      </c>
      <c r="B72" s="676"/>
      <c r="C72" s="50" t="s">
        <v>487</v>
      </c>
      <c r="D72" s="51"/>
      <c r="E72" s="51"/>
      <c r="F72" s="51"/>
      <c r="G72" s="51"/>
      <c r="H72" s="51"/>
      <c r="I72" s="411" t="s">
        <v>258</v>
      </c>
      <c r="J72" s="524" t="s">
        <v>540</v>
      </c>
      <c r="K72" s="447">
        <f>'Comp Group'!C356*CC8</f>
        <v>2655043.6908</v>
      </c>
      <c r="L72" s="447">
        <f>'Comp Group'!D356*CD8</f>
        <v>2260440.8536</v>
      </c>
      <c r="M72" s="447">
        <f>'Comp Group'!E356*CE8</f>
        <v>1365476.676</v>
      </c>
      <c r="N72" s="447">
        <f>'Comp Group'!F356*CF8</f>
        <v>541490.4425</v>
      </c>
      <c r="O72" s="447">
        <f>'Comp Group'!G356*CG8</f>
        <v>679206.94559999998</v>
      </c>
      <c r="P72" s="447">
        <f>'Comp Group'!C360*CC8</f>
        <v>77505.744600000005</v>
      </c>
      <c r="Q72" s="447">
        <f>'Comp Group'!D360*CD8</f>
        <v>72414.598399999988</v>
      </c>
      <c r="R72" s="447">
        <f>'Comp Group'!E360*CE8</f>
        <v>-6775.0871999999999</v>
      </c>
      <c r="S72" s="447">
        <f>'Comp Group'!F360*CF8</f>
        <v>-23789.816999999999</v>
      </c>
      <c r="T72" s="447">
        <f>'Comp Group'!G360*CG8</f>
        <v>-32036.660999999996</v>
      </c>
      <c r="U72" s="443">
        <f>'Comp Group'!C359*CC8</f>
        <v>975123.30680000002</v>
      </c>
      <c r="V72" s="443">
        <f>'Comp Group'!D359*CD8</f>
        <v>791256.11039999989</v>
      </c>
      <c r="W72" s="443">
        <f>'Comp Group'!E359*CE8</f>
        <v>732365.07120000001</v>
      </c>
      <c r="X72" s="443">
        <f>'Comp Group'!F359*CF8</f>
        <v>255110.80229999998</v>
      </c>
      <c r="Y72" s="443">
        <f>'Comp Group'!G359*CG8</f>
        <v>265718.45879999996</v>
      </c>
      <c r="Z72" s="443">
        <f>'Comp Group'!C361*CC8</f>
        <v>1489005.6306</v>
      </c>
      <c r="AA72" s="443">
        <f>'Comp Group'!D361*CD8</f>
        <v>1150659.7552</v>
      </c>
      <c r="AB72" s="443">
        <f>'Comp Group'!E361*CE8</f>
        <v>1006178.5032</v>
      </c>
      <c r="AC72" s="443">
        <f>'Comp Group'!F361*CF8</f>
        <v>268560.60079999996</v>
      </c>
      <c r="AD72" s="443">
        <f>'Comp Group'!G361*CG8</f>
        <v>383756.08679999999</v>
      </c>
      <c r="AE72" s="61">
        <f t="shared" si="21"/>
        <v>5.2052015793095957E-2</v>
      </c>
      <c r="AF72" s="61">
        <f t="shared" si="21"/>
        <v>6.293311126312344E-2</v>
      </c>
      <c r="AG72" s="61">
        <f t="shared" si="21"/>
        <v>-6.7334843454246434E-3</v>
      </c>
      <c r="AH72" s="61">
        <f t="shared" si="21"/>
        <v>-8.858267716535434E-2</v>
      </c>
      <c r="AI72" s="61">
        <f t="shared" si="21"/>
        <v>-8.3481831564267445E-2</v>
      </c>
      <c r="AJ72" s="61">
        <f t="shared" si="22"/>
        <v>0.17750369841451269</v>
      </c>
      <c r="AK72" s="61">
        <f t="shared" si="22"/>
        <v>0.22871966361346874</v>
      </c>
      <c r="AL72" s="61">
        <f t="shared" si="22"/>
        <v>-4.7169887967962551E-2</v>
      </c>
      <c r="AM72" s="61">
        <f t="shared" si="22"/>
        <v>-0.36185691108647561</v>
      </c>
      <c r="AN72" s="61">
        <f t="shared" si="22"/>
        <v>-0.27596491430386649</v>
      </c>
      <c r="AO72" s="843"/>
      <c r="AP72" s="437"/>
      <c r="AQ72" s="443">
        <f>'Comp Group'!C364*CC8</f>
        <v>513882.32380000001</v>
      </c>
      <c r="AR72" s="443">
        <f>'Comp Group'!D364*CD8</f>
        <v>359403.64479999995</v>
      </c>
      <c r="AS72" s="443">
        <f>'Comp Group'!E364*CE8</f>
        <v>273813.43199999997</v>
      </c>
      <c r="AT72" s="443">
        <f>'Comp Group'!F364*CF8</f>
        <v>13449.798499999999</v>
      </c>
      <c r="AU72" s="443">
        <f>'Comp Group'!G364*CG8</f>
        <v>118037.628</v>
      </c>
      <c r="AV72" s="827">
        <f>'Shareholder funds'!F72</f>
        <v>114141.6045</v>
      </c>
      <c r="AW72" s="443">
        <f>'Long Term Debt'!C43*CC8</f>
        <v>28136.509000000002</v>
      </c>
      <c r="AX72" s="443">
        <f>'Long Term Debt'!D43*CD8</f>
        <v>19369.878399999998</v>
      </c>
      <c r="AY72" s="443">
        <f>'Long Term Debt'!E43*CE8</f>
        <v>10100.187599999999</v>
      </c>
      <c r="AZ72" s="443">
        <f>'Long Term Debt'!F43*CF8</f>
        <v>4509.1809999999996</v>
      </c>
      <c r="BA72" s="443">
        <f>'Long Term Debt'!G43*CG8</f>
        <v>19727.447399999997</v>
      </c>
      <c r="BB72" s="553">
        <f t="shared" si="15"/>
        <v>-1.6239638281838735</v>
      </c>
      <c r="BC72" s="553">
        <f t="shared" si="16"/>
        <v>-5.2758620689655178</v>
      </c>
      <c r="BD72" s="553">
        <f t="shared" si="17"/>
        <v>-0.67078825347758886</v>
      </c>
      <c r="BE72" s="538">
        <f t="shared" si="18"/>
        <v>-1.0698593824880811</v>
      </c>
      <c r="BF72" s="538">
        <f t="shared" si="19"/>
        <v>-5.0001868027148912</v>
      </c>
      <c r="BG72" s="455">
        <f t="shared" si="20"/>
        <v>-0.50108170103648597</v>
      </c>
    </row>
    <row r="73" spans="1:59" ht="15" customHeight="1">
      <c r="A73" s="449">
        <v>2013</v>
      </c>
      <c r="B73" s="676"/>
      <c r="C73" s="50" t="s">
        <v>487</v>
      </c>
      <c r="D73" s="51"/>
      <c r="E73" s="51"/>
      <c r="F73" s="51"/>
      <c r="G73" s="51"/>
      <c r="H73" s="51"/>
      <c r="I73" s="50" t="s">
        <v>259</v>
      </c>
      <c r="J73" s="524" t="s">
        <v>542</v>
      </c>
      <c r="K73" s="447">
        <f>'Comp Group'!C395*BU8</f>
        <v>249178.04805300001</v>
      </c>
      <c r="L73" s="447">
        <f>'Comp Group'!D395*BV8</f>
        <v>242466.54286800002</v>
      </c>
      <c r="M73" s="447">
        <f>'Comp Group'!E395*BW8</f>
        <v>278798.2035</v>
      </c>
      <c r="N73" s="447">
        <f>'Comp Group'!F395*BX8</f>
        <v>277863.65504300001</v>
      </c>
      <c r="O73" s="447">
        <f>'Comp Group'!G395*BY8</f>
        <v>292060.02117600001</v>
      </c>
      <c r="P73" s="447">
        <f>'Comp Group'!C399*BU8</f>
        <v>8875.520203</v>
      </c>
      <c r="Q73" s="447">
        <f>'Comp Group'!D399*BV8</f>
        <v>8972.2228500000001</v>
      </c>
      <c r="R73" s="447">
        <f>'Comp Group'!E399*BW8</f>
        <v>3866.687355</v>
      </c>
      <c r="S73" s="447">
        <f>'Comp Group'!F399*BX8</f>
        <v>1418.1538430000001</v>
      </c>
      <c r="T73" s="447">
        <f>'Comp Group'!G399*BY8</f>
        <v>7976.7578279999998</v>
      </c>
      <c r="U73" s="443">
        <f>'Comp Group'!C398*BU8</f>
        <v>91457.228918000008</v>
      </c>
      <c r="V73" s="443">
        <f>'Comp Group'!D398*BV8</f>
        <v>87885.671316000007</v>
      </c>
      <c r="W73" s="443">
        <f>'Comp Group'!E398*BW8</f>
        <v>104640.624645</v>
      </c>
      <c r="X73" s="443">
        <f>'Comp Group'!F398*BX8</f>
        <v>104705.861917</v>
      </c>
      <c r="Y73" s="443">
        <f>'Comp Group'!G398*BY8</f>
        <v>94200.254231999992</v>
      </c>
      <c r="Z73" s="443">
        <f>'Comp Group'!C400*BU8</f>
        <v>161079.18521200001</v>
      </c>
      <c r="AA73" s="443">
        <f>'Comp Group'!D400*BV8</f>
        <v>158260.81835000002</v>
      </c>
      <c r="AB73" s="443">
        <f>'Comp Group'!E400*BW8</f>
        <v>183391.68483000001</v>
      </c>
      <c r="AC73" s="443">
        <f>'Comp Group'!F400*BX8</f>
        <v>185362.87221999999</v>
      </c>
      <c r="AD73" s="443">
        <f>'Comp Group'!G400*BY8</f>
        <v>174990.78031199999</v>
      </c>
      <c r="AE73" s="61">
        <f t="shared" si="21"/>
        <v>5.5100354470496757E-2</v>
      </c>
      <c r="AF73" s="61">
        <f t="shared" si="21"/>
        <v>5.669263525579387E-2</v>
      </c>
      <c r="AG73" s="61">
        <f t="shared" si="21"/>
        <v>2.1084311203009735E-2</v>
      </c>
      <c r="AH73" s="61">
        <f t="shared" si="21"/>
        <v>7.6506898388845005E-3</v>
      </c>
      <c r="AI73" s="61">
        <f t="shared" si="21"/>
        <v>4.5583874840593494E-2</v>
      </c>
      <c r="AJ73" s="61">
        <f t="shared" si="22"/>
        <v>0.12679554888872752</v>
      </c>
      <c r="AK73" s="61">
        <f t="shared" si="22"/>
        <v>0.12033049781431909</v>
      </c>
      <c r="AL73" s="61">
        <f t="shared" si="22"/>
        <v>4.8513068920071754E-2</v>
      </c>
      <c r="AM73" s="61">
        <f t="shared" si="22"/>
        <v>1.7567964982238303E-2</v>
      </c>
      <c r="AN73" s="61">
        <f t="shared" si="22"/>
        <v>0.10055149016895965</v>
      </c>
      <c r="AO73" s="843"/>
      <c r="AP73" s="437"/>
      <c r="AQ73" s="443">
        <f>'Comp Group'!C403*BU8</f>
        <v>69622.075347000005</v>
      </c>
      <c r="AR73" s="443">
        <f>'Comp Group'!D403*BV8</f>
        <v>70375.271260000009</v>
      </c>
      <c r="AS73" s="443">
        <f>'Comp Group'!E403*BW8</f>
        <v>78751.060184999995</v>
      </c>
      <c r="AT73" s="443">
        <f>'Comp Group'!F403*BX8</f>
        <v>80657.010303000003</v>
      </c>
      <c r="AU73" s="443">
        <f>'Comp Group'!G403*BY8</f>
        <v>80790.698003999991</v>
      </c>
      <c r="AV73" s="827">
        <f>'Shareholder funds'!F73</f>
        <v>77869.463363999996</v>
      </c>
      <c r="AW73" s="443">
        <f>'Long Term Debt'!C45*BU8</f>
        <v>8184.7746970000007</v>
      </c>
      <c r="AX73" s="443">
        <f>'Long Term Debt'!D45*BV8</f>
        <v>8911.9732399999994</v>
      </c>
      <c r="AY73" s="443">
        <f>'Long Term Debt'!E45*BW8</f>
        <v>4552.8178049999997</v>
      </c>
      <c r="AZ73" s="443">
        <f>'Long Term Debt'!F45*BX8</f>
        <v>7932.7395299999998</v>
      </c>
      <c r="BA73" s="443">
        <f>'Long Term Debt'!G45*BY8</f>
        <v>8802.852648</v>
      </c>
      <c r="BB73" s="553">
        <f t="shared" si="15"/>
        <v>0.90615600953087772</v>
      </c>
      <c r="BC73" s="553">
        <f t="shared" si="16"/>
        <v>0.17877226872719468</v>
      </c>
      <c r="BD73" s="553">
        <f t="shared" si="17"/>
        <v>0.84929542991013673</v>
      </c>
      <c r="BE73" s="538">
        <f t="shared" si="18"/>
        <v>0.54633697427538064</v>
      </c>
      <c r="BF73" s="538">
        <f t="shared" si="19"/>
        <v>0.15334248086195906</v>
      </c>
      <c r="BG73" s="455">
        <f t="shared" si="20"/>
        <v>0.50542782236908335</v>
      </c>
    </row>
    <row r="74" spans="1:59" ht="15" customHeight="1">
      <c r="A74" s="449">
        <v>2013</v>
      </c>
      <c r="B74" s="676"/>
      <c r="C74" s="50" t="s">
        <v>487</v>
      </c>
      <c r="D74" s="51"/>
      <c r="E74" s="51"/>
      <c r="F74" s="51"/>
      <c r="G74" s="51"/>
      <c r="H74" s="51"/>
      <c r="I74" s="50" t="s">
        <v>259</v>
      </c>
      <c r="J74" s="524" t="s">
        <v>543</v>
      </c>
      <c r="K74" s="447">
        <f>'Comp Group'!C407*BU8</f>
        <v>36935.121772999999</v>
      </c>
      <c r="L74" s="447">
        <f>'Comp Group'!D407*BV8</f>
        <v>47251.967846</v>
      </c>
      <c r="M74" s="447">
        <f>'Comp Group'!E407*BW8</f>
        <v>46432.405650000001</v>
      </c>
      <c r="N74" s="447">
        <f>'Comp Group'!F407*BX8</f>
        <v>61488.862244000004</v>
      </c>
      <c r="O74" s="447">
        <f>'Comp Group'!G407*BY8</f>
        <v>23731.357415999999</v>
      </c>
      <c r="P74" s="444">
        <f>'Comp Group'!C411*BU8</f>
        <v>-544.90558099999998</v>
      </c>
      <c r="Q74" s="444">
        <f>'Comp Group'!D411*BV8</f>
        <v>1385.865256</v>
      </c>
      <c r="R74" s="444">
        <f>'Comp Group'!E411*BW8</f>
        <v>294.19236000000001</v>
      </c>
      <c r="S74" s="444">
        <f>'Comp Group'!F411*BX8</f>
        <v>4263.9964810000001</v>
      </c>
      <c r="T74" s="444">
        <f>'Comp Group'!G411*BY8</f>
        <v>1045.125996</v>
      </c>
      <c r="U74" s="443">
        <f>'Comp Group'!C410*BU8</f>
        <v>22946.394273000002</v>
      </c>
      <c r="V74" s="443">
        <f>'Comp Group'!D410*BV8</f>
        <v>25445.335805999999</v>
      </c>
      <c r="W74" s="443">
        <f>'Comp Group'!E410*BW8</f>
        <v>28598.267384999999</v>
      </c>
      <c r="X74" s="443">
        <f>'Comp Group'!F410*BX8</f>
        <v>26580.551637</v>
      </c>
      <c r="Y74" s="443">
        <f>'Comp Group'!G410*BY8</f>
        <v>17329.251504</v>
      </c>
      <c r="Z74" s="443">
        <f>'Comp Group'!C412*BU8</f>
        <v>31192.600318000001</v>
      </c>
      <c r="AA74" s="443">
        <f>'Comp Group'!D412*BV8</f>
        <v>34556.319098</v>
      </c>
      <c r="AB74" s="443">
        <f>'Comp Group'!E412*BW8</f>
        <v>40883.504730000001</v>
      </c>
      <c r="AC74" s="443">
        <f>'Comp Group'!F412*BX8</f>
        <v>39545.532352000002</v>
      </c>
      <c r="AD74" s="443">
        <f>'Comp Group'!G412*BY8</f>
        <v>24290.798112</v>
      </c>
      <c r="AE74" s="61">
        <f t="shared" si="21"/>
        <v>-1.7469065593917695E-2</v>
      </c>
      <c r="AF74" s="61">
        <f t="shared" si="21"/>
        <v>4.0104539261538681E-2</v>
      </c>
      <c r="AG74" s="61">
        <f t="shared" si="21"/>
        <v>7.1958693840678467E-3</v>
      </c>
      <c r="AH74" s="61">
        <f t="shared" si="21"/>
        <v>0.10782498622209975</v>
      </c>
      <c r="AI74" s="61">
        <f t="shared" si="21"/>
        <v>4.3025593114772664E-2</v>
      </c>
      <c r="AJ74" s="61">
        <f t="shared" si="22"/>
        <v>-6.2787755592927652E-2</v>
      </c>
      <c r="AK74" s="61">
        <f t="shared" si="22"/>
        <v>0.12954374754896969</v>
      </c>
      <c r="AL74" s="61">
        <f t="shared" si="22"/>
        <v>2.3302163910104468E-2</v>
      </c>
      <c r="AM74" s="61">
        <f t="shared" si="22"/>
        <v>0.42797186001178683</v>
      </c>
      <c r="AN74" s="61">
        <f t="shared" si="22"/>
        <v>0.18395753031052464</v>
      </c>
      <c r="AO74" s="843"/>
      <c r="AP74" s="437"/>
      <c r="AQ74" s="443">
        <f>'Comp Group'!C415*BU8</f>
        <v>8246.2060450000008</v>
      </c>
      <c r="AR74" s="443">
        <f>'Comp Group'!D415*BV8</f>
        <v>9110.8590660000009</v>
      </c>
      <c r="AS74" s="443">
        <f>'Comp Group'!E415*BW8</f>
        <v>12285.237345</v>
      </c>
      <c r="AT74" s="443">
        <f>'Comp Group'!F415*BX8</f>
        <v>12964.980715</v>
      </c>
      <c r="AU74" s="443">
        <f>'Comp Group'!G415*BY8</f>
        <v>6961.5466079999997</v>
      </c>
      <c r="AV74" s="827">
        <f>'Shareholder funds'!F74</f>
        <v>4401.1412280000004</v>
      </c>
      <c r="AW74" s="443">
        <f>'Long Term Debt'!C46*BU8</f>
        <v>7629.6305580000007</v>
      </c>
      <c r="AX74" s="443">
        <f>'Long Term Debt'!D46*BV8</f>
        <v>8397.4291480000011</v>
      </c>
      <c r="AY74" s="443">
        <f>'Long Term Debt'!E46*BW8</f>
        <v>9308.2908449999995</v>
      </c>
      <c r="AZ74" s="443">
        <f>'Long Term Debt'!F46*BX8</f>
        <v>10728.012869</v>
      </c>
      <c r="BA74" s="443">
        <f>'Long Term Debt'!G46*BY8</f>
        <v>6428.9260559999993</v>
      </c>
      <c r="BB74" s="553">
        <f t="shared" si="15"/>
        <v>0.1625661870888378</v>
      </c>
      <c r="BC74" s="553">
        <f t="shared" si="16"/>
        <v>0.39746377386639581</v>
      </c>
      <c r="BD74" s="553">
        <f t="shared" si="17"/>
        <v>3.1605411229498385E-2</v>
      </c>
      <c r="BE74" s="538">
        <f t="shared" si="18"/>
        <v>9.7981566688874269E-2</v>
      </c>
      <c r="BF74" s="538">
        <f t="shared" si="19"/>
        <v>0.30962634273893125</v>
      </c>
      <c r="BG74" s="455">
        <f t="shared" si="20"/>
        <v>2.911033736715074E-2</v>
      </c>
    </row>
    <row r="75" spans="1:59" ht="15" customHeight="1">
      <c r="A75" s="449">
        <v>2015</v>
      </c>
      <c r="B75" s="676"/>
      <c r="C75" s="50" t="s">
        <v>435</v>
      </c>
      <c r="D75" s="51"/>
      <c r="E75" s="51"/>
      <c r="F75" s="51"/>
      <c r="G75" s="51"/>
      <c r="H75" s="51"/>
      <c r="I75" s="536" t="s">
        <v>0</v>
      </c>
      <c r="J75" s="524" t="s">
        <v>1043</v>
      </c>
      <c r="K75" s="447">
        <f>'More Comp Group'!D666</f>
        <v>3742920</v>
      </c>
      <c r="L75" s="447">
        <f>'More Comp Group'!E666</f>
        <v>2576884</v>
      </c>
      <c r="M75" s="447">
        <f>'More Comp Group'!F666</f>
        <v>1364129</v>
      </c>
      <c r="N75" s="447">
        <f>'More Comp Group'!G666</f>
        <v>1221802</v>
      </c>
      <c r="O75" s="447">
        <f>'More Comp Group'!H666</f>
        <v>464231</v>
      </c>
      <c r="P75" s="444">
        <f>'More Comp Group'!D670</f>
        <v>475778</v>
      </c>
      <c r="Q75" s="444">
        <f>'More Comp Group'!E670</f>
        <v>274787</v>
      </c>
      <c r="R75" s="444">
        <f>'More Comp Group'!F670</f>
        <v>34971</v>
      </c>
      <c r="S75" s="444">
        <f>'More Comp Group'!G670</f>
        <v>-312652</v>
      </c>
      <c r="T75" s="444">
        <f>'More Comp Group'!H670</f>
        <v>-279139</v>
      </c>
      <c r="U75" s="443">
        <f>'More Comp Group'!D669</f>
        <v>7732832</v>
      </c>
      <c r="V75" s="443">
        <f>'More Comp Group'!E669</f>
        <v>9029964</v>
      </c>
      <c r="W75" s="443">
        <f>'More Comp Group'!F669</f>
        <v>6805989</v>
      </c>
      <c r="X75" s="443">
        <f>'More Comp Group'!G669</f>
        <v>4849783</v>
      </c>
      <c r="Y75" s="443">
        <f>'More Comp Group'!H669</f>
        <v>4732710</v>
      </c>
      <c r="Z75" s="443">
        <f>'More Comp Group'!D671</f>
        <v>10709371</v>
      </c>
      <c r="AA75" s="443">
        <f>'More Comp Group'!E671</f>
        <v>12018560</v>
      </c>
      <c r="AB75" s="443">
        <f>'More Comp Group'!F671</f>
        <v>9255196</v>
      </c>
      <c r="AC75" s="443">
        <f>'More Comp Group'!G671</f>
        <v>5188809</v>
      </c>
      <c r="AD75" s="443">
        <f>'More Comp Group'!H671</f>
        <v>5384372</v>
      </c>
      <c r="AE75" s="61">
        <f t="shared" si="21"/>
        <v>4.442632531826566E-2</v>
      </c>
      <c r="AF75" s="61">
        <f t="shared" si="21"/>
        <v>2.2863554369242239E-2</v>
      </c>
      <c r="AG75" s="61">
        <f t="shared" si="21"/>
        <v>3.7785261381822707E-3</v>
      </c>
      <c r="AH75" s="61">
        <f t="shared" si="21"/>
        <v>-6.0255060457997202E-2</v>
      </c>
      <c r="AI75" s="61">
        <f t="shared" si="21"/>
        <v>-5.1842443278436186E-2</v>
      </c>
      <c r="AJ75" s="61">
        <f t="shared" si="22"/>
        <v>0.15951960852520522</v>
      </c>
      <c r="AK75" s="61">
        <f t="shared" si="22"/>
        <v>0.1010654486747681</v>
      </c>
      <c r="AL75" s="61">
        <f t="shared" si="22"/>
        <v>2.5084704183617367E-2</v>
      </c>
      <c r="AM75" s="61">
        <f t="shared" si="22"/>
        <v>-0.6311815627119739</v>
      </c>
      <c r="AN75" s="61">
        <f t="shared" si="22"/>
        <v>-0.46735297344361443</v>
      </c>
      <c r="AO75" s="843"/>
      <c r="AP75" s="437"/>
      <c r="AQ75" s="443">
        <f>'More Comp Group'!D674</f>
        <v>2976539</v>
      </c>
      <c r="AR75" s="443">
        <f>'More Comp Group'!E674</f>
        <v>2988596</v>
      </c>
      <c r="AS75" s="443">
        <f>'More Comp Group'!F674</f>
        <v>2449207</v>
      </c>
      <c r="AT75" s="443">
        <f>'More Comp Group'!G674</f>
        <v>339026</v>
      </c>
      <c r="AU75" s="443">
        <f>'More Comp Group'!H674</f>
        <v>651662</v>
      </c>
      <c r="AV75" s="827">
        <f>'Shareholder funds'!F75</f>
        <v>542891.22149000003</v>
      </c>
      <c r="AW75" s="443">
        <f>'More Comp Group'!D667</f>
        <v>6352551</v>
      </c>
      <c r="AX75" s="443">
        <f>'More Comp Group'!E667</f>
        <v>6141488</v>
      </c>
      <c r="AY75" s="443">
        <f>'More Comp Group'!F667</f>
        <v>5921250</v>
      </c>
      <c r="AZ75" s="443">
        <f>'More Comp Group'!G667</f>
        <v>4454944</v>
      </c>
      <c r="BA75" s="443">
        <f>'More Comp Group'!H667</f>
        <v>4079831</v>
      </c>
      <c r="BB75" s="553">
        <f t="shared" si="15"/>
        <v>-6.8419255601518791E-2</v>
      </c>
      <c r="BC75" s="553">
        <f t="shared" si="16"/>
        <v>-7.018090463089996E-2</v>
      </c>
      <c r="BD75" s="553">
        <f t="shared" si="17"/>
        <v>5.9060164661177963E-3</v>
      </c>
      <c r="BE75" s="538">
        <f t="shared" si="18"/>
        <v>-4.0832176537414527E-2</v>
      </c>
      <c r="BF75" s="538">
        <f t="shared" si="19"/>
        <v>-5.8992023680414521E-2</v>
      </c>
      <c r="BG75" s="455">
        <f t="shared" si="20"/>
        <v>1.098128188551183E-2</v>
      </c>
    </row>
    <row r="76" spans="1:59" ht="15" customHeight="1">
      <c r="A76" s="449">
        <v>2015</v>
      </c>
      <c r="B76" s="676"/>
      <c r="C76" s="50" t="s">
        <v>435</v>
      </c>
      <c r="D76" s="51"/>
      <c r="E76" s="51"/>
      <c r="F76" s="51"/>
      <c r="G76" s="51"/>
      <c r="H76" s="51"/>
      <c r="I76" s="536" t="s">
        <v>0</v>
      </c>
      <c r="J76" s="524" t="s">
        <v>1044</v>
      </c>
      <c r="K76" s="447">
        <f>'More Comp Group'!D678</f>
        <v>1632</v>
      </c>
      <c r="L76" s="447">
        <f>'More Comp Group'!E678</f>
        <v>5346</v>
      </c>
      <c r="M76" s="447">
        <f>'More Comp Group'!F678</f>
        <v>8</v>
      </c>
      <c r="N76" s="447">
        <f>'More Comp Group'!G678</f>
        <v>0</v>
      </c>
      <c r="O76" s="447">
        <f>'More Comp Group'!H678</f>
        <v>1975</v>
      </c>
      <c r="P76" s="444">
        <f>'More Comp Group'!D682</f>
        <v>-3741</v>
      </c>
      <c r="Q76" s="444">
        <f>'More Comp Group'!E682</f>
        <v>-11733</v>
      </c>
      <c r="R76" s="444">
        <f>'More Comp Group'!F682</f>
        <v>-819</v>
      </c>
      <c r="S76" s="444">
        <f>'More Comp Group'!G682</f>
        <v>-1505</v>
      </c>
      <c r="T76" s="444">
        <f>'More Comp Group'!H682</f>
        <v>-3145</v>
      </c>
      <c r="U76" s="443">
        <f>'More Comp Group'!D681</f>
        <v>182</v>
      </c>
      <c r="V76" s="443">
        <f>'More Comp Group'!E681</f>
        <v>4130</v>
      </c>
      <c r="W76" s="443">
        <f>'More Comp Group'!F681</f>
        <v>10681</v>
      </c>
      <c r="X76" s="443">
        <f>'More Comp Group'!G681</f>
        <v>9792</v>
      </c>
      <c r="Y76" s="443">
        <f>'More Comp Group'!H681</f>
        <v>9649</v>
      </c>
      <c r="Z76" s="443">
        <f>'More Comp Group'!D683</f>
        <v>116661</v>
      </c>
      <c r="AA76" s="443">
        <f>'More Comp Group'!E683</f>
        <v>54695</v>
      </c>
      <c r="AB76" s="443">
        <f>'More Comp Group'!F683</f>
        <v>17515</v>
      </c>
      <c r="AC76" s="443">
        <f>'More Comp Group'!G683</f>
        <v>17307</v>
      </c>
      <c r="AD76" s="443">
        <f>'More Comp Group'!H683</f>
        <v>20276</v>
      </c>
      <c r="AE76" s="61">
        <f t="shared" si="21"/>
        <v>-3.2067271838917888E-2</v>
      </c>
      <c r="AF76" s="61">
        <f t="shared" si="21"/>
        <v>-0.21451686625834171</v>
      </c>
      <c r="AG76" s="61">
        <f t="shared" si="21"/>
        <v>-4.6759920068512706E-2</v>
      </c>
      <c r="AH76" s="61">
        <f t="shared" si="21"/>
        <v>-8.6959033916912232E-2</v>
      </c>
      <c r="AI76" s="61">
        <f t="shared" si="21"/>
        <v>-0.1551094890510949</v>
      </c>
      <c r="AJ76" s="61">
        <f t="shared" si="22"/>
        <v>-4.4790594094968987E-2</v>
      </c>
      <c r="AK76" s="61">
        <f t="shared" si="22"/>
        <v>-0.40881533101045298</v>
      </c>
      <c r="AL76" s="61">
        <f t="shared" si="22"/>
        <v>-0.11414634146341464</v>
      </c>
      <c r="AM76" s="61">
        <f t="shared" si="22"/>
        <v>-0.16591335023701906</v>
      </c>
      <c r="AN76" s="61">
        <f t="shared" si="22"/>
        <v>-0.23004900885085217</v>
      </c>
      <c r="AO76" s="843"/>
      <c r="AP76" s="437"/>
      <c r="AQ76" s="443">
        <f>'More Comp Group'!D686</f>
        <v>116479</v>
      </c>
      <c r="AR76" s="443">
        <f>'More Comp Group'!E686</f>
        <v>50565</v>
      </c>
      <c r="AS76" s="443">
        <f>'More Comp Group'!F686</f>
        <v>6835</v>
      </c>
      <c r="AT76" s="443">
        <f>'More Comp Group'!G686</f>
        <v>7515</v>
      </c>
      <c r="AU76" s="443">
        <f>'More Comp Group'!H686</f>
        <v>10627</v>
      </c>
      <c r="AV76" s="827">
        <f>'Shareholder funds'!F76</f>
        <v>16715</v>
      </c>
      <c r="AW76" s="443">
        <f>'More Comp Group'!D679</f>
        <v>0</v>
      </c>
      <c r="AX76" s="443">
        <f>'More Comp Group'!E679</f>
        <v>1425</v>
      </c>
      <c r="AY76" s="443">
        <f>'More Comp Group'!F679</f>
        <v>9455</v>
      </c>
      <c r="AZ76" s="443">
        <f>'More Comp Group'!G679</f>
        <v>8513</v>
      </c>
      <c r="BA76" s="443">
        <f>'More Comp Group'!H679</f>
        <v>8953</v>
      </c>
      <c r="BB76" s="553">
        <f t="shared" si="15"/>
        <v>-0.35127890092706354</v>
      </c>
      <c r="BC76" s="553">
        <f t="shared" si="16"/>
        <v>-0.1767884412075649</v>
      </c>
      <c r="BD76" s="553">
        <f t="shared" si="17"/>
        <v>-8.6620835536753038E-2</v>
      </c>
      <c r="BE76" s="538">
        <f t="shared" si="18"/>
        <v>-0.19064311296569694</v>
      </c>
      <c r="BF76" s="538">
        <f t="shared" si="19"/>
        <v>-0.27753854676420114</v>
      </c>
      <c r="BG76" s="455">
        <f t="shared" si="20"/>
        <v>-9.7361691497516445E-2</v>
      </c>
    </row>
    <row r="77" spans="1:59" ht="15" customHeight="1">
      <c r="A77" s="449">
        <v>2015</v>
      </c>
      <c r="B77" s="676"/>
      <c r="C77" s="50" t="s">
        <v>435</v>
      </c>
      <c r="D77" s="51"/>
      <c r="E77" s="51"/>
      <c r="F77" s="51"/>
      <c r="G77" s="51"/>
      <c r="H77" s="51"/>
      <c r="I77" s="536" t="s">
        <v>0</v>
      </c>
      <c r="J77" s="524" t="s">
        <v>356</v>
      </c>
      <c r="K77" s="447">
        <f>'More Comp Group'!D690</f>
        <v>881200</v>
      </c>
      <c r="L77" s="447">
        <f>'More Comp Group'!E690</f>
        <v>838900</v>
      </c>
      <c r="M77" s="447">
        <f>'More Comp Group'!F690</f>
        <v>764300</v>
      </c>
      <c r="N77" s="447">
        <f>'More Comp Group'!G690</f>
        <v>961900</v>
      </c>
      <c r="O77" s="447">
        <f>'More Comp Group'!H690</f>
        <v>1454500</v>
      </c>
      <c r="P77" s="444">
        <f>'More Comp Group'!D694</f>
        <v>-87900</v>
      </c>
      <c r="Q77" s="444">
        <f>'More Comp Group'!E694</f>
        <v>-523400</v>
      </c>
      <c r="R77" s="444">
        <f>'More Comp Group'!F694</f>
        <v>-294000</v>
      </c>
      <c r="S77" s="444">
        <f>'More Comp Group'!G694</f>
        <v>-527900</v>
      </c>
      <c r="T77" s="444">
        <f>'More Comp Group'!H694</f>
        <v>-50900</v>
      </c>
      <c r="U77" s="443">
        <f>'More Comp Group'!D693</f>
        <v>1663000</v>
      </c>
      <c r="V77" s="443">
        <f>'More Comp Group'!E693</f>
        <v>1603300</v>
      </c>
      <c r="W77" s="443">
        <f>'More Comp Group'!F693</f>
        <v>1457600</v>
      </c>
      <c r="X77" s="443">
        <f>'More Comp Group'!G693</f>
        <v>1450400</v>
      </c>
      <c r="Y77" s="443">
        <f>'More Comp Group'!H693</f>
        <v>1661400</v>
      </c>
      <c r="Z77" s="443">
        <f>'More Comp Group'!D695</f>
        <v>2384800</v>
      </c>
      <c r="AA77" s="443">
        <f>'More Comp Group'!E695</f>
        <v>2482800</v>
      </c>
      <c r="AB77" s="443">
        <f>'More Comp Group'!F695</f>
        <v>2817000</v>
      </c>
      <c r="AC77" s="443">
        <f>'More Comp Group'!G695</f>
        <v>2914100</v>
      </c>
      <c r="AD77" s="443">
        <f>'More Comp Group'!H695</f>
        <v>3563000</v>
      </c>
      <c r="AE77" s="61">
        <f t="shared" si="21"/>
        <v>-3.6858436766185845E-2</v>
      </c>
      <c r="AF77" s="61">
        <f t="shared" si="21"/>
        <v>-0.2108103753826325</v>
      </c>
      <c r="AG77" s="61">
        <f t="shared" si="21"/>
        <v>-0.10436634717784878</v>
      </c>
      <c r="AH77" s="61">
        <f t="shared" si="21"/>
        <v>-0.18115370097114031</v>
      </c>
      <c r="AI77" s="61">
        <f t="shared" si="21"/>
        <v>-1.4285714285714285E-2</v>
      </c>
      <c r="AJ77" s="61">
        <f t="shared" si="22"/>
        <v>-10.978579903828139</v>
      </c>
      <c r="AK77" s="61">
        <f t="shared" si="22"/>
        <v>-0.7650956186800858</v>
      </c>
      <c r="AL77" s="61">
        <f t="shared" si="22"/>
        <v>-0.20828167617158444</v>
      </c>
      <c r="AM77" s="61">
        <f t="shared" si="22"/>
        <v>-0.31373131667310494</v>
      </c>
      <c r="AN77" s="61">
        <f t="shared" si="22"/>
        <v>-2.5660415406331922E-2</v>
      </c>
      <c r="AO77" s="843"/>
      <c r="AP77" s="437"/>
      <c r="AQ77" s="443">
        <f>'More Comp Group'!D698</f>
        <v>7218</v>
      </c>
      <c r="AR77" s="443">
        <f>'More Comp Group'!E698</f>
        <v>8795</v>
      </c>
      <c r="AS77" s="443">
        <f>'More Comp Group'!F698</f>
        <v>1359400</v>
      </c>
      <c r="AT77" s="443">
        <f>'More Comp Group'!G698</f>
        <v>1463700</v>
      </c>
      <c r="AU77" s="443">
        <f>'More Comp Group'!H698</f>
        <v>1901600</v>
      </c>
      <c r="AV77" s="827">
        <f>'Shareholder funds'!F77</f>
        <v>2065600</v>
      </c>
      <c r="AW77" s="443">
        <f>'More Comp Group'!D691</f>
        <v>1237900</v>
      </c>
      <c r="AX77" s="443">
        <f>'More Comp Group'!E691</f>
        <v>1236100</v>
      </c>
      <c r="AY77" s="443">
        <f>'More Comp Group'!F691</f>
        <v>1211200</v>
      </c>
      <c r="AZ77" s="443">
        <f>'More Comp Group'!G691</f>
        <v>1152000</v>
      </c>
      <c r="BA77" s="443">
        <f>'More Comp Group'!H691</f>
        <v>1251600</v>
      </c>
      <c r="BB77" s="553">
        <f t="shared" si="15"/>
        <v>-4.0667945030361141E-2</v>
      </c>
      <c r="BC77" s="553">
        <f t="shared" si="16"/>
        <v>-0.4582465277777778</v>
      </c>
      <c r="BD77" s="553">
        <f t="shared" si="17"/>
        <v>-0.24273447820343461</v>
      </c>
      <c r="BE77" s="538">
        <f t="shared" si="18"/>
        <v>-5.8783141366806158</v>
      </c>
      <c r="BF77" s="538">
        <f t="shared" si="19"/>
        <v>-0.61237130536046491</v>
      </c>
      <c r="BG77" s="455">
        <f t="shared" si="20"/>
        <v>-0.2261085857355265</v>
      </c>
    </row>
    <row r="78" spans="1:59" ht="15" customHeight="1">
      <c r="A78" s="449">
        <v>2015</v>
      </c>
      <c r="B78" s="676"/>
      <c r="C78" s="50" t="s">
        <v>435</v>
      </c>
      <c r="D78" s="51"/>
      <c r="E78" s="51"/>
      <c r="F78" s="51"/>
      <c r="G78" s="51"/>
      <c r="H78" s="51"/>
      <c r="I78" s="536" t="s">
        <v>0</v>
      </c>
      <c r="J78" s="524" t="s">
        <v>1045</v>
      </c>
      <c r="K78" s="447">
        <f>'More Comp Group'!D702</f>
        <v>1841</v>
      </c>
      <c r="L78" s="447">
        <f>'More Comp Group'!E702</f>
        <v>14860</v>
      </c>
      <c r="M78" s="447">
        <f>'More Comp Group'!F702</f>
        <v>8933</v>
      </c>
      <c r="N78" s="447">
        <f>'More Comp Group'!G702</f>
        <v>50397</v>
      </c>
      <c r="O78" s="447">
        <f>'More Comp Group'!H702</f>
        <v>157873</v>
      </c>
      <c r="P78" s="444">
        <f>'More Comp Group'!D706</f>
        <v>-16456</v>
      </c>
      <c r="Q78" s="444">
        <f>'More Comp Group'!E706</f>
        <v>-38490</v>
      </c>
      <c r="R78" s="444">
        <f>'More Comp Group'!F706</f>
        <v>33643</v>
      </c>
      <c r="S78" s="444">
        <f>'More Comp Group'!G706</f>
        <v>72191</v>
      </c>
      <c r="T78" s="444">
        <f>'More Comp Group'!H706</f>
        <v>-391925</v>
      </c>
      <c r="U78" s="443">
        <f>'More Comp Group'!D705</f>
        <v>130264</v>
      </c>
      <c r="V78" s="443">
        <f>'More Comp Group'!E705</f>
        <v>94762</v>
      </c>
      <c r="W78" s="443">
        <f>'More Comp Group'!F705</f>
        <v>137239</v>
      </c>
      <c r="X78" s="443">
        <f>'More Comp Group'!G705</f>
        <v>242112</v>
      </c>
      <c r="Y78" s="443">
        <f>'More Comp Group'!H705</f>
        <v>597174</v>
      </c>
      <c r="Z78" s="443">
        <f>'More Comp Group'!D707</f>
        <v>124511</v>
      </c>
      <c r="AA78" s="443">
        <f>'More Comp Group'!E707</f>
        <v>111937</v>
      </c>
      <c r="AB78" s="443">
        <f>'More Comp Group'!F707</f>
        <v>187935</v>
      </c>
      <c r="AC78" s="443">
        <f>'More Comp Group'!G707</f>
        <v>258456</v>
      </c>
      <c r="AD78" s="443">
        <f>'More Comp Group'!H707</f>
        <v>489098</v>
      </c>
      <c r="AE78" s="61">
        <f t="shared" si="21"/>
        <v>-0.13216502959577869</v>
      </c>
      <c r="AF78" s="61">
        <f t="shared" si="21"/>
        <v>-0.34385413223509653</v>
      </c>
      <c r="AG78" s="61">
        <f t="shared" si="21"/>
        <v>0.17901402080506559</v>
      </c>
      <c r="AH78" s="61">
        <f t="shared" si="21"/>
        <v>0.27931640201813851</v>
      </c>
      <c r="AI78" s="61">
        <f t="shared" si="21"/>
        <v>-0.80132202544275377</v>
      </c>
      <c r="AJ78" s="61">
        <f t="shared" si="22"/>
        <v>-2.8819614711033275</v>
      </c>
      <c r="AK78" s="61">
        <f t="shared" si="22"/>
        <v>-1.1342271990570207</v>
      </c>
      <c r="AL78" s="61">
        <f t="shared" si="22"/>
        <v>1.0036544800942706</v>
      </c>
      <c r="AM78" s="61">
        <f t="shared" si="22"/>
        <v>-1.5739888804098987</v>
      </c>
      <c r="AN78" s="61">
        <f t="shared" si="22"/>
        <v>-4.3606818207105267</v>
      </c>
      <c r="AO78" s="843"/>
      <c r="AP78" s="437"/>
      <c r="AQ78" s="443">
        <f>'More Comp Group'!D710</f>
        <v>-5754</v>
      </c>
      <c r="AR78" s="443">
        <f>'More Comp Group'!E710</f>
        <v>17174</v>
      </c>
      <c r="AS78" s="443">
        <f>'More Comp Group'!F710</f>
        <v>50696</v>
      </c>
      <c r="AT78" s="443">
        <f>'More Comp Group'!G710</f>
        <v>16345</v>
      </c>
      <c r="AU78" s="443">
        <f>'More Comp Group'!H710</f>
        <v>-108075</v>
      </c>
      <c r="AV78" s="827">
        <f>'Shareholder funds'!F78</f>
        <v>287829</v>
      </c>
      <c r="AW78" s="443">
        <f>'More Comp Group'!D703</f>
        <v>68354</v>
      </c>
      <c r="AX78" s="443">
        <f>'More Comp Group'!E703</f>
        <v>72229</v>
      </c>
      <c r="AY78" s="443">
        <f>'More Comp Group'!F703</f>
        <v>129466</v>
      </c>
      <c r="AZ78" s="443">
        <f>'More Comp Group'!G703</f>
        <v>157208</v>
      </c>
      <c r="BA78" s="443">
        <f>'More Comp Group'!H703</f>
        <v>82369</v>
      </c>
      <c r="BB78" s="553">
        <f t="shared" si="15"/>
        <v>-4.7581614442326607</v>
      </c>
      <c r="BC78" s="553">
        <f t="shared" si="16"/>
        <v>0.45920691058979185</v>
      </c>
      <c r="BD78" s="553">
        <f t="shared" si="17"/>
        <v>0.25985973151252068</v>
      </c>
      <c r="BE78" s="538">
        <f t="shared" si="18"/>
        <v>-5.1727407259240001</v>
      </c>
      <c r="BF78" s="538">
        <f t="shared" si="19"/>
        <v>0.35843703195552329</v>
      </c>
      <c r="BG78" s="455">
        <f t="shared" si="20"/>
        <v>0.46050047737731642</v>
      </c>
    </row>
    <row r="79" spans="1:59" ht="15" customHeight="1">
      <c r="A79" s="449">
        <v>2015</v>
      </c>
      <c r="B79" s="535"/>
      <c r="C79" s="536" t="s">
        <v>435</v>
      </c>
      <c r="D79" s="536"/>
      <c r="E79" s="536"/>
      <c r="F79" s="536"/>
      <c r="G79" s="536"/>
      <c r="H79" s="536"/>
      <c r="I79" s="536" t="s">
        <v>0</v>
      </c>
      <c r="J79" s="524" t="s">
        <v>545</v>
      </c>
      <c r="K79" s="534">
        <f>'Comp Group'!N422</f>
        <v>12967</v>
      </c>
      <c r="L79" s="534">
        <f>'Comp Group'!O422</f>
        <v>6518</v>
      </c>
      <c r="M79" s="534">
        <f>'Comp Group'!P422</f>
        <v>5461</v>
      </c>
      <c r="N79" s="534">
        <f>'Comp Group'!Q422</f>
        <v>0</v>
      </c>
      <c r="O79" s="534">
        <f>'Comp Group'!R422</f>
        <v>0</v>
      </c>
      <c r="P79" s="534">
        <f>'Comp Group'!N426</f>
        <v>-7110</v>
      </c>
      <c r="Q79" s="534">
        <f>'Comp Group'!O426</f>
        <v>-36312</v>
      </c>
      <c r="R79" s="534">
        <f>'Comp Group'!P426</f>
        <v>-61987</v>
      </c>
      <c r="S79" s="534">
        <f>'Comp Group'!Q426</f>
        <v>-39285</v>
      </c>
      <c r="T79" s="534">
        <f>'Comp Group'!R426</f>
        <v>-12029</v>
      </c>
      <c r="U79" s="534">
        <f>'Comp Group'!N425</f>
        <v>78745</v>
      </c>
      <c r="V79" s="534">
        <f>'Comp Group'!O425</f>
        <v>17938</v>
      </c>
      <c r="W79" s="534">
        <f>'Comp Group'!P425</f>
        <v>4394</v>
      </c>
      <c r="X79" s="534">
        <f>'Comp Group'!Q425</f>
        <v>6925</v>
      </c>
      <c r="Y79" s="534">
        <f>'Comp Group'!R425</f>
        <v>5906</v>
      </c>
      <c r="Z79" s="534">
        <f>'Comp Group'!N420</f>
        <v>125057</v>
      </c>
      <c r="AA79" s="534">
        <f>'Comp Group'!O420</f>
        <v>35258</v>
      </c>
      <c r="AB79" s="534">
        <f>'Comp Group'!P420</f>
        <v>58722</v>
      </c>
      <c r="AC79" s="534">
        <f>'Comp Group'!Q420</f>
        <v>115096</v>
      </c>
      <c r="AD79" s="534">
        <f>'Comp Group'!R420</f>
        <v>153963</v>
      </c>
      <c r="AE79" s="61">
        <f t="shared" si="21"/>
        <v>-5.6854074542008845E-2</v>
      </c>
      <c r="AF79" s="61">
        <f t="shared" si="21"/>
        <v>-1.0298939247830279</v>
      </c>
      <c r="AG79" s="61">
        <f t="shared" si="21"/>
        <v>-1.0556009672695073</v>
      </c>
      <c r="AH79" s="61">
        <f t="shared" si="21"/>
        <v>-0.34132376450962676</v>
      </c>
      <c r="AI79" s="61">
        <f t="shared" si="21"/>
        <v>-7.81291609022947E-2</v>
      </c>
      <c r="AJ79" s="61">
        <f t="shared" si="22"/>
        <v>-0.22347246668342971</v>
      </c>
      <c r="AK79" s="61">
        <f t="shared" si="22"/>
        <v>-1.0136221527467619</v>
      </c>
      <c r="AL79" s="61">
        <f t="shared" si="22"/>
        <v>-0.76292161797918756</v>
      </c>
      <c r="AM79" s="61">
        <f t="shared" si="22"/>
        <v>-0.3066409603946485</v>
      </c>
      <c r="AN79" s="61">
        <f t="shared" si="22"/>
        <v>-9.027222753794488E-2</v>
      </c>
      <c r="AO79" s="843"/>
      <c r="AP79" s="437"/>
      <c r="AQ79" s="534">
        <f>'Comp Group'!N430</f>
        <v>46312</v>
      </c>
      <c r="AR79" s="534">
        <f>'Comp Group'!O430</f>
        <v>17320</v>
      </c>
      <c r="AS79" s="534">
        <f>'Comp Group'!P430</f>
        <v>54328</v>
      </c>
      <c r="AT79" s="534">
        <f>'Comp Group'!Q430</f>
        <v>108171</v>
      </c>
      <c r="AU79" s="534">
        <f>'Comp Group'!R430</f>
        <v>148057</v>
      </c>
      <c r="AV79" s="827">
        <f>'Shareholder funds'!F79</f>
        <v>118448</v>
      </c>
      <c r="AW79" s="534">
        <f>'Comp Group'!N423</f>
        <v>55925</v>
      </c>
      <c r="AX79" s="534">
        <f>'Comp Group'!O423</f>
        <v>11128</v>
      </c>
      <c r="AY79" s="534">
        <f>'Comp Group'!P423</f>
        <v>2013</v>
      </c>
      <c r="AZ79" s="534">
        <f>'Comp Group'!Q423</f>
        <v>6232</v>
      </c>
      <c r="BA79" s="534">
        <f>'Comp Group'!R423</f>
        <v>4376</v>
      </c>
      <c r="BB79" s="553">
        <f t="shared" si="15"/>
        <v>-2.7488574040219378</v>
      </c>
      <c r="BC79" s="553">
        <f t="shared" si="16"/>
        <v>-6.3037548138639279</v>
      </c>
      <c r="BD79" s="553">
        <f t="shared" si="17"/>
        <v>-30.793343268753105</v>
      </c>
      <c r="BE79" s="538">
        <f t="shared" si="18"/>
        <v>-0.32034589367511751</v>
      </c>
      <c r="BF79" s="538">
        <f t="shared" si="19"/>
        <v>-1.3319144363902975</v>
      </c>
      <c r="BG79" s="455">
        <f t="shared" si="20"/>
        <v>-3.01001253336866</v>
      </c>
    </row>
    <row r="80" spans="1:59" ht="15" customHeight="1">
      <c r="A80" s="449">
        <v>2014</v>
      </c>
      <c r="B80" s="676"/>
      <c r="C80" s="50" t="s">
        <v>487</v>
      </c>
      <c r="D80" s="51"/>
      <c r="E80" s="51"/>
      <c r="F80" s="51"/>
      <c r="G80" s="51"/>
      <c r="H80" s="51"/>
      <c r="I80" s="51" t="s">
        <v>137</v>
      </c>
      <c r="J80" s="524" t="s">
        <v>547</v>
      </c>
      <c r="K80" s="444">
        <f>'Comp Group'!N435*BT8</f>
        <v>60061.205798000003</v>
      </c>
      <c r="L80" s="444">
        <f>'Comp Group'!O435*BU8</f>
        <v>50000.474205000006</v>
      </c>
      <c r="M80" s="444">
        <f>'Comp Group'!P435*BV8</f>
        <v>43811.901453999999</v>
      </c>
      <c r="N80" s="444">
        <f>'Comp Group'!Q435*BW8</f>
        <v>57697.839825000003</v>
      </c>
      <c r="O80" s="444">
        <f>'Comp Group'!R435*BX8</f>
        <v>54547.246920999998</v>
      </c>
      <c r="P80" s="444">
        <f>'Comp Group'!N439*BT8</f>
        <v>-2509.9403120000002</v>
      </c>
      <c r="Q80" s="444">
        <f>'Comp Group'!O439*BU8</f>
        <v>-2334.391224</v>
      </c>
      <c r="R80" s="444">
        <f>'Comp Group'!P439*BV8</f>
        <v>-13141.620088</v>
      </c>
      <c r="S80" s="444">
        <f>'Comp Group'!Q439*BW8</f>
        <v>-1875.6354900000001</v>
      </c>
      <c r="T80" s="444">
        <f>'Comp Group'!R439*BX8</f>
        <v>-22626.441095999999</v>
      </c>
      <c r="U80" s="443">
        <f>'Comp Group'!N438*BT8</f>
        <v>55820.021686</v>
      </c>
      <c r="V80" s="443">
        <f>'Comp Group'!O438*BU8</f>
        <v>41500.566217</v>
      </c>
      <c r="W80" s="443">
        <f>'Comp Group'!P438*BV8</f>
        <v>44757.137088000003</v>
      </c>
      <c r="X80" s="443">
        <f>'Comp Group'!Q438*BW8</f>
        <v>51535.082985000001</v>
      </c>
      <c r="Y80" s="443">
        <f>'Comp Group'!R438*BX8</f>
        <v>51651.516051999999</v>
      </c>
      <c r="Z80" s="443">
        <f>'Comp Group'!N433*BT8</f>
        <v>112205.78479000001</v>
      </c>
      <c r="AA80" s="443">
        <f>'Comp Group'!O433*BU8</f>
        <v>99406.278675000009</v>
      </c>
      <c r="AB80" s="443">
        <f>'Comp Group'!P433*BV8</f>
        <v>90443.236204000001</v>
      </c>
      <c r="AC80" s="443">
        <f>'Comp Group'!Q433*BW8</f>
        <v>119027.395185</v>
      </c>
      <c r="AD80" s="443">
        <f>'Comp Group'!R433*BX8</f>
        <v>125283.139668</v>
      </c>
      <c r="AE80" s="61">
        <f t="shared" si="21"/>
        <v>-2.2369081208223864E-2</v>
      </c>
      <c r="AF80" s="61">
        <f t="shared" si="21"/>
        <v>-2.3483337824485761E-2</v>
      </c>
      <c r="AG80" s="61">
        <f t="shared" si="21"/>
        <v>-0.14530240888725288</v>
      </c>
      <c r="AH80" s="61">
        <f t="shared" si="21"/>
        <v>-1.5758015094632351E-2</v>
      </c>
      <c r="AI80" s="61">
        <f t="shared" si="21"/>
        <v>-0.18060244304189702</v>
      </c>
      <c r="AJ80" s="61">
        <f t="shared" si="22"/>
        <v>-4.3921741313741741E-2</v>
      </c>
      <c r="AK80" s="61">
        <f t="shared" si="22"/>
        <v>-4.5069029849573505E-2</v>
      </c>
      <c r="AL80" s="61">
        <f t="shared" si="22"/>
        <v>-0.23222838941090831</v>
      </c>
      <c r="AM80" s="61">
        <f t="shared" si="22"/>
        <v>-2.6581394278083183E-2</v>
      </c>
      <c r="AN80" s="61">
        <f t="shared" si="22"/>
        <v>-0.26489466332089939</v>
      </c>
      <c r="AO80" s="843"/>
      <c r="AP80" s="437"/>
      <c r="AQ80" s="443">
        <f>'Comp Group'!N443*BT8</f>
        <v>56385.763104000005</v>
      </c>
      <c r="AR80" s="443">
        <f>'Comp Group'!O443*BU8</f>
        <v>57905.712458000002</v>
      </c>
      <c r="AS80" s="443">
        <f>'Comp Group'!P443*BV8</f>
        <v>45686.099115999998</v>
      </c>
      <c r="AT80" s="443">
        <f>'Comp Group'!Q443*BW8</f>
        <v>67492.3122</v>
      </c>
      <c r="AU80" s="443">
        <f>'Comp Group'!R443*BX8</f>
        <v>73631.623615999997</v>
      </c>
      <c r="AV80" s="827">
        <f>'Shareholder funds'!F80</f>
        <v>97201.875348000001</v>
      </c>
      <c r="AW80" s="443">
        <f>'Long Term Debt'!C47*BT8</f>
        <v>26143.234172</v>
      </c>
      <c r="AX80" s="443">
        <f>'Long Term Debt'!D47*BU8</f>
        <v>33536.396729</v>
      </c>
      <c r="AY80" s="443">
        <f>'Long Term Debt'!E47*BV8</f>
        <v>20782.885574</v>
      </c>
      <c r="AZ80" s="443">
        <f>'Long Term Debt'!F47*BW8</f>
        <v>30654.748395000002</v>
      </c>
      <c r="BA80" s="443">
        <f>'Long Term Debt'!G47*BX8</f>
        <v>3385.2484939999999</v>
      </c>
      <c r="BB80" s="553">
        <f t="shared" si="15"/>
        <v>-6.6838346242832714</v>
      </c>
      <c r="BC80" s="553">
        <f t="shared" si="16"/>
        <v>-6.1185806056262691E-2</v>
      </c>
      <c r="BD80" s="553">
        <f t="shared" si="17"/>
        <v>-0.63232894398651518</v>
      </c>
      <c r="BE80" s="538">
        <f t="shared" si="18"/>
        <v>-2.7814135360391097</v>
      </c>
      <c r="BF80" s="538">
        <f t="shared" si="19"/>
        <v>-5.2047082238029632E-2</v>
      </c>
      <c r="BG80" s="455">
        <f t="shared" si="20"/>
        <v>-0.43022390706061042</v>
      </c>
    </row>
    <row r="81" spans="1:59" ht="15" customHeight="1">
      <c r="A81" s="449">
        <v>2014</v>
      </c>
      <c r="B81" s="676"/>
      <c r="C81" s="50" t="s">
        <v>487</v>
      </c>
      <c r="D81" s="51"/>
      <c r="E81" s="51"/>
      <c r="F81" s="51"/>
      <c r="G81" s="51"/>
      <c r="H81" s="51"/>
      <c r="I81" s="51" t="s">
        <v>137</v>
      </c>
      <c r="J81" s="524" t="s">
        <v>548</v>
      </c>
      <c r="K81" s="444">
        <f>'Comp Group'!W436*BT8</f>
        <v>163075.902</v>
      </c>
      <c r="L81" s="444">
        <f>'Comp Group'!X436*BU8</f>
        <v>176793.70500000002</v>
      </c>
      <c r="M81" s="444">
        <f>'Comp Group'!Y436*BV8</f>
        <v>200128.08600000001</v>
      </c>
      <c r="N81" s="444">
        <f>'Comp Group'!Z436*BW8</f>
        <v>142033.77900000001</v>
      </c>
      <c r="O81" s="444">
        <f>'Comp Group'!AA436*BX8</f>
        <v>146906.3676</v>
      </c>
      <c r="P81" s="444">
        <f>'Comp Group'!W440*BT8</f>
        <v>51574.116000000002</v>
      </c>
      <c r="Q81" s="444">
        <f>'Comp Group'!X440*BU8</f>
        <v>73455.701000000001</v>
      </c>
      <c r="R81" s="444">
        <f>'Comp Group'!Y440*BV8</f>
        <v>42733.743999999999</v>
      </c>
      <c r="S81" s="444">
        <f>'Comp Group'!Z440*BW8</f>
        <v>-8692.0470000000005</v>
      </c>
      <c r="T81" s="444">
        <f>'Comp Group'!AA440*BX8</f>
        <v>18763.4234</v>
      </c>
      <c r="U81" s="443">
        <f>'Comp Group'!W439*BT8</f>
        <v>395643.68800000002</v>
      </c>
      <c r="V81" s="443">
        <f>'Comp Group'!X439*BU8</f>
        <v>309180.641</v>
      </c>
      <c r="W81" s="443">
        <f>'Comp Group'!Y439*BV8</f>
        <v>366466.7</v>
      </c>
      <c r="X81" s="443">
        <f>'Comp Group'!Z439*BW8</f>
        <v>462827.62349999999</v>
      </c>
      <c r="Y81" s="443">
        <f>'Comp Group'!AA439*BX8</f>
        <v>380734.03869999998</v>
      </c>
      <c r="Z81" s="443">
        <f>'Comp Group'!W434*BT8</f>
        <v>615499.54399999999</v>
      </c>
      <c r="AA81" s="443">
        <f>'Comp Group'!X434*BU8</f>
        <v>517523.391</v>
      </c>
      <c r="AB81" s="443">
        <f>'Comp Group'!Y434*BV8</f>
        <v>547339.75600000005</v>
      </c>
      <c r="AC81" s="443">
        <f>'Comp Group'!Z434*BW8</f>
        <v>683662.92749999999</v>
      </c>
      <c r="AD81" s="443">
        <f>'Comp Group'!AA434*BX8</f>
        <v>664126.43350000004</v>
      </c>
      <c r="AE81" s="61">
        <f t="shared" si="21"/>
        <v>8.3792289535798592E-2</v>
      </c>
      <c r="AF81" s="61">
        <f t="shared" si="21"/>
        <v>0.14193696802392455</v>
      </c>
      <c r="AG81" s="61">
        <f t="shared" si="21"/>
        <v>7.807535179300952E-2</v>
      </c>
      <c r="AH81" s="61">
        <f t="shared" si="21"/>
        <v>-1.2713936430317849E-2</v>
      </c>
      <c r="AI81" s="61">
        <f t="shared" si="21"/>
        <v>2.8252788104089217E-2</v>
      </c>
      <c r="AJ81" s="61">
        <f t="shared" si="22"/>
        <v>0.24088876179106478</v>
      </c>
      <c r="AK81" s="61">
        <f t="shared" si="22"/>
        <v>0.37745487139851663</v>
      </c>
      <c r="AL81" s="61">
        <f t="shared" si="22"/>
        <v>0.21276004313178845</v>
      </c>
      <c r="AM81" s="61">
        <f t="shared" si="22"/>
        <v>-3.4476674013292026E-2</v>
      </c>
      <c r="AN81" s="61">
        <f t="shared" si="22"/>
        <v>6.387827024698664E-2</v>
      </c>
      <c r="AO81" s="843"/>
      <c r="AP81" s="437"/>
      <c r="AQ81" s="443">
        <f>'Comp Group'!W444*BT8</f>
        <v>219855.856</v>
      </c>
      <c r="AR81" s="443">
        <f>'Comp Group'!X444*BU8</f>
        <v>208342.75</v>
      </c>
      <c r="AS81" s="443">
        <f>'Comp Group'!Y444*BV8</f>
        <v>180873.05600000001</v>
      </c>
      <c r="AT81" s="443">
        <f>'Comp Group'!Z444*BW8</f>
        <v>220835.304</v>
      </c>
      <c r="AU81" s="443">
        <f>'Comp Group'!AA444*BX8</f>
        <v>283392.39480000001</v>
      </c>
      <c r="AV81" s="827">
        <f>'Shareholder funds'!F81</f>
        <v>304081.97879999998</v>
      </c>
      <c r="AW81" s="443">
        <f>'Long Term Debt'!C48*BT8</f>
        <v>200364.23</v>
      </c>
      <c r="AX81" s="443">
        <f>'Long Term Debt'!D48*BU8</f>
        <v>120719.74200000001</v>
      </c>
      <c r="AY81" s="443">
        <f>'Long Term Debt'!E48*BV8</f>
        <v>183854.48</v>
      </c>
      <c r="AZ81" s="443">
        <f>'Long Term Debt'!F48*BW8</f>
        <v>289177.71750000003</v>
      </c>
      <c r="BA81" s="443">
        <f>'Long Term Debt'!G48*BX8</f>
        <v>199450.76380000002</v>
      </c>
      <c r="BB81" s="553">
        <f t="shared" si="15"/>
        <v>9.4075465255250124E-2</v>
      </c>
      <c r="BC81" s="553">
        <f t="shared" si="16"/>
        <v>-3.0057803468208091E-2</v>
      </c>
      <c r="BD81" s="553">
        <f t="shared" si="17"/>
        <v>0.23243243243243242</v>
      </c>
      <c r="BE81" s="538">
        <f t="shared" si="18"/>
        <v>0.15672283117095576</v>
      </c>
      <c r="BF81" s="538">
        <f t="shared" si="19"/>
        <v>0.1015760497335897</v>
      </c>
      <c r="BG81" s="455">
        <f t="shared" si="20"/>
        <v>0.22593152484692683</v>
      </c>
    </row>
    <row r="82" spans="1:59" ht="15" customHeight="1">
      <c r="A82" s="449">
        <v>2014</v>
      </c>
      <c r="B82" s="535"/>
      <c r="C82" s="411" t="s">
        <v>487</v>
      </c>
      <c r="D82" s="536"/>
      <c r="E82" s="536"/>
      <c r="F82" s="536"/>
      <c r="G82" s="536"/>
      <c r="H82" s="536"/>
      <c r="I82" s="536" t="s">
        <v>549</v>
      </c>
      <c r="J82" s="524" t="s">
        <v>550</v>
      </c>
      <c r="K82" s="534">
        <f>'Comp Group'!N448*BT8</f>
        <v>848.43052800000009</v>
      </c>
      <c r="L82" s="534">
        <f>'Comp Group'!O448*BU8</f>
        <v>861.11034900000004</v>
      </c>
      <c r="M82" s="534">
        <f>'Comp Group'!P448*BV8</f>
        <v>1094.306834</v>
      </c>
      <c r="N82" s="534">
        <f>'Comp Group'!Q448*BW8</f>
        <v>1870.382055</v>
      </c>
      <c r="O82" s="534">
        <f>'Comp Group'!R448*BX8</f>
        <v>1847.737484</v>
      </c>
      <c r="P82" s="534">
        <f>'Comp Group'!N452*BT8</f>
        <v>-1412.5980880000002</v>
      </c>
      <c r="Q82" s="534">
        <f>'Comp Group'!O452*BU8</f>
        <v>-9582.8140760000006</v>
      </c>
      <c r="R82" s="534">
        <f>'Comp Group'!P452*BV8</f>
        <v>36524.058938000002</v>
      </c>
      <c r="S82" s="534">
        <f>'Comp Group'!Q452*BW8</f>
        <v>30576.58365</v>
      </c>
      <c r="T82" s="534">
        <f>'Comp Group'!R452*BX8</f>
        <v>-8931.1852180000005</v>
      </c>
      <c r="U82" s="534">
        <f>'Comp Group'!N451*BT8</f>
        <v>2552.313412</v>
      </c>
      <c r="V82" s="534">
        <f>'Comp Group'!O451*BU8</f>
        <v>3173.1196090000003</v>
      </c>
      <c r="W82" s="534">
        <f>'Comp Group'!P451*BV8</f>
        <v>13517.155286000001</v>
      </c>
      <c r="X82" s="534">
        <f>'Comp Group'!Q451*BW8</f>
        <v>13150.302975000001</v>
      </c>
      <c r="Y82" s="534">
        <f>'Comp Group'!R451*BX8</f>
        <v>482.36641100000003</v>
      </c>
      <c r="Z82" s="534">
        <f>'Comp Group'!N446*BT8</f>
        <v>56142.904708000002</v>
      </c>
      <c r="AA82" s="534">
        <f>'Comp Group'!O446*BU8</f>
        <v>57691.059899</v>
      </c>
      <c r="AB82" s="534">
        <f>'Comp Group'!P446*BV8</f>
        <v>89462.099256000001</v>
      </c>
      <c r="AC82" s="534">
        <f>'Comp Group'!Q446*BW8</f>
        <v>93915.020715000006</v>
      </c>
      <c r="AD82" s="534">
        <f>'Comp Group'!R446*BX8</f>
        <v>69276.874823999999</v>
      </c>
      <c r="AE82" s="61">
        <f t="shared" si="21"/>
        <v>-2.5160758876779564E-2</v>
      </c>
      <c r="AF82" s="61">
        <f t="shared" si="21"/>
        <v>-0.16610570325413809</v>
      </c>
      <c r="AG82" s="61">
        <f t="shared" si="21"/>
        <v>0.40826293192030616</v>
      </c>
      <c r="AH82" s="61">
        <f t="shared" si="21"/>
        <v>0.32557713789777554</v>
      </c>
      <c r="AI82" s="61">
        <f t="shared" si="21"/>
        <v>-0.12892015179220984</v>
      </c>
      <c r="AJ82" s="61">
        <f t="shared" si="22"/>
        <v>-2.6132962260731155E-2</v>
      </c>
      <c r="AK82" s="61">
        <f t="shared" si="22"/>
        <v>-0.14690483244111591</v>
      </c>
      <c r="AL82" s="61">
        <f t="shared" si="22"/>
        <v>0.46613665729927761</v>
      </c>
      <c r="AM82" s="61">
        <f t="shared" si="22"/>
        <v>0.40888930006524593</v>
      </c>
      <c r="AN82" s="61">
        <f t="shared" si="22"/>
        <v>-0.2481541432107057</v>
      </c>
      <c r="AO82" s="843"/>
      <c r="AP82" s="437"/>
      <c r="AQ82" s="534">
        <f>'Comp Group'!N456*BT8</f>
        <v>53590.591296000006</v>
      </c>
      <c r="AR82" s="534">
        <f>'Comp Group'!O456*BU8</f>
        <v>54517.940290000006</v>
      </c>
      <c r="AS82" s="534">
        <f>'Comp Group'!P456*BV8</f>
        <v>75944.943970000008</v>
      </c>
      <c r="AT82" s="534">
        <f>'Comp Group'!Q456*BW8</f>
        <v>80764.717740000007</v>
      </c>
      <c r="AU82" s="534">
        <f>'Comp Group'!R456*BX8</f>
        <v>68794.508413000003</v>
      </c>
      <c r="AV82" s="827">
        <f>'Shareholder funds'!F82</f>
        <v>3186.4394159999997</v>
      </c>
      <c r="AW82" s="534">
        <f>'Long Term Debt'!C49*BT8</f>
        <v>898030.17860600003</v>
      </c>
      <c r="AX82" s="534">
        <f>'Long Term Debt'!D49*BU8</f>
        <v>625403.38600300008</v>
      </c>
      <c r="AY82" s="534">
        <f>'Long Term Debt'!E49*BV8</f>
        <v>725827.30012200004</v>
      </c>
      <c r="AZ82" s="534">
        <f>'Long Term Debt'!F49*BW8</f>
        <v>547541.17321499996</v>
      </c>
      <c r="BA82" s="534">
        <f>'Long Term Debt'!G49*BX8</f>
        <v>419107.11249000003</v>
      </c>
      <c r="BB82" s="553">
        <f t="shared" si="15"/>
        <v>-2.1310030185214525E-2</v>
      </c>
      <c r="BC82" s="553">
        <f t="shared" si="16"/>
        <v>5.5843441819111682E-2</v>
      </c>
      <c r="BD82" s="553">
        <f t="shared" si="17"/>
        <v>5.0320591319534119E-2</v>
      </c>
      <c r="BE82" s="538">
        <f t="shared" si="18"/>
        <v>-2.6099380774244157E-2</v>
      </c>
      <c r="BF82" s="538">
        <f t="shared" si="19"/>
        <v>-0.11851532441692673</v>
      </c>
      <c r="BG82" s="455">
        <f t="shared" si="20"/>
        <v>0.40330948935882871</v>
      </c>
    </row>
    <row r="83" spans="1:59" ht="15" customHeight="1">
      <c r="A83" s="449">
        <v>2014</v>
      </c>
      <c r="B83" s="676"/>
      <c r="C83" s="50" t="s">
        <v>487</v>
      </c>
      <c r="D83" s="51"/>
      <c r="E83" s="51"/>
      <c r="F83" s="51"/>
      <c r="G83" s="51"/>
      <c r="H83" s="51"/>
      <c r="I83" s="51" t="s">
        <v>140</v>
      </c>
      <c r="J83" s="524" t="s">
        <v>552</v>
      </c>
      <c r="K83" s="444">
        <f>'Comp Group'!N462*BT8</f>
        <v>704604.12</v>
      </c>
      <c r="L83" s="444">
        <f>'Comp Group'!O462*BU8</f>
        <v>576216.52</v>
      </c>
      <c r="M83" s="444">
        <f>'Comp Group'!P462*BV8</f>
        <v>479760.81200000003</v>
      </c>
      <c r="N83" s="444">
        <f>'Comp Group'!Q462*BW8</f>
        <v>513785.94300000003</v>
      </c>
      <c r="O83" s="444">
        <f>'Comp Group'!R462*BX8</f>
        <v>268340.79200000002</v>
      </c>
      <c r="P83" s="444">
        <f>'Comp Group'!N466*BT8</f>
        <v>546491.924</v>
      </c>
      <c r="Q83" s="444">
        <f>'Comp Group'!O466*BU8</f>
        <v>324062.266</v>
      </c>
      <c r="R83" s="444">
        <f>'Comp Group'!P466*BV8</f>
        <v>338018.946</v>
      </c>
      <c r="S83" s="444">
        <f>'Comp Group'!Q466*BW8</f>
        <v>163286.31150000001</v>
      </c>
      <c r="T83" s="444">
        <f>'Comp Group'!R466*BX8</f>
        <v>79514.688999999998</v>
      </c>
      <c r="U83" s="443">
        <f>'Comp Group'!N465*BT8</f>
        <v>2962727.1520000002</v>
      </c>
      <c r="V83" s="443">
        <f>'Comp Group'!O465*BU8</f>
        <v>2829413.5980000002</v>
      </c>
      <c r="W83" s="443">
        <f>'Comp Group'!P465*BV8</f>
        <v>2517439.89</v>
      </c>
      <c r="X83" s="443">
        <f>'Comp Group'!Q465*BW8</f>
        <v>3149768.5920000002</v>
      </c>
      <c r="Y83" s="443">
        <f>'Comp Group'!R465*BX8</f>
        <v>3175990.3510000003</v>
      </c>
      <c r="Z83" s="443">
        <f>'Comp Group'!N460*BT8</f>
        <v>5255475.0600000005</v>
      </c>
      <c r="AA83" s="443">
        <f>'Comp Group'!O460*BU8</f>
        <v>4629971.17</v>
      </c>
      <c r="AB83" s="443">
        <f>'Comp Group'!P460*BV8</f>
        <v>4176353.8940000003</v>
      </c>
      <c r="AC83" s="443">
        <f>'Comp Group'!Q460*BW8</f>
        <v>4911117.9915000005</v>
      </c>
      <c r="AD83" s="443">
        <f>'Comp Group'!R460*BX8</f>
        <v>4536934.4819999998</v>
      </c>
      <c r="AE83" s="61">
        <f t="shared" si="21"/>
        <v>0.10398525685325961</v>
      </c>
      <c r="AF83" s="61">
        <f t="shared" si="21"/>
        <v>6.9992285934687579E-2</v>
      </c>
      <c r="AG83" s="61">
        <f t="shared" si="21"/>
        <v>8.0936375263987614E-2</v>
      </c>
      <c r="AH83" s="61">
        <f t="shared" si="21"/>
        <v>3.3248297390250148E-2</v>
      </c>
      <c r="AI83" s="61">
        <f t="shared" si="21"/>
        <v>1.7526082714103431E-2</v>
      </c>
      <c r="AJ83" s="61">
        <f t="shared" si="22"/>
        <v>0.26701741498169346</v>
      </c>
      <c r="AK83" s="61">
        <f t="shared" si="22"/>
        <v>0.18734784135714486</v>
      </c>
      <c r="AL83" s="61">
        <f t="shared" si="22"/>
        <v>0.19765759500226854</v>
      </c>
      <c r="AM83" s="61">
        <f t="shared" si="22"/>
        <v>0.10459435824971555</v>
      </c>
      <c r="AN83" s="61">
        <f t="shared" si="22"/>
        <v>5.840385473353759E-2</v>
      </c>
      <c r="AO83" s="843"/>
      <c r="AP83" s="437"/>
      <c r="AQ83" s="443">
        <f>'Comp Group'!N470*BT8</f>
        <v>2292747.9080000003</v>
      </c>
      <c r="AR83" s="443">
        <f>'Comp Group'!O470*BU8</f>
        <v>1800557.5720000002</v>
      </c>
      <c r="AS83" s="443">
        <f>'Comp Group'!P470*BV8</f>
        <v>1658914.004</v>
      </c>
      <c r="AT83" s="443">
        <f>'Comp Group'!Q470*BW8</f>
        <v>1761333.48</v>
      </c>
      <c r="AU83" s="443">
        <f>'Comp Group'!R470*BX8</f>
        <v>1360944.1310000001</v>
      </c>
      <c r="AV83" s="827">
        <f>'Shareholder funds'!F83</f>
        <v>1361981.9279999998</v>
      </c>
      <c r="AW83" s="443">
        <f>'Long Term Debt'!C54*BT8</f>
        <v>2325556.7940000002</v>
      </c>
      <c r="AX83" s="443">
        <f>'Long Term Debt'!D54*BU8</f>
        <v>2362130.5730000003</v>
      </c>
      <c r="AY83" s="443">
        <f>'Long Term Debt'!E54*BV8</f>
        <v>2082524.6640000001</v>
      </c>
      <c r="AZ83" s="443">
        <f>'Long Term Debt'!F54*BW8</f>
        <v>2606547.4934999999</v>
      </c>
      <c r="BA83" s="443">
        <f>'Long Term Debt'!G54*BX8</f>
        <v>2603552.6970000002</v>
      </c>
      <c r="BB83" s="553">
        <f t="shared" ref="BB83:BB114" si="23">T83/BA83</f>
        <v>3.0540841017592045E-2</v>
      </c>
      <c r="BC83" s="553">
        <f t="shared" ref="BC83:BC114" si="24">S83/AZ83</f>
        <v>6.2644671507881736E-2</v>
      </c>
      <c r="BD83" s="553">
        <f t="shared" ref="BD83:BD114" si="25">R83/AY83</f>
        <v>0.16231209735146743</v>
      </c>
      <c r="BE83" s="538">
        <f t="shared" ref="BE83:BE114" si="26">((AU83/(AU83+Y83))*AJ83)+(Y83/(AU83+Y83))*BB83</f>
        <v>0.10147671340725888</v>
      </c>
      <c r="BF83" s="538">
        <f t="shared" ref="BF83:BF114" si="27">((AT83/(AT83+X83))*AK83)+(X83/(AT83+X83))*BC83</f>
        <v>0.1073686183730679</v>
      </c>
      <c r="BG83" s="455">
        <f t="shared" ref="BG83:BG114" si="28">((AS83/(AS83+W83))*AL83)+(W83/(AS83+W83))*BD83</f>
        <v>0.17635188960075499</v>
      </c>
    </row>
    <row r="84" spans="1:59" ht="15" customHeight="1">
      <c r="A84" s="449">
        <v>2014</v>
      </c>
      <c r="B84" s="676"/>
      <c r="C84" s="50" t="s">
        <v>487</v>
      </c>
      <c r="D84" s="51"/>
      <c r="E84" s="51"/>
      <c r="F84" s="51"/>
      <c r="G84" s="51"/>
      <c r="H84" s="51"/>
      <c r="I84" s="51" t="s">
        <v>140</v>
      </c>
      <c r="J84" s="524" t="s">
        <v>553</v>
      </c>
      <c r="K84" s="444">
        <f>'Comp Group'!W462*BT8</f>
        <v>390901.77491199999</v>
      </c>
      <c r="L84" s="444">
        <f>'Comp Group'!X462*BU8</f>
        <v>357200.311391</v>
      </c>
      <c r="M84" s="444">
        <f>'Comp Group'!Y462*BV8</f>
        <v>403242.81349199999</v>
      </c>
      <c r="N84" s="444">
        <f>'Comp Group'!Z462*BW8</f>
        <v>468868.27777500002</v>
      </c>
      <c r="O84" s="444">
        <f>'Comp Group'!AA462*BX8</f>
        <v>374070.46938800003</v>
      </c>
      <c r="P84" s="444">
        <f>'Comp Group'!W466*BT8</f>
        <v>48565.504833999999</v>
      </c>
      <c r="Q84" s="444">
        <f>'Comp Group'!X466*BU8</f>
        <v>35821.619063999999</v>
      </c>
      <c r="R84" s="444">
        <f>'Comp Group'!Y466*BV8</f>
        <v>34703.77536</v>
      </c>
      <c r="S84" s="444">
        <f>'Comp Group'!Z466*BW8</f>
        <v>40519.903350000001</v>
      </c>
      <c r="T84" s="444">
        <f>'Comp Group'!AA466*BX8</f>
        <v>31598.149860000001</v>
      </c>
      <c r="U84" s="443">
        <f>'Comp Group'!W465*BT8</f>
        <v>422989.591816</v>
      </c>
      <c r="V84" s="443">
        <f>'Comp Group'!X465*BU8</f>
        <v>441625.91297</v>
      </c>
      <c r="W84" s="443">
        <f>'Comp Group'!Y465*BV8</f>
        <v>459868.875298</v>
      </c>
      <c r="X84" s="443">
        <f>'Comp Group'!Z465*BW8</f>
        <v>598087.01847000001</v>
      </c>
      <c r="Y84" s="443">
        <f>'Comp Group'!AA465*BX8</f>
        <v>631837.51042099996</v>
      </c>
      <c r="Z84" s="443">
        <f>'Comp Group'!W460*BT8</f>
        <v>769013.411188</v>
      </c>
      <c r="AA84" s="443">
        <f>'Comp Group'!X460*BU8</f>
        <v>762970.43708599999</v>
      </c>
      <c r="AB84" s="443">
        <f>'Comp Group'!Y460*BV8</f>
        <v>776544.80069000006</v>
      </c>
      <c r="AC84" s="443">
        <f>'Comp Group'!Z460*BW8</f>
        <v>989276.57357999997</v>
      </c>
      <c r="AD84" s="443">
        <f>'Comp Group'!AA460*BX8</f>
        <v>1016468.2796830001</v>
      </c>
      <c r="AE84" s="61">
        <f t="shared" si="21"/>
        <v>6.3153001140739837E-2</v>
      </c>
      <c r="AF84" s="61">
        <f t="shared" si="21"/>
        <v>4.6950205830795878E-2</v>
      </c>
      <c r="AG84" s="61">
        <f t="shared" si="21"/>
        <v>4.4689984826585545E-2</v>
      </c>
      <c r="AH84" s="61">
        <f t="shared" si="21"/>
        <v>4.0959125518727622E-2</v>
      </c>
      <c r="AI84" s="61">
        <f t="shared" si="21"/>
        <v>3.1086213403387589E-2</v>
      </c>
      <c r="AJ84" s="61">
        <f t="shared" si="22"/>
        <v>0.14554332793243513</v>
      </c>
      <c r="AK84" s="61">
        <f t="shared" si="22"/>
        <v>0.11228987751606803</v>
      </c>
      <c r="AL84" s="61">
        <f t="shared" si="22"/>
        <v>9.8051893519059505E-2</v>
      </c>
      <c r="AM84" s="61">
        <f t="shared" si="22"/>
        <v>0.10445692662872547</v>
      </c>
      <c r="AN84" s="61">
        <f t="shared" si="22"/>
        <v>8.3849591193607145E-2</v>
      </c>
      <c r="AO84" s="843"/>
      <c r="AP84" s="437"/>
      <c r="AQ84" s="443">
        <f>'Comp Group'!W470*BT8</f>
        <v>346023.819372</v>
      </c>
      <c r="AR84" s="443">
        <f>'Comp Group'!X470*BU8</f>
        <v>321344.52411600004</v>
      </c>
      <c r="AS84" s="443">
        <f>'Comp Group'!Y470*BV8</f>
        <v>316675.925392</v>
      </c>
      <c r="AT84" s="443">
        <f>'Comp Group'!Z470*BW8</f>
        <v>391189.55511000002</v>
      </c>
      <c r="AU84" s="443">
        <f>'Comp Group'!AA470*BX8</f>
        <v>384630.76926199999</v>
      </c>
      <c r="AV84" s="827">
        <f>'Shareholder funds'!F84</f>
        <v>369055.66880399996</v>
      </c>
      <c r="AW84" s="443">
        <f>'Long Term Debt'!C55*BT8</f>
        <v>240888.04685000001</v>
      </c>
      <c r="AX84" s="443">
        <f>'Long Term Debt'!D55*BU8</f>
        <v>262601.27380299999</v>
      </c>
      <c r="AY84" s="443">
        <f>'Long Term Debt'!E55*BV8</f>
        <v>261981.702112</v>
      </c>
      <c r="AZ84" s="443">
        <f>'Long Term Debt'!F55*BW8</f>
        <v>328124.45585999999</v>
      </c>
      <c r="BA84" s="443">
        <f>'Long Term Debt'!G55*BX8</f>
        <v>404265.44890100003</v>
      </c>
      <c r="BB84" s="553">
        <f t="shared" si="23"/>
        <v>7.8161885825018956E-2</v>
      </c>
      <c r="BC84" s="553">
        <f t="shared" si="24"/>
        <v>0.12348943404355243</v>
      </c>
      <c r="BD84" s="553">
        <f t="shared" si="25"/>
        <v>0.1324664092195407</v>
      </c>
      <c r="BE84" s="538">
        <f t="shared" si="26"/>
        <v>0.10365896864578437</v>
      </c>
      <c r="BF84" s="538">
        <f t="shared" si="27"/>
        <v>0.11906079431587607</v>
      </c>
      <c r="BG84" s="455">
        <f t="shared" si="28"/>
        <v>0.11843212736396233</v>
      </c>
    </row>
    <row r="85" spans="1:59" ht="15" customHeight="1">
      <c r="A85" s="535">
        <v>2014</v>
      </c>
      <c r="B85" s="676"/>
      <c r="C85" s="411" t="s">
        <v>435</v>
      </c>
      <c r="D85" s="51"/>
      <c r="E85" s="51"/>
      <c r="F85" s="51"/>
      <c r="G85" s="51"/>
      <c r="H85" s="51"/>
      <c r="I85" s="536" t="s">
        <v>141</v>
      </c>
      <c r="J85" s="524" t="s">
        <v>540</v>
      </c>
      <c r="K85" s="444">
        <f>'More Comp Group'!D719</f>
        <v>3951035</v>
      </c>
      <c r="L85" s="444">
        <f>'More Comp Group'!E719</f>
        <v>3618097</v>
      </c>
      <c r="M85" s="444">
        <f>'More Comp Group'!F719</f>
        <v>3167310</v>
      </c>
      <c r="N85" s="444">
        <f>'More Comp Group'!G719</f>
        <v>3309341</v>
      </c>
      <c r="O85" s="444">
        <f>'More Comp Group'!H719</f>
        <v>3634178</v>
      </c>
      <c r="P85" s="444">
        <f>'More Comp Group'!D723</f>
        <v>66139</v>
      </c>
      <c r="Q85" s="444">
        <f>'More Comp Group'!E723</f>
        <v>59397</v>
      </c>
      <c r="R85" s="444">
        <f>'More Comp Group'!F723</f>
        <v>44608</v>
      </c>
      <c r="S85" s="444">
        <f>'More Comp Group'!G723</f>
        <v>57739</v>
      </c>
      <c r="T85" s="444">
        <f>'More Comp Group'!H723</f>
        <v>44671</v>
      </c>
      <c r="U85" s="443">
        <f>'More Comp Group'!D722</f>
        <v>1405846</v>
      </c>
      <c r="V85" s="443">
        <f>'More Comp Group'!E722</f>
        <v>1189792</v>
      </c>
      <c r="W85" s="443">
        <f>'More Comp Group'!F722</f>
        <v>265607</v>
      </c>
      <c r="X85" s="443">
        <f>'More Comp Group'!G722</f>
        <v>1221332</v>
      </c>
      <c r="Y85" s="443">
        <f>'More Comp Group'!H722</f>
        <v>1258981</v>
      </c>
      <c r="Z85" s="443">
        <f>'More Comp Group'!D724</f>
        <v>1816687</v>
      </c>
      <c r="AA85" s="443">
        <f>'More Comp Group'!E724</f>
        <v>1561021</v>
      </c>
      <c r="AB85" s="443">
        <f>'More Comp Group'!F724</f>
        <v>1558570</v>
      </c>
      <c r="AC85" s="443">
        <f>'More Comp Group'!G724</f>
        <v>1699018</v>
      </c>
      <c r="AD85" s="443">
        <f>'More Comp Group'!H724</f>
        <v>1840033</v>
      </c>
      <c r="AE85" s="61">
        <f t="shared" si="21"/>
        <v>3.6406381506555612E-2</v>
      </c>
      <c r="AF85" s="61">
        <f t="shared" si="21"/>
        <v>3.805009669953191E-2</v>
      </c>
      <c r="AG85" s="61">
        <f t="shared" si="21"/>
        <v>2.8621107810364629E-2</v>
      </c>
      <c r="AH85" s="61">
        <f t="shared" si="21"/>
        <v>3.3983748259288599E-2</v>
      </c>
      <c r="AI85" s="61">
        <f t="shared" si="21"/>
        <v>2.4277281983529644E-2</v>
      </c>
      <c r="AJ85" s="61">
        <f t="shared" si="22"/>
        <v>1.6913831242727633</v>
      </c>
      <c r="AK85" s="61">
        <f t="shared" si="22"/>
        <v>0.27490402171573763</v>
      </c>
      <c r="AL85" s="61">
        <f t="shared" si="22"/>
        <v>0.10223091563909792</v>
      </c>
      <c r="AM85" s="61">
        <f t="shared" si="22"/>
        <v>0.10907136609812815</v>
      </c>
      <c r="AN85" s="61">
        <f t="shared" si="22"/>
        <v>7.0374241745153901E-2</v>
      </c>
      <c r="AO85" s="843"/>
      <c r="AP85" s="437"/>
      <c r="AQ85" s="443">
        <f>'More Comp Group'!D727</f>
        <v>41084</v>
      </c>
      <c r="AR85" s="443">
        <f>'More Comp Group'!E727</f>
        <v>37123</v>
      </c>
      <c r="AS85" s="443">
        <f>'More Comp Group'!F727</f>
        <v>395006</v>
      </c>
      <c r="AT85" s="443">
        <f>'More Comp Group'!G727</f>
        <v>477685</v>
      </c>
      <c r="AU85" s="443">
        <f>'More Comp Group'!H727</f>
        <v>581053</v>
      </c>
      <c r="AV85" s="827">
        <f>'Shareholder funds'!F85</f>
        <v>688474</v>
      </c>
      <c r="AW85" s="443">
        <f>'More Comp Group'!D720</f>
        <v>49695</v>
      </c>
      <c r="AX85" s="443">
        <f>'More Comp Group'!E720</f>
        <v>156381</v>
      </c>
      <c r="AY85" s="443">
        <f>'More Comp Group'!F720</f>
        <v>165834</v>
      </c>
      <c r="AZ85" s="443">
        <f>'More Comp Group'!G720</f>
        <v>184522</v>
      </c>
      <c r="BA85" s="443">
        <f>'More Comp Group'!H720</f>
        <v>205461</v>
      </c>
      <c r="BB85" s="553">
        <f t="shared" si="23"/>
        <v>0.21741839083816394</v>
      </c>
      <c r="BC85" s="553">
        <f t="shared" si="24"/>
        <v>0.31291119758077629</v>
      </c>
      <c r="BD85" s="553">
        <f t="shared" si="25"/>
        <v>0.26899188344971475</v>
      </c>
      <c r="BE85" s="538">
        <f t="shared" si="26"/>
        <v>0.6828726325839003</v>
      </c>
      <c r="BF85" s="538">
        <f t="shared" si="27"/>
        <v>0.30222533757873338</v>
      </c>
      <c r="BG85" s="455">
        <f t="shared" si="28"/>
        <v>0.16927906694292408</v>
      </c>
    </row>
    <row r="86" spans="1:59" ht="15" customHeight="1">
      <c r="A86" s="535">
        <v>2014</v>
      </c>
      <c r="B86" s="676"/>
      <c r="C86" s="411" t="s">
        <v>435</v>
      </c>
      <c r="D86" s="51"/>
      <c r="E86" s="51"/>
      <c r="F86" s="51"/>
      <c r="G86" s="51"/>
      <c r="H86" s="51"/>
      <c r="I86" s="536" t="s">
        <v>141</v>
      </c>
      <c r="J86" s="524" t="s">
        <v>1047</v>
      </c>
      <c r="K86" s="444">
        <f>'More Comp Group'!D731</f>
        <v>19578</v>
      </c>
      <c r="L86" s="444">
        <f>'More Comp Group'!E731</f>
        <v>154386</v>
      </c>
      <c r="M86" s="444">
        <f>'More Comp Group'!F731</f>
        <v>140029</v>
      </c>
      <c r="N86" s="444">
        <f>'More Comp Group'!G731</f>
        <v>152552</v>
      </c>
      <c r="O86" s="444">
        <f>'More Comp Group'!H731</f>
        <v>183073</v>
      </c>
      <c r="P86" s="444">
        <f>'More Comp Group'!D735</f>
        <v>13475</v>
      </c>
      <c r="Q86" s="444">
        <f>'More Comp Group'!E735</f>
        <v>9152</v>
      </c>
      <c r="R86" s="444">
        <f>'More Comp Group'!F735</f>
        <v>8359</v>
      </c>
      <c r="S86" s="444">
        <f>'More Comp Group'!G735</f>
        <v>7502</v>
      </c>
      <c r="T86" s="444">
        <f>'More Comp Group'!H735</f>
        <v>11296</v>
      </c>
      <c r="U86" s="443">
        <f>'More Comp Group'!D734</f>
        <v>51606</v>
      </c>
      <c r="V86" s="443">
        <f>'More Comp Group'!E734</f>
        <v>41735</v>
      </c>
      <c r="W86" s="443">
        <f>'More Comp Group'!F734</f>
        <v>35368</v>
      </c>
      <c r="X86" s="443">
        <f>'More Comp Group'!G734</f>
        <v>39506</v>
      </c>
      <c r="Y86" s="443">
        <f>'More Comp Group'!H734</f>
        <v>46975</v>
      </c>
      <c r="Z86" s="443">
        <f>'More Comp Group'!D736</f>
        <v>78452</v>
      </c>
      <c r="AA86" s="443">
        <f>'More Comp Group'!E736</f>
        <v>62171</v>
      </c>
      <c r="AB86" s="443">
        <f>'More Comp Group'!F736</f>
        <v>55189</v>
      </c>
      <c r="AC86" s="443">
        <f>'More Comp Group'!G736</f>
        <v>6017</v>
      </c>
      <c r="AD86" s="443">
        <f>'More Comp Group'!H736</f>
        <v>73263</v>
      </c>
      <c r="AE86" s="61">
        <f t="shared" si="21"/>
        <v>0.17176107683679193</v>
      </c>
      <c r="AF86" s="61">
        <f t="shared" si="21"/>
        <v>0.14720689710636792</v>
      </c>
      <c r="AG86" s="61">
        <f t="shared" si="21"/>
        <v>0.15146134193408106</v>
      </c>
      <c r="AH86" s="61">
        <f t="shared" si="21"/>
        <v>1.246800731261426</v>
      </c>
      <c r="AI86" s="61">
        <f t="shared" si="21"/>
        <v>0.15418424033959843</v>
      </c>
      <c r="AJ86" s="61">
        <f t="shared" si="22"/>
        <v>0.56998434922380614</v>
      </c>
      <c r="AK86" s="61">
        <f t="shared" si="22"/>
        <v>0.81648675171736995</v>
      </c>
      <c r="AL86" s="61">
        <f t="shared" si="22"/>
        <v>0.73823191733639493</v>
      </c>
      <c r="AM86" s="61">
        <f t="shared" si="22"/>
        <v>0.31956040211279607</v>
      </c>
      <c r="AN86" s="61">
        <f t="shared" si="22"/>
        <v>0.43932794026135658</v>
      </c>
      <c r="AO86" s="843"/>
      <c r="AP86" s="437"/>
      <c r="AQ86" s="443">
        <f>'More Comp Group'!D739</f>
        <v>26846</v>
      </c>
      <c r="AR86" s="443">
        <f>'More Comp Group'!E739</f>
        <v>20436</v>
      </c>
      <c r="AS86" s="443">
        <f>'More Comp Group'!F739</f>
        <v>1982</v>
      </c>
      <c r="AT86" s="443">
        <f>'More Comp Group'!G739</f>
        <v>20664</v>
      </c>
      <c r="AU86" s="443">
        <f>'More Comp Group'!H739</f>
        <v>26288</v>
      </c>
      <c r="AV86" s="827">
        <f>'Shareholder funds'!F86</f>
        <v>25136</v>
      </c>
      <c r="AW86" s="443">
        <f>'More Comp Group'!D732</f>
        <v>27</v>
      </c>
      <c r="AX86" s="443">
        <f>'More Comp Group'!E732</f>
        <v>183</v>
      </c>
      <c r="AY86" s="443">
        <f>'More Comp Group'!F732</f>
        <v>32</v>
      </c>
      <c r="AZ86" s="443">
        <f>'More Comp Group'!G732</f>
        <v>90</v>
      </c>
      <c r="BA86" s="443">
        <f>'More Comp Group'!H732</f>
        <v>0</v>
      </c>
      <c r="BB86" s="553" t="e">
        <f t="shared" si="23"/>
        <v>#DIV/0!</v>
      </c>
      <c r="BC86" s="553">
        <f t="shared" si="24"/>
        <v>83.355555555555554</v>
      </c>
      <c r="BD86" s="553">
        <f t="shared" si="25"/>
        <v>261.21875</v>
      </c>
      <c r="BE86" s="538" t="e">
        <f t="shared" si="26"/>
        <v>#DIV/0!</v>
      </c>
      <c r="BF86" s="538">
        <f t="shared" si="27"/>
        <v>55.009414326329818</v>
      </c>
      <c r="BG86" s="455">
        <f t="shared" si="28"/>
        <v>247.39619613547953</v>
      </c>
    </row>
    <row r="87" spans="1:59" ht="15" customHeight="1">
      <c r="A87" s="535">
        <v>2014</v>
      </c>
      <c r="B87" s="676"/>
      <c r="C87" s="411" t="s">
        <v>435</v>
      </c>
      <c r="D87" s="51"/>
      <c r="E87" s="51"/>
      <c r="F87" s="51"/>
      <c r="G87" s="51"/>
      <c r="H87" s="51"/>
      <c r="I87" s="536" t="s">
        <v>141</v>
      </c>
      <c r="J87" s="524" t="s">
        <v>1048</v>
      </c>
      <c r="K87" s="444">
        <f>'More Comp Group'!D743</f>
        <v>57859</v>
      </c>
      <c r="L87" s="444">
        <f>'More Comp Group'!E743</f>
        <v>49279</v>
      </c>
      <c r="M87" s="444">
        <f>'More Comp Group'!F743</f>
        <v>4942</v>
      </c>
      <c r="N87" s="444">
        <f>'More Comp Group'!G743</f>
        <v>59199</v>
      </c>
      <c r="O87" s="444">
        <f>'More Comp Group'!H743</f>
        <v>76512</v>
      </c>
      <c r="P87" s="444">
        <f>'More Comp Group'!D747</f>
        <v>3610</v>
      </c>
      <c r="Q87" s="444">
        <f>'More Comp Group'!E747</f>
        <v>2936</v>
      </c>
      <c r="R87" s="444">
        <f>'More Comp Group'!F747</f>
        <v>1483</v>
      </c>
      <c r="S87" s="444">
        <f>'More Comp Group'!G747</f>
        <v>-656</v>
      </c>
      <c r="T87" s="444">
        <f>'More Comp Group'!H747</f>
        <v>2599</v>
      </c>
      <c r="U87" s="443">
        <f>'More Comp Group'!D746</f>
        <v>19870</v>
      </c>
      <c r="V87" s="443">
        <f>'More Comp Group'!E746</f>
        <v>17956</v>
      </c>
      <c r="W87" s="443">
        <f>'More Comp Group'!F746</f>
        <v>18243</v>
      </c>
      <c r="X87" s="443">
        <f>'More Comp Group'!G746</f>
        <v>20593</v>
      </c>
      <c r="Y87" s="443">
        <f>'More Comp Group'!H746</f>
        <v>21901</v>
      </c>
      <c r="Z87" s="443">
        <f>'More Comp Group'!D748</f>
        <v>26038</v>
      </c>
      <c r="AA87" s="443">
        <f>'More Comp Group'!E748</f>
        <v>24257</v>
      </c>
      <c r="AB87" s="443">
        <f>'More Comp Group'!F748</f>
        <v>24417</v>
      </c>
      <c r="AC87" s="443">
        <f>'More Comp Group'!G748</f>
        <v>27843</v>
      </c>
      <c r="AD87" s="443">
        <f>'More Comp Group'!H748</f>
        <v>36199</v>
      </c>
      <c r="AE87" s="61">
        <f t="shared" si="21"/>
        <v>0.1386435210077579</v>
      </c>
      <c r="AF87" s="61">
        <f t="shared" si="21"/>
        <v>0.12103722636764645</v>
      </c>
      <c r="AG87" s="61">
        <f t="shared" si="21"/>
        <v>6.0736372199696929E-2</v>
      </c>
      <c r="AH87" s="61">
        <f t="shared" si="21"/>
        <v>-2.3560679524476529E-2</v>
      </c>
      <c r="AI87" s="61">
        <f t="shared" si="21"/>
        <v>7.1797563468604109E-2</v>
      </c>
      <c r="AJ87" s="61">
        <f t="shared" si="22"/>
        <v>0.57903600930307164</v>
      </c>
      <c r="AK87" s="61">
        <f t="shared" si="22"/>
        <v>0.47066367425456879</v>
      </c>
      <c r="AL87" s="61">
        <f t="shared" si="22"/>
        <v>0.22093109869646183</v>
      </c>
      <c r="AM87" s="61">
        <f t="shared" si="22"/>
        <v>-6.0884495800269153E-2</v>
      </c>
      <c r="AN87" s="61">
        <f t="shared" si="22"/>
        <v>0.19036806445705914</v>
      </c>
      <c r="AO87" s="843"/>
      <c r="AP87" s="437"/>
      <c r="AQ87" s="443">
        <f>'More Comp Group'!D751</f>
        <v>6168</v>
      </c>
      <c r="AR87" s="443">
        <f>'More Comp Group'!E751</f>
        <v>6301</v>
      </c>
      <c r="AS87" s="443">
        <f>'More Comp Group'!F751</f>
        <v>6175</v>
      </c>
      <c r="AT87" s="443">
        <f>'More Comp Group'!G751</f>
        <v>7250</v>
      </c>
      <c r="AU87" s="443">
        <f>'More Comp Group'!H751</f>
        <v>14299</v>
      </c>
      <c r="AV87" s="827">
        <f>'Shareholder funds'!F87</f>
        <v>13006</v>
      </c>
      <c r="AW87" s="443">
        <f>'More Comp Group'!D744</f>
        <v>828</v>
      </c>
      <c r="AX87" s="443">
        <f>'More Comp Group'!E744</f>
        <v>2356</v>
      </c>
      <c r="AY87" s="443">
        <f>'More Comp Group'!F744</f>
        <v>2557</v>
      </c>
      <c r="AZ87" s="443">
        <f>'More Comp Group'!G744</f>
        <v>2158</v>
      </c>
      <c r="BA87" s="443">
        <f>'More Comp Group'!H744</f>
        <v>2603</v>
      </c>
      <c r="BB87" s="553">
        <f t="shared" si="23"/>
        <v>0.99846331156358048</v>
      </c>
      <c r="BC87" s="553">
        <f t="shared" si="24"/>
        <v>-0.303985171455051</v>
      </c>
      <c r="BD87" s="553">
        <f t="shared" si="25"/>
        <v>0.57997653500195545</v>
      </c>
      <c r="BE87" s="538">
        <f t="shared" si="26"/>
        <v>0.83278952717067944</v>
      </c>
      <c r="BF87" s="538">
        <f t="shared" si="27"/>
        <v>-0.10227543718091589</v>
      </c>
      <c r="BG87" s="455">
        <f t="shared" si="28"/>
        <v>0.48917853478955381</v>
      </c>
    </row>
    <row r="88" spans="1:59" ht="15" customHeight="1">
      <c r="A88" s="535">
        <v>2014</v>
      </c>
      <c r="B88" s="676"/>
      <c r="C88" s="411" t="s">
        <v>435</v>
      </c>
      <c r="D88" s="51"/>
      <c r="E88" s="51"/>
      <c r="F88" s="51"/>
      <c r="G88" s="51"/>
      <c r="H88" s="51"/>
      <c r="I88" s="536" t="s">
        <v>141</v>
      </c>
      <c r="J88" s="524" t="s">
        <v>1049</v>
      </c>
      <c r="K88" s="444">
        <f>'More Comp Group'!D755</f>
        <v>2148</v>
      </c>
      <c r="L88" s="444">
        <f>'More Comp Group'!E755</f>
        <v>752</v>
      </c>
      <c r="M88" s="444">
        <f>'More Comp Group'!F755</f>
        <v>559</v>
      </c>
      <c r="N88" s="444">
        <f>'More Comp Group'!G755</f>
        <v>55487</v>
      </c>
      <c r="O88" s="444">
        <f>'More Comp Group'!H755</f>
        <v>6922</v>
      </c>
      <c r="P88" s="444">
        <f>'More Comp Group'!D759</f>
        <v>-5784</v>
      </c>
      <c r="Q88" s="444">
        <f>'More Comp Group'!E759</f>
        <v>-4870</v>
      </c>
      <c r="R88" s="444">
        <f>'More Comp Group'!F759</f>
        <v>-2097</v>
      </c>
      <c r="S88" s="444">
        <f>'More Comp Group'!G759</f>
        <v>-2311</v>
      </c>
      <c r="T88" s="444">
        <f>'More Comp Group'!H759</f>
        <v>-370</v>
      </c>
      <c r="U88" s="443">
        <f>'More Comp Group'!D758</f>
        <v>3031</v>
      </c>
      <c r="V88" s="443">
        <f>'More Comp Group'!E758</f>
        <v>543</v>
      </c>
      <c r="W88" s="443">
        <f>'More Comp Group'!F758</f>
        <v>656</v>
      </c>
      <c r="X88" s="443">
        <f>'More Comp Group'!G758</f>
        <v>22610</v>
      </c>
      <c r="Y88" s="443">
        <f>'More Comp Group'!H758</f>
        <v>25345</v>
      </c>
      <c r="Z88" s="443">
        <f>'More Comp Group'!D760</f>
        <v>5046</v>
      </c>
      <c r="AA88" s="443">
        <f>'More Comp Group'!E760</f>
        <v>1152</v>
      </c>
      <c r="AB88" s="443">
        <f>'More Comp Group'!F760</f>
        <v>646</v>
      </c>
      <c r="AC88" s="443">
        <f>'More Comp Group'!G760</f>
        <v>51572</v>
      </c>
      <c r="AD88" s="443">
        <f>'More Comp Group'!H760</f>
        <v>68875</v>
      </c>
      <c r="AE88" s="61">
        <f t="shared" si="21"/>
        <v>-1.1462544589774077</v>
      </c>
      <c r="AF88" s="61">
        <f t="shared" si="21"/>
        <v>-4.2274305555555554</v>
      </c>
      <c r="AG88" s="61">
        <f t="shared" si="21"/>
        <v>-3.2461300309597525</v>
      </c>
      <c r="AH88" s="61">
        <f t="shared" si="21"/>
        <v>-4.481113782672768E-2</v>
      </c>
      <c r="AI88" s="61">
        <f t="shared" si="21"/>
        <v>-5.3720508166969147E-3</v>
      </c>
      <c r="AJ88" s="61">
        <f t="shared" si="22"/>
        <v>12.519480519480519</v>
      </c>
      <c r="AK88" s="61">
        <f t="shared" si="22"/>
        <v>3.3039348710990502</v>
      </c>
      <c r="AL88" s="61">
        <f t="shared" si="22"/>
        <v>-0.14486045869024591</v>
      </c>
      <c r="AM88" s="61">
        <f t="shared" si="22"/>
        <v>-6.924344569288389E-2</v>
      </c>
      <c r="AN88" s="61">
        <f t="shared" si="22"/>
        <v>-1.0439886007731158E-2</v>
      </c>
      <c r="AO88" s="843"/>
      <c r="AP88" s="437"/>
      <c r="AQ88" s="443">
        <f>'More Comp Group'!D763</f>
        <v>2014</v>
      </c>
      <c r="AR88" s="443">
        <f>'More Comp Group'!E763</f>
        <v>-2938</v>
      </c>
      <c r="AS88" s="443">
        <f>'More Comp Group'!F763</f>
        <v>-10</v>
      </c>
      <c r="AT88" s="443">
        <f>'More Comp Group'!G763</f>
        <v>28962</v>
      </c>
      <c r="AU88" s="443">
        <f>'More Comp Group'!H763</f>
        <v>37788</v>
      </c>
      <c r="AV88" s="827">
        <f>'Shareholder funds'!F88</f>
        <v>33094</v>
      </c>
      <c r="AW88" s="443">
        <f>'More Comp Group'!D756</f>
        <v>110</v>
      </c>
      <c r="AX88" s="443">
        <f>'More Comp Group'!E756</f>
        <v>149</v>
      </c>
      <c r="AY88" s="443">
        <f>'More Comp Group'!F756</f>
        <v>0</v>
      </c>
      <c r="AZ88" s="443">
        <f>'More Comp Group'!G756</f>
        <v>2513</v>
      </c>
      <c r="BA88" s="443">
        <f>'More Comp Group'!H756</f>
        <v>58</v>
      </c>
      <c r="BB88" s="553">
        <f t="shared" si="23"/>
        <v>-6.3793103448275863</v>
      </c>
      <c r="BC88" s="553">
        <f t="shared" si="24"/>
        <v>-0.9196179864703542</v>
      </c>
      <c r="BD88" s="553" t="e">
        <f t="shared" si="25"/>
        <v>#DIV/0!</v>
      </c>
      <c r="BE88" s="538">
        <f t="shared" si="26"/>
        <v>4.9324839494475885</v>
      </c>
      <c r="BF88" s="538">
        <f t="shared" si="27"/>
        <v>1.4522608986014887</v>
      </c>
      <c r="BG88" s="455" t="e">
        <f t="shared" si="28"/>
        <v>#DIV/0!</v>
      </c>
    </row>
    <row r="89" spans="1:59" s="465" customFormat="1" ht="15" customHeight="1">
      <c r="A89" s="535">
        <v>2014</v>
      </c>
      <c r="B89" s="676"/>
      <c r="C89" s="411" t="s">
        <v>435</v>
      </c>
      <c r="D89" s="536"/>
      <c r="E89" s="536"/>
      <c r="F89" s="536"/>
      <c r="G89" s="536"/>
      <c r="H89" s="536"/>
      <c r="I89" s="536" t="s">
        <v>141</v>
      </c>
      <c r="J89" s="524" t="s">
        <v>524</v>
      </c>
      <c r="K89" s="534">
        <f>'Comp Group'!N477</f>
        <v>419000</v>
      </c>
      <c r="L89" s="534">
        <f>'Comp Group'!O477</f>
        <v>537000</v>
      </c>
      <c r="M89" s="534">
        <f>'Comp Group'!P477</f>
        <v>616000</v>
      </c>
      <c r="N89" s="534">
        <f>'Comp Group'!Q477</f>
        <v>481000</v>
      </c>
      <c r="O89" s="534">
        <f>'Comp Group'!R477</f>
        <v>300100</v>
      </c>
      <c r="P89" s="534">
        <f>'Comp Group'!N481</f>
        <v>-66900</v>
      </c>
      <c r="Q89" s="534">
        <f>'Comp Group'!O481</f>
        <v>-63000</v>
      </c>
      <c r="R89" s="534">
        <f>'Comp Group'!P481</f>
        <v>-50000</v>
      </c>
      <c r="S89" s="534">
        <f>'Comp Group'!Q481</f>
        <v>-59000</v>
      </c>
      <c r="T89" s="534">
        <f>'Comp Group'!R481</f>
        <v>60300</v>
      </c>
      <c r="U89" s="534">
        <f>'Comp Group'!N480</f>
        <v>168600</v>
      </c>
      <c r="V89" s="534">
        <f>'Comp Group'!O480</f>
        <v>317000</v>
      </c>
      <c r="W89" s="534">
        <f>'Comp Group'!P480</f>
        <v>552000</v>
      </c>
      <c r="X89" s="534">
        <f>'Comp Group'!Q480</f>
        <v>443000</v>
      </c>
      <c r="Y89" s="534">
        <f>'Comp Group'!R480</f>
        <v>219000</v>
      </c>
      <c r="Z89" s="534">
        <f>'Comp Group'!N475</f>
        <v>636600</v>
      </c>
      <c r="AA89" s="534">
        <f>'Comp Group'!O475</f>
        <v>837000</v>
      </c>
      <c r="AB89" s="534">
        <f>'Comp Group'!P475</f>
        <v>907000</v>
      </c>
      <c r="AC89" s="534">
        <f>'Comp Group'!Q475</f>
        <v>810000</v>
      </c>
      <c r="AD89" s="534">
        <f>'Comp Group'!R475</f>
        <v>533100</v>
      </c>
      <c r="AE89" s="61">
        <f t="shared" si="21"/>
        <v>-0.10508953817153628</v>
      </c>
      <c r="AF89" s="61">
        <f t="shared" si="21"/>
        <v>-7.5268817204301078E-2</v>
      </c>
      <c r="AG89" s="61">
        <f t="shared" si="21"/>
        <v>-5.5126791620727672E-2</v>
      </c>
      <c r="AH89" s="61">
        <f t="shared" si="21"/>
        <v>-7.2839506172839505E-2</v>
      </c>
      <c r="AI89" s="61">
        <f t="shared" si="21"/>
        <v>0.11311198649409117</v>
      </c>
      <c r="AJ89" s="61">
        <f t="shared" si="22"/>
        <v>-0.13542510121457491</v>
      </c>
      <c r="AK89" s="61">
        <f t="shared" si="22"/>
        <v>-0.14399999999999999</v>
      </c>
      <c r="AL89" s="61">
        <f t="shared" si="22"/>
        <v>-0.13850415512465375</v>
      </c>
      <c r="AM89" s="61">
        <f t="shared" si="22"/>
        <v>-0.17330004405933325</v>
      </c>
      <c r="AN89" s="61">
        <f t="shared" si="22"/>
        <v>0.26349136989294297</v>
      </c>
      <c r="AO89" s="843"/>
      <c r="AP89" s="437"/>
      <c r="AQ89" s="534">
        <f>'Comp Group'!N485</f>
        <v>468000</v>
      </c>
      <c r="AR89" s="534">
        <f>'Comp Group'!O485</f>
        <v>520000</v>
      </c>
      <c r="AS89" s="534">
        <f>'Comp Group'!P485</f>
        <v>355000</v>
      </c>
      <c r="AT89" s="534">
        <f>'Comp Group'!Q485</f>
        <v>367000</v>
      </c>
      <c r="AU89" s="534">
        <f>'Comp Group'!R485</f>
        <v>313900</v>
      </c>
      <c r="AV89" s="827">
        <f>'Shareholder funds'!F89</f>
        <v>143800</v>
      </c>
      <c r="AW89" s="534">
        <f>'Long Term Debt'!C56</f>
        <v>38800</v>
      </c>
      <c r="AX89" s="534">
        <f>'Long Term Debt'!D56</f>
        <v>166000</v>
      </c>
      <c r="AY89" s="534">
        <f>'Long Term Debt'!E56</f>
        <v>229000</v>
      </c>
      <c r="AZ89" s="534">
        <f>'Long Term Debt'!F56</f>
        <v>203000</v>
      </c>
      <c r="BA89" s="534">
        <f>'Long Term Debt'!G56</f>
        <v>74900</v>
      </c>
      <c r="BB89" s="553">
        <f t="shared" si="23"/>
        <v>0.80507343124165553</v>
      </c>
      <c r="BC89" s="553">
        <f t="shared" si="24"/>
        <v>-0.29064039408866993</v>
      </c>
      <c r="BD89" s="553">
        <f t="shared" si="25"/>
        <v>-0.2183406113537118</v>
      </c>
      <c r="BE89" s="538">
        <f t="shared" si="26"/>
        <v>0.25108114500031431</v>
      </c>
      <c r="BF89" s="538">
        <f t="shared" si="27"/>
        <v>-0.22419962293985282</v>
      </c>
      <c r="BG89" s="455">
        <f t="shared" si="28"/>
        <v>-0.18709260478114775</v>
      </c>
    </row>
    <row r="90" spans="1:59" ht="15" customHeight="1">
      <c r="A90" s="449">
        <v>2014</v>
      </c>
      <c r="B90" s="676"/>
      <c r="C90" s="50" t="s">
        <v>487</v>
      </c>
      <c r="D90" s="51"/>
      <c r="E90" s="51"/>
      <c r="F90" s="51"/>
      <c r="G90" s="51"/>
      <c r="H90" s="51"/>
      <c r="I90" s="51" t="s">
        <v>141</v>
      </c>
      <c r="J90" s="524" t="s">
        <v>522</v>
      </c>
      <c r="K90" s="444">
        <f>'Comp Group'!X477*BT8</f>
        <v>115191.63554800001</v>
      </c>
      <c r="L90" s="444">
        <f>'Comp Group'!Y477*BU8</f>
        <v>133359.122798</v>
      </c>
      <c r="M90" s="444">
        <f>'Comp Group'!Z477*BV8</f>
        <v>142369.08307399999</v>
      </c>
      <c r="N90" s="444">
        <f>'Comp Group'!AA477*BW8</f>
        <v>131895.28623</v>
      </c>
      <c r="O90" s="444">
        <f>'Comp Group'!AB477*BX8</f>
        <v>122400.349091</v>
      </c>
      <c r="P90" s="444">
        <f>'Comp Group'!X481*BT8</f>
        <v>1214.8973100000001</v>
      </c>
      <c r="Q90" s="444">
        <f>'Comp Group'!Y481*BU8</f>
        <v>8833.6135470000008</v>
      </c>
      <c r="R90" s="444">
        <f>'Comp Group'!Z481*BV8</f>
        <v>4527.1681180000005</v>
      </c>
      <c r="S90" s="444">
        <f>'Comp Group'!AA481*BW8</f>
        <v>-289.73489999999998</v>
      </c>
      <c r="T90" s="444">
        <f>'Comp Group'!AB481*BX8</f>
        <v>8712.3921229999996</v>
      </c>
      <c r="U90" s="443">
        <f>'Comp Group'!X480*BT8</f>
        <v>50193.479336000004</v>
      </c>
      <c r="V90" s="443">
        <f>'Comp Group'!Y480*BU8</f>
        <v>40280.630126000004</v>
      </c>
      <c r="W90" s="443">
        <f>'Comp Group'!Z480*BV8</f>
        <v>46970.347503999998</v>
      </c>
      <c r="X90" s="443">
        <f>'Comp Group'!AA480*BW8</f>
        <v>57998.718375000004</v>
      </c>
      <c r="Y90" s="443">
        <f>'Comp Group'!AB480*BX8</f>
        <v>41450.309281000002</v>
      </c>
      <c r="Z90" s="443">
        <f>'Comp Group'!X475*BT8</f>
        <v>84214.478128000002</v>
      </c>
      <c r="AA90" s="443">
        <f>'Comp Group'!Y475*BU8</f>
        <v>78494.500172</v>
      </c>
      <c r="AB90" s="443">
        <f>'Comp Group'!Z475*BV8</f>
        <v>83896.277552</v>
      </c>
      <c r="AC90" s="443">
        <f>'Comp Group'!AA475*BW8</f>
        <v>97243.788165000005</v>
      </c>
      <c r="AD90" s="443">
        <f>'Comp Group'!AB475*BX8</f>
        <v>84153.272880999997</v>
      </c>
      <c r="AE90" s="61">
        <f t="shared" si="21"/>
        <v>1.4426228565513911E-2</v>
      </c>
      <c r="AF90" s="61">
        <f t="shared" si="21"/>
        <v>0.11253799345996809</v>
      </c>
      <c r="AG90" s="61">
        <f t="shared" si="21"/>
        <v>5.3961489712031657E-2</v>
      </c>
      <c r="AH90" s="61">
        <f t="shared" si="21"/>
        <v>-2.9794694907235358E-3</v>
      </c>
      <c r="AI90" s="61">
        <f t="shared" si="21"/>
        <v>0.10353004493740933</v>
      </c>
      <c r="AJ90" s="61">
        <f t="shared" si="22"/>
        <v>3.3637475414977663E-2</v>
      </c>
      <c r="AK90" s="61">
        <f t="shared" si="22"/>
        <v>0.23512551634418369</v>
      </c>
      <c r="AL90" s="61">
        <f t="shared" si="22"/>
        <v>0.11886923985091812</v>
      </c>
      <c r="AM90" s="61">
        <f t="shared" si="22"/>
        <v>-7.0712430236605341E-3</v>
      </c>
      <c r="AN90" s="61">
        <f t="shared" si="22"/>
        <v>0.23206418374924356</v>
      </c>
      <c r="AO90" s="843"/>
      <c r="AP90" s="437"/>
      <c r="AQ90" s="443">
        <f>'Comp Group'!X485*BT8</f>
        <v>34020.998791999999</v>
      </c>
      <c r="AR90" s="443">
        <f>'Comp Group'!Y485*BU8</f>
        <v>38213.750993000001</v>
      </c>
      <c r="AS90" s="443">
        <f>'Comp Group'!Z485*BV8</f>
        <v>36925.805822000002</v>
      </c>
      <c r="AT90" s="443">
        <f>'Comp Group'!AA485*BW8</f>
        <v>39244.751400000001</v>
      </c>
      <c r="AU90" s="443">
        <f>'Comp Group'!AB485*BX8</f>
        <v>42702.623066</v>
      </c>
      <c r="AV90" s="827">
        <f>'Shareholder funds'!F90</f>
        <v>32383.432715999999</v>
      </c>
      <c r="AW90" s="443">
        <f>'Long Term Debt'!C57*BT8</f>
        <v>6300.87997</v>
      </c>
      <c r="AX90" s="443">
        <f>'Long Term Debt'!D57*BU8</f>
        <v>4532.9429749999999</v>
      </c>
      <c r="AY90" s="443">
        <f>'Long Term Debt'!E57*BV8</f>
        <v>4619.4680360000002</v>
      </c>
      <c r="AZ90" s="443">
        <f>'Long Term Debt'!F57*BW8</f>
        <v>10852.641540000001</v>
      </c>
      <c r="BA90" s="443">
        <f>'Long Term Debt'!G57*BX8</f>
        <v>9086.6389890000009</v>
      </c>
      <c r="BB90" s="553">
        <f t="shared" si="23"/>
        <v>0.95881349897876955</v>
      </c>
      <c r="BC90" s="553">
        <f t="shared" si="24"/>
        <v>-2.6697177726926008E-2</v>
      </c>
      <c r="BD90" s="553">
        <f t="shared" si="25"/>
        <v>0.9800193621255312</v>
      </c>
      <c r="BE90" s="538">
        <f t="shared" si="26"/>
        <v>0.48934152810271547</v>
      </c>
      <c r="BF90" s="538">
        <f t="shared" si="27"/>
        <v>7.8967156993682258E-2</v>
      </c>
      <c r="BG90" s="455">
        <f t="shared" si="28"/>
        <v>0.60099528368963351</v>
      </c>
    </row>
    <row r="91" spans="1:59" ht="15" customHeight="1">
      <c r="A91" s="449">
        <v>2014</v>
      </c>
      <c r="B91" s="676"/>
      <c r="C91" s="50" t="s">
        <v>487</v>
      </c>
      <c r="D91" s="51"/>
      <c r="E91" s="51"/>
      <c r="F91" s="51"/>
      <c r="G91" s="51"/>
      <c r="H91" s="51"/>
      <c r="I91" s="51" t="s">
        <v>142</v>
      </c>
      <c r="J91" s="524" t="s">
        <v>515</v>
      </c>
      <c r="K91" s="444">
        <f>'Comp Group'!N494*BT8</f>
        <v>11487.105278000001</v>
      </c>
      <c r="L91" s="444">
        <f>'Comp Group'!O494*BU8</f>
        <v>9324.588119</v>
      </c>
      <c r="M91" s="444">
        <f>'Comp Group'!P494*BV8</f>
        <v>1297.2921180000001</v>
      </c>
      <c r="N91" s="444">
        <f>'Comp Group'!Q494*BW8</f>
        <v>614.17430999999999</v>
      </c>
      <c r="O91" s="444">
        <f>'Comp Group'!R494*BX8</f>
        <v>707.459385</v>
      </c>
      <c r="P91" s="444">
        <f>'Comp Group'!N498*BT8</f>
        <v>5327.9935940000005</v>
      </c>
      <c r="Q91" s="444">
        <f>'Comp Group'!O498*BU8</f>
        <v>-17122.440566000001</v>
      </c>
      <c r="R91" s="444">
        <f>'Comp Group'!P498*BV8</f>
        <v>-4486.0493120000001</v>
      </c>
      <c r="S91" s="444">
        <f>'Comp Group'!Q498*BW8</f>
        <v>-1663.1101650000001</v>
      </c>
      <c r="T91" s="444">
        <f>'Comp Group'!R498*BX8</f>
        <v>-1539.2136800000001</v>
      </c>
      <c r="U91" s="443">
        <f>'Comp Group'!N497*BT8</f>
        <v>50403.044582000002</v>
      </c>
      <c r="V91" s="443">
        <f>'Comp Group'!O497*BU8</f>
        <v>51098.976236000002</v>
      </c>
      <c r="W91" s="443">
        <f>'Comp Group'!P497*BV8</f>
        <v>27501.773010000001</v>
      </c>
      <c r="X91" s="443">
        <f>'Comp Group'!Q497*BW8</f>
        <v>7492.1942850000005</v>
      </c>
      <c r="Y91" s="443">
        <f>'Comp Group'!R497*BX8</f>
        <v>3213.278824</v>
      </c>
      <c r="Z91" s="443">
        <f>'Comp Group'!N492*BT8</f>
        <v>77099.792505999998</v>
      </c>
      <c r="AA91" s="443">
        <f>'Comp Group'!O492*BU8</f>
        <v>72117.902438999998</v>
      </c>
      <c r="AB91" s="443">
        <f>'Comp Group'!P492*BV8</f>
        <v>67309.497805999999</v>
      </c>
      <c r="AC91" s="443">
        <f>'Comp Group'!Q492*BW8</f>
        <v>64251.420389999999</v>
      </c>
      <c r="AD91" s="443">
        <f>'Comp Group'!R492*BX8</f>
        <v>65496.436623000001</v>
      </c>
      <c r="AE91" s="61">
        <f t="shared" si="21"/>
        <v>6.9105161256891451E-2</v>
      </c>
      <c r="AF91" s="61">
        <f t="shared" si="21"/>
        <v>-0.23742288650841997</v>
      </c>
      <c r="AG91" s="61">
        <f t="shared" si="21"/>
        <v>-6.664808768785839E-2</v>
      </c>
      <c r="AH91" s="61">
        <f t="shared" si="21"/>
        <v>-2.5884410880025372E-2</v>
      </c>
      <c r="AI91" s="61">
        <f t="shared" si="21"/>
        <v>-2.3500723999074529E-2</v>
      </c>
      <c r="AJ91" s="61">
        <f t="shared" si="22"/>
        <v>0.22332257445714868</v>
      </c>
      <c r="AK91" s="61">
        <f t="shared" si="22"/>
        <v>-0.56299024574831058</v>
      </c>
      <c r="AL91" s="61">
        <f t="shared" si="22"/>
        <v>-9.2910535109408277E-2</v>
      </c>
      <c r="AM91" s="61">
        <f t="shared" si="22"/>
        <v>-2.7941479504328324E-2</v>
      </c>
      <c r="AN91" s="61">
        <f t="shared" si="22"/>
        <v>-2.7420766074429042E-2</v>
      </c>
      <c r="AO91" s="843"/>
      <c r="AP91" s="437"/>
      <c r="AQ91" s="443">
        <f>'Comp Group'!N502*BT8</f>
        <v>26696.747924000003</v>
      </c>
      <c r="AR91" s="443">
        <f>'Comp Group'!O502*BU8</f>
        <v>21018.926203000003</v>
      </c>
      <c r="AS91" s="443">
        <f>'Comp Group'!P502*BV8</f>
        <v>39807.849022000002</v>
      </c>
      <c r="AT91" s="443">
        <f>'Comp Group'!Q502*BW8</f>
        <v>56759.226105000002</v>
      </c>
      <c r="AU91" s="443">
        <f>'Comp Group'!R502*BX8</f>
        <v>62283.157799000001</v>
      </c>
      <c r="AV91" s="827">
        <f>'Shareholder funds'!F91</f>
        <v>49983.120671999997</v>
      </c>
      <c r="AW91" s="443">
        <f>'Long Term Debt'!C58*BT8</f>
        <v>43949.016122000001</v>
      </c>
      <c r="AX91" s="443">
        <f>'Long Term Debt'!D58*BU8</f>
        <v>49392.827692999999</v>
      </c>
      <c r="AY91" s="443">
        <f>'Long Term Debt'!E58*BV8</f>
        <v>26313.302867999999</v>
      </c>
      <c r="AZ91" s="443">
        <f>'Long Term Debt'!F58*BW8</f>
        <v>2228.0932200000002</v>
      </c>
      <c r="BA91" s="443">
        <f>'Long Term Debt'!G58*BX8</f>
        <v>1702.4997330000001</v>
      </c>
      <c r="BB91" s="553">
        <f t="shared" si="23"/>
        <v>-0.9040904090409041</v>
      </c>
      <c r="BC91" s="553">
        <f t="shared" si="24"/>
        <v>-0.74642755072877964</v>
      </c>
      <c r="BD91" s="553">
        <f t="shared" si="25"/>
        <v>-0.17048598324977104</v>
      </c>
      <c r="BE91" s="538">
        <f t="shared" si="26"/>
        <v>0.16801128650679331</v>
      </c>
      <c r="BF91" s="538">
        <f t="shared" si="27"/>
        <v>-0.58438040210109332</v>
      </c>
      <c r="BG91" s="455">
        <f t="shared" si="28"/>
        <v>-0.12460678152260318</v>
      </c>
    </row>
    <row r="92" spans="1:59" ht="15" customHeight="1">
      <c r="A92" s="449">
        <v>2014</v>
      </c>
      <c r="B92" s="676"/>
      <c r="C92" s="50" t="s">
        <v>435</v>
      </c>
      <c r="D92" s="51"/>
      <c r="E92" s="51"/>
      <c r="F92" s="51"/>
      <c r="G92" s="51"/>
      <c r="H92" s="51"/>
      <c r="I92" s="51" t="s">
        <v>554</v>
      </c>
      <c r="J92" s="524" t="s">
        <v>1050</v>
      </c>
      <c r="K92" s="444">
        <f>'More Comp Group'!D772</f>
        <v>660479</v>
      </c>
      <c r="L92" s="444">
        <f>'More Comp Group'!E772</f>
        <v>589931</v>
      </c>
      <c r="M92" s="444">
        <f>'More Comp Group'!F772</f>
        <v>525452</v>
      </c>
      <c r="N92" s="444">
        <f>'More Comp Group'!G772</f>
        <v>573195</v>
      </c>
      <c r="O92" s="444">
        <f>'More Comp Group'!H772</f>
        <v>617926</v>
      </c>
      <c r="P92" s="444">
        <f>'More Comp Group'!D776</f>
        <v>47479</v>
      </c>
      <c r="Q92" s="444">
        <f>'More Comp Group'!E776</f>
        <v>47989</v>
      </c>
      <c r="R92" s="444">
        <f>'More Comp Group'!F776</f>
        <v>31508</v>
      </c>
      <c r="S92" s="444">
        <f>'More Comp Group'!G776</f>
        <v>20093</v>
      </c>
      <c r="T92" s="444">
        <f>'More Comp Group'!H776</f>
        <v>16311</v>
      </c>
      <c r="U92" s="443">
        <f>'More Comp Group'!D775</f>
        <v>220163</v>
      </c>
      <c r="V92" s="443">
        <f>'More Comp Group'!E775</f>
        <v>316484</v>
      </c>
      <c r="W92" s="443">
        <f>'More Comp Group'!F775</f>
        <v>291207</v>
      </c>
      <c r="X92" s="443">
        <f>'More Comp Group'!G775</f>
        <v>344992</v>
      </c>
      <c r="Y92" s="443">
        <f>'More Comp Group'!H775</f>
        <v>446166</v>
      </c>
      <c r="Z92" s="443">
        <f>'More Comp Group'!D777</f>
        <v>554005</v>
      </c>
      <c r="AA92" s="443">
        <f>'More Comp Group'!E777</f>
        <v>514671</v>
      </c>
      <c r="AB92" s="443">
        <f>'More Comp Group'!F777</f>
        <v>464699</v>
      </c>
      <c r="AC92" s="443">
        <f>'More Comp Group'!G777</f>
        <v>507119</v>
      </c>
      <c r="AD92" s="443">
        <f>'More Comp Group'!H777</f>
        <v>605885</v>
      </c>
      <c r="AE92" s="61">
        <f t="shared" si="21"/>
        <v>8.5701392586709502E-2</v>
      </c>
      <c r="AF92" s="61">
        <f t="shared" si="21"/>
        <v>9.3242090578252904E-2</v>
      </c>
      <c r="AG92" s="61">
        <f t="shared" si="21"/>
        <v>6.7803029487905078E-2</v>
      </c>
      <c r="AH92" s="61">
        <f t="shared" si="21"/>
        <v>3.9621863901766648E-2</v>
      </c>
      <c r="AI92" s="61">
        <f t="shared" si="21"/>
        <v>2.6920950345362567E-2</v>
      </c>
      <c r="AJ92" s="61">
        <f t="shared" si="22"/>
        <v>0.22988077225685408</v>
      </c>
      <c r="AK92" s="61">
        <f t="shared" si="22"/>
        <v>0.25822820229283872</v>
      </c>
      <c r="AL92" s="61">
        <f t="shared" si="22"/>
        <v>0.18776052607271937</v>
      </c>
      <c r="AM92" s="61">
        <f t="shared" si="22"/>
        <v>0.1248609583465384</v>
      </c>
      <c r="AN92" s="61">
        <f t="shared" si="22"/>
        <v>9.8443469391450253E-2</v>
      </c>
      <c r="AO92" s="843"/>
      <c r="AP92" s="437"/>
      <c r="AQ92" s="443">
        <f>'More Comp Group'!D780</f>
        <v>214888</v>
      </c>
      <c r="AR92" s="443">
        <f>'More Comp Group'!E780</f>
        <v>198187</v>
      </c>
      <c r="AS92" s="443">
        <f>'More Comp Group'!F780</f>
        <v>173492</v>
      </c>
      <c r="AT92" s="443">
        <f>'More Comp Group'!G780</f>
        <v>162127</v>
      </c>
      <c r="AU92" s="443">
        <f>'More Comp Group'!H780</f>
        <v>159719</v>
      </c>
      <c r="AV92" s="827">
        <f>'Shareholder funds'!F92</f>
        <v>171659</v>
      </c>
      <c r="AW92" s="443">
        <f>'More Comp Group'!D773</f>
        <v>206946</v>
      </c>
      <c r="AX92" s="443">
        <f>'More Comp Group'!E773</f>
        <v>196487</v>
      </c>
      <c r="AY92" s="443">
        <f>'More Comp Group'!F773</f>
        <v>194163</v>
      </c>
      <c r="AZ92" s="443">
        <f>'More Comp Group'!G773</f>
        <v>214823</v>
      </c>
      <c r="BA92" s="443">
        <f>'More Comp Group'!H773</f>
        <v>303115</v>
      </c>
      <c r="BB92" s="553">
        <f t="shared" si="23"/>
        <v>5.3811259752899063E-2</v>
      </c>
      <c r="BC92" s="553">
        <f t="shared" si="24"/>
        <v>9.3532815387551607E-2</v>
      </c>
      <c r="BD92" s="553">
        <f t="shared" si="25"/>
        <v>0.16227602581336301</v>
      </c>
      <c r="BE92" s="538">
        <f t="shared" si="26"/>
        <v>0.10022542492883046</v>
      </c>
      <c r="BF92" s="538">
        <f t="shared" si="27"/>
        <v>0.14618627343742446</v>
      </c>
      <c r="BG92" s="455">
        <f t="shared" si="28"/>
        <v>0.17179047908095396</v>
      </c>
    </row>
    <row r="93" spans="1:59" ht="15" customHeight="1">
      <c r="A93" s="449">
        <v>2014</v>
      </c>
      <c r="B93" s="676"/>
      <c r="C93" s="50" t="s">
        <v>487</v>
      </c>
      <c r="D93" s="51"/>
      <c r="E93" s="51"/>
      <c r="F93" s="51"/>
      <c r="G93" s="51"/>
      <c r="H93" s="51"/>
      <c r="I93" s="51" t="s">
        <v>554</v>
      </c>
      <c r="J93" s="524" t="s">
        <v>517</v>
      </c>
      <c r="K93" s="444">
        <f>'Comp Group'!M539*BT8</f>
        <v>72015.867968000006</v>
      </c>
      <c r="L93" s="444">
        <f>'Comp Group'!N539*BU8</f>
        <v>130212.43295500001</v>
      </c>
      <c r="M93" s="444">
        <f>'Comp Group'!O539*BV8</f>
        <v>194634.19115</v>
      </c>
      <c r="N93" s="444">
        <f>'Comp Group'!P539*BW8</f>
        <v>269166.26922000002</v>
      </c>
      <c r="O93" s="444">
        <f>'Comp Group'!Q539*BX8</f>
        <v>248461.268415</v>
      </c>
      <c r="P93" s="444">
        <f>'Comp Group'!M543*BT8</f>
        <v>93781.355580000003</v>
      </c>
      <c r="Q93" s="444">
        <f>'Comp Group'!N543*BU8</f>
        <v>-143138.61243000001</v>
      </c>
      <c r="R93" s="444">
        <f>'Comp Group'!O543*BV8</f>
        <v>-189650.989386</v>
      </c>
      <c r="S93" s="444">
        <f>'Comp Group'!P543*BW8</f>
        <v>571.82844</v>
      </c>
      <c r="T93" s="444">
        <f>'Comp Group'!Q543*BX8</f>
        <v>2295.1991600000001</v>
      </c>
      <c r="U93" s="443">
        <f>'Comp Group'!M542*BT8</f>
        <v>529464.11216600006</v>
      </c>
      <c r="V93" s="443">
        <f>'Comp Group'!N542*BU8</f>
        <v>734721.42219300009</v>
      </c>
      <c r="W93" s="443">
        <f>'Comp Group'!O542*BV8</f>
        <v>749309.24399800005</v>
      </c>
      <c r="X93" s="443">
        <f>'Comp Group'!P542*BW8</f>
        <v>1011150.92175</v>
      </c>
      <c r="Y93" s="443">
        <f>'Comp Group'!Q542*BX8</f>
        <v>1076391.8773960001</v>
      </c>
      <c r="Z93" s="443">
        <f>'Comp Group'!M537*BT8</f>
        <v>580691.49514200003</v>
      </c>
      <c r="AA93" s="443">
        <f>'Comp Group'!N537*BU8</f>
        <v>651391.70347900002</v>
      </c>
      <c r="AB93" s="443">
        <f>'Comp Group'!O537*BV8</f>
        <v>811721.00752800005</v>
      </c>
      <c r="AC93" s="443">
        <f>'Comp Group'!P537*BW8</f>
        <v>1333059.7680299999</v>
      </c>
      <c r="AD93" s="443">
        <f>'Comp Group'!Q537*BX8</f>
        <v>1420604.495931</v>
      </c>
      <c r="AE93" s="61">
        <f t="shared" si="21"/>
        <v>0.16149944740807179</v>
      </c>
      <c r="AF93" s="61">
        <f t="shared" si="21"/>
        <v>-0.21974276255825018</v>
      </c>
      <c r="AG93" s="61">
        <f t="shared" si="21"/>
        <v>-0.23364060758210456</v>
      </c>
      <c r="AH93" s="61">
        <f t="shared" si="21"/>
        <v>4.2895934129423915E-4</v>
      </c>
      <c r="AI93" s="61">
        <f t="shared" si="21"/>
        <v>1.6156496523656505E-3</v>
      </c>
      <c r="AJ93" s="61">
        <f t="shared" si="22"/>
        <v>-5.8426503433279597</v>
      </c>
      <c r="AK93" s="61">
        <f t="shared" si="22"/>
        <v>13.685639586919113</v>
      </c>
      <c r="AL93" s="61">
        <f t="shared" si="22"/>
        <v>-0.98694195993221467</v>
      </c>
      <c r="AM93" s="61">
        <f t="shared" si="22"/>
        <v>1.7168898072334262E-3</v>
      </c>
      <c r="AN93" s="61">
        <f t="shared" si="22"/>
        <v>6.6579211503363924E-3</v>
      </c>
      <c r="AO93" s="843"/>
      <c r="AP93" s="437"/>
      <c r="AQ93" s="443">
        <f>'Comp Group'!M547*BT8</f>
        <v>51227.504042</v>
      </c>
      <c r="AR93" s="443">
        <f>'Comp Group'!N547*BU8</f>
        <v>-83329.837767000005</v>
      </c>
      <c r="AS93" s="443">
        <f>'Comp Group'!O547*BV8</f>
        <v>62411.763530000004</v>
      </c>
      <c r="AT93" s="443">
        <f>'Comp Group'!P547*BW8</f>
        <v>321908.68708499998</v>
      </c>
      <c r="AU93" s="443">
        <f>'Comp Group'!Q547*BX8</f>
        <v>344212.61853500002</v>
      </c>
      <c r="AV93" s="827">
        <f>'Shareholder funds'!F93</f>
        <v>345251.58753600001</v>
      </c>
      <c r="AW93" s="443">
        <f>'Long Term Debt'!C59*BT8</f>
        <v>500328.36860600003</v>
      </c>
      <c r="AX93" s="443">
        <f>'Long Term Debt'!D59*BU8</f>
        <v>7995.5994800000008</v>
      </c>
      <c r="AY93" s="443">
        <f>'Long Term Debt'!E59*BV8</f>
        <v>16365.781692</v>
      </c>
      <c r="AZ93" s="443">
        <f>'Long Term Debt'!F59*BW8</f>
        <v>818322.63490499998</v>
      </c>
      <c r="BA93" s="443">
        <f>'Long Term Debt'!G59*BX8</f>
        <v>844157.05408100004</v>
      </c>
      <c r="BB93" s="553">
        <f t="shared" si="23"/>
        <v>2.7189243386690543E-3</v>
      </c>
      <c r="BC93" s="553">
        <f t="shared" si="24"/>
        <v>6.9878115991058249E-4</v>
      </c>
      <c r="BD93" s="553">
        <f t="shared" si="25"/>
        <v>-11.588263423965023</v>
      </c>
      <c r="BE93" s="538">
        <f t="shared" si="26"/>
        <v>-1.4136146630113688</v>
      </c>
      <c r="BF93" s="538">
        <f t="shared" si="27"/>
        <v>3.3053532005281552</v>
      </c>
      <c r="BG93" s="455">
        <f t="shared" si="28"/>
        <v>-10.773146946526923</v>
      </c>
    </row>
    <row r="94" spans="1:59" ht="15" customHeight="1">
      <c r="A94" s="449">
        <v>2014</v>
      </c>
      <c r="B94" s="676"/>
      <c r="C94" s="50" t="s">
        <v>487</v>
      </c>
      <c r="D94" s="51"/>
      <c r="E94" s="51"/>
      <c r="F94" s="51"/>
      <c r="G94" s="51"/>
      <c r="H94" s="51"/>
      <c r="I94" s="51" t="s">
        <v>554</v>
      </c>
      <c r="J94" s="524" t="s">
        <v>555</v>
      </c>
      <c r="K94" s="444">
        <f>'Comp Group'!V539*BT8</f>
        <v>43602.525229999999</v>
      </c>
      <c r="L94" s="444">
        <f>'Comp Group'!W539*BU8</f>
        <v>38989.024129000005</v>
      </c>
      <c r="M94" s="444">
        <f>'Comp Group'!X539*BV8</f>
        <v>78805.123393999995</v>
      </c>
      <c r="N94" s="444">
        <f>'Comp Group'!Y539*BW8</f>
        <v>49533.524250000002</v>
      </c>
      <c r="O94" s="444">
        <f>'Comp Group'!Z539*BX8</f>
        <v>10603.547692</v>
      </c>
      <c r="P94" s="444">
        <f>'Comp Group'!V543*BT8</f>
        <v>-3724.5954900000002</v>
      </c>
      <c r="Q94" s="444">
        <f>'Comp Group'!W543*BU8</f>
        <v>-2763.4582359999999</v>
      </c>
      <c r="R94" s="444">
        <f>'Comp Group'!X543*BV8</f>
        <v>330.68961200000001</v>
      </c>
      <c r="S94" s="444">
        <f>'Comp Group'!Y543*BW8</f>
        <v>3952.9710450000002</v>
      </c>
      <c r="T94" s="444">
        <f>'Comp Group'!Z543*BX8</f>
        <v>-2681.1944490000001</v>
      </c>
      <c r="U94" s="443">
        <f>'Comp Group'!V542*BT8</f>
        <v>20712.939808000003</v>
      </c>
      <c r="V94" s="443">
        <f>'Comp Group'!W542*BU8</f>
        <v>16148.467973000001</v>
      </c>
      <c r="W94" s="443">
        <f>'Comp Group'!X542*BV8</f>
        <v>22585.404834000001</v>
      </c>
      <c r="X94" s="443">
        <f>'Comp Group'!Y542*BW8</f>
        <v>17317.868880000002</v>
      </c>
      <c r="Y94" s="443">
        <f>'Comp Group'!Z542*BX8</f>
        <v>14016.038906</v>
      </c>
      <c r="Z94" s="443">
        <f>'Comp Group'!V537*BT8</f>
        <v>47114.528824000001</v>
      </c>
      <c r="AA94" s="443">
        <f>'Comp Group'!W537*BU8</f>
        <v>35548.03527</v>
      </c>
      <c r="AB94" s="443">
        <f>'Comp Group'!X537*BV8</f>
        <v>42144.043178</v>
      </c>
      <c r="AC94" s="443">
        <f>'Comp Group'!Y537*BW8</f>
        <v>41862.235590000004</v>
      </c>
      <c r="AD94" s="443">
        <f>'Comp Group'!Z537*BX8</f>
        <v>35962.603870999999</v>
      </c>
      <c r="AE94" s="61">
        <f t="shared" si="21"/>
        <v>-7.9054074888735851E-2</v>
      </c>
      <c r="AF94" s="61">
        <f t="shared" si="21"/>
        <v>-7.7738705247998932E-2</v>
      </c>
      <c r="AG94" s="61">
        <f t="shared" si="21"/>
        <v>7.8466513192219384E-3</v>
      </c>
      <c r="AH94" s="61">
        <f t="shared" si="21"/>
        <v>9.4428092271887185E-2</v>
      </c>
      <c r="AI94" s="61">
        <f t="shared" si="21"/>
        <v>-7.4555070000426119E-2</v>
      </c>
      <c r="AJ94" s="61">
        <f t="shared" si="22"/>
        <v>-0.16264112522558155</v>
      </c>
      <c r="AK94" s="61">
        <f t="shared" si="22"/>
        <v>-0.14186783967748809</v>
      </c>
      <c r="AL94" s="61">
        <f t="shared" si="22"/>
        <v>1.4996293575123868E-2</v>
      </c>
      <c r="AM94" s="61">
        <f t="shared" si="22"/>
        <v>0.17005400573632284</v>
      </c>
      <c r="AN94" s="61">
        <f t="shared" si="22"/>
        <v>-0.18146891179403843</v>
      </c>
      <c r="AO94" s="843"/>
      <c r="AP94" s="437"/>
      <c r="AQ94" s="443">
        <f>'Comp Group'!V547*BT8</f>
        <v>26401.831148000001</v>
      </c>
      <c r="AR94" s="443">
        <f>'Comp Group'!W547*BU8</f>
        <v>19399.567297000001</v>
      </c>
      <c r="AS94" s="443">
        <f>'Comp Group'!X547*BV8</f>
        <v>19558.638343999999</v>
      </c>
      <c r="AT94" s="443">
        <f>'Comp Group'!Y547*BW8</f>
        <v>24544.207515000002</v>
      </c>
      <c r="AU94" s="443">
        <f>'Comp Group'!Z547*BX8</f>
        <v>21946.564965000001</v>
      </c>
      <c r="AV94" s="827">
        <f>'Shareholder funds'!F94</f>
        <v>7603.3388999999997</v>
      </c>
      <c r="AW94" s="443">
        <f>'Long Term Debt'!C60*BT8</f>
        <v>5196.0316540000003</v>
      </c>
      <c r="AX94" s="443">
        <f>'Long Term Debt'!D60*BU8</f>
        <v>7646.417031</v>
      </c>
      <c r="AY94" s="443">
        <f>'Long Term Debt'!E60*BV8</f>
        <v>11751.903826</v>
      </c>
      <c r="AZ94" s="443">
        <f>'Long Term Debt'!F60*BW8</f>
        <v>9474.9680100000005</v>
      </c>
      <c r="BA94" s="443">
        <f>'Long Term Debt'!G60*BX8</f>
        <v>11412.826743</v>
      </c>
      <c r="BB94" s="553">
        <f t="shared" si="23"/>
        <v>-0.23492816542093722</v>
      </c>
      <c r="BC94" s="553">
        <f t="shared" si="24"/>
        <v>0.41720151886824153</v>
      </c>
      <c r="BD94" s="553">
        <f t="shared" si="25"/>
        <v>2.8139237428779825E-2</v>
      </c>
      <c r="BE94" s="538">
        <f t="shared" si="26"/>
        <v>-0.19081422335307036</v>
      </c>
      <c r="BF94" s="538">
        <f t="shared" si="27"/>
        <v>8.9412848713713078E-2</v>
      </c>
      <c r="BG94" s="455">
        <f t="shared" si="28"/>
        <v>2.2039725701263758E-2</v>
      </c>
    </row>
    <row r="95" spans="1:59" ht="15" customHeight="1">
      <c r="A95" s="449">
        <v>2013</v>
      </c>
      <c r="B95" s="676"/>
      <c r="C95" s="50" t="s">
        <v>487</v>
      </c>
      <c r="D95" s="51"/>
      <c r="E95" s="51"/>
      <c r="F95" s="51"/>
      <c r="G95" s="51"/>
      <c r="H95" s="51"/>
      <c r="I95" s="51" t="s">
        <v>144</v>
      </c>
      <c r="J95" s="524" t="s">
        <v>518</v>
      </c>
      <c r="K95" s="444">
        <f>'Comp Group'!M571*BU8</f>
        <v>776592.36229299998</v>
      </c>
      <c r="L95" s="444">
        <f>'Comp Group'!N571*BV8</f>
        <v>755991.11208600004</v>
      </c>
      <c r="M95" s="444">
        <f>'Comp Group'!O571*BW8</f>
        <v>803948.44076999999</v>
      </c>
      <c r="N95" s="444">
        <f>'Comp Group'!P571*BX8</f>
        <v>783158.73106400005</v>
      </c>
      <c r="O95" s="444">
        <f>'Comp Group'!Q571*BY8</f>
        <v>460306.73874</v>
      </c>
      <c r="P95" s="444">
        <f>'Comp Group'!M575*BU8</f>
        <v>56627.440397000006</v>
      </c>
      <c r="Q95" s="444">
        <f>'Comp Group'!N575*BV8</f>
        <v>61040.432716000003</v>
      </c>
      <c r="R95" s="444">
        <f>'Comp Group'!O575*BW8</f>
        <v>35804.388254999998</v>
      </c>
      <c r="S95" s="444">
        <f>'Comp Group'!P575*BX8</f>
        <v>13498.256959</v>
      </c>
      <c r="T95" s="444">
        <f>'Comp Group'!Q575*BY8</f>
        <v>56178.058163999995</v>
      </c>
      <c r="U95" s="443">
        <f>'Comp Group'!M574*BU8</f>
        <v>546809.35752299998</v>
      </c>
      <c r="V95" s="443">
        <f>'Comp Group'!N574*BV8</f>
        <v>585861.24479200004</v>
      </c>
      <c r="W95" s="443">
        <f>'Comp Group'!O574*BW8</f>
        <v>701742.06686999998</v>
      </c>
      <c r="X95" s="443">
        <f>'Comp Group'!P574*BX8</f>
        <v>668955.88668800006</v>
      </c>
      <c r="Y95" s="443">
        <f>'Comp Group'!Q574*BY8</f>
        <v>609414.36085199995</v>
      </c>
      <c r="Z95" s="443">
        <f>'Comp Group'!M569*BU8</f>
        <v>925472.18659500009</v>
      </c>
      <c r="AA95" s="443">
        <f>'Comp Group'!N569*BV8</f>
        <v>975826.28650000005</v>
      </c>
      <c r="AB95" s="443">
        <f>'Comp Group'!O569*BW8</f>
        <v>1097639.01813</v>
      </c>
      <c r="AC95" s="443">
        <f>'Comp Group'!P569*BX8</f>
        <v>1174247.3871019999</v>
      </c>
      <c r="AD95" s="443">
        <f>'Comp Group'!Q569*BY8</f>
        <v>1119556.7094719999</v>
      </c>
      <c r="AE95" s="61">
        <f t="shared" si="21"/>
        <v>6.1187619916859788E-2</v>
      </c>
      <c r="AF95" s="61">
        <f t="shared" si="21"/>
        <v>6.2552560389548387E-2</v>
      </c>
      <c r="AG95" s="61">
        <f t="shared" si="21"/>
        <v>3.2619456545921972E-2</v>
      </c>
      <c r="AH95" s="61">
        <f t="shared" si="21"/>
        <v>1.1495241213449246E-2</v>
      </c>
      <c r="AI95" s="61">
        <f t="shared" si="21"/>
        <v>5.0178841043697041E-2</v>
      </c>
      <c r="AJ95" s="61">
        <f t="shared" si="22"/>
        <v>0.14734683076098903</v>
      </c>
      <c r="AK95" s="61">
        <f t="shared" si="22"/>
        <v>0.15534644317246055</v>
      </c>
      <c r="AL95" s="61">
        <f t="shared" si="22"/>
        <v>7.9460379654203647E-2</v>
      </c>
      <c r="AM95" s="61">
        <f t="shared" si="22"/>
        <v>2.658618672568603E-2</v>
      </c>
      <c r="AN95" s="61">
        <f t="shared" si="22"/>
        <v>0.11780385160811929</v>
      </c>
      <c r="AO95" s="843"/>
      <c r="AP95" s="437"/>
      <c r="AQ95" s="443">
        <f>'Comp Group'!M579*BU8</f>
        <v>378662.82907199999</v>
      </c>
      <c r="AR95" s="443">
        <f>'Comp Group'!N579*BV8</f>
        <v>389965.041708</v>
      </c>
      <c r="AS95" s="443">
        <f>'Comp Group'!O579*BW8</f>
        <v>395896.95126</v>
      </c>
      <c r="AT95" s="443">
        <f>'Comp Group'!P579*BX8</f>
        <v>505291.50041400001</v>
      </c>
      <c r="AU95" s="443">
        <f>'Comp Group'!Q579*BY8</f>
        <v>510142.34862</v>
      </c>
      <c r="AV95" s="827">
        <f>'Shareholder funds'!F95</f>
        <v>443613.53282399999</v>
      </c>
      <c r="AW95" s="443">
        <f>'Long Term Debt'!C61*BU8</f>
        <v>274649.19929700001</v>
      </c>
      <c r="AX95" s="443">
        <f>'Long Term Debt'!D61*BV8</f>
        <v>262181.58174599998</v>
      </c>
      <c r="AY95" s="443">
        <f>'Long Term Debt'!E61*BW8</f>
        <v>371044.06464</v>
      </c>
      <c r="AZ95" s="443">
        <f>'Long Term Debt'!F61*BX8</f>
        <v>432618.820542</v>
      </c>
      <c r="BA95" s="443">
        <f>'Long Term Debt'!G61*BY8</f>
        <v>403964.14930799999</v>
      </c>
      <c r="BB95" s="553">
        <f t="shared" si="23"/>
        <v>0.13906694012385584</v>
      </c>
      <c r="BC95" s="553">
        <f t="shared" si="24"/>
        <v>3.120127076785266E-2</v>
      </c>
      <c r="BD95" s="553">
        <f t="shared" si="25"/>
        <v>9.649632393321983E-2</v>
      </c>
      <c r="BE95" s="538">
        <f t="shared" si="26"/>
        <v>0.14283979309343514</v>
      </c>
      <c r="BF95" s="538">
        <f t="shared" si="27"/>
        <v>8.4622296969403904E-2</v>
      </c>
      <c r="BG95" s="455">
        <f t="shared" si="28"/>
        <v>9.0351791632074033E-2</v>
      </c>
    </row>
    <row r="96" spans="1:59" ht="15" customHeight="1">
      <c r="A96" s="680">
        <v>2013</v>
      </c>
      <c r="B96" s="681"/>
      <c r="C96" s="53" t="s">
        <v>487</v>
      </c>
      <c r="D96" s="751"/>
      <c r="E96" s="751"/>
      <c r="F96" s="751"/>
      <c r="G96" s="751"/>
      <c r="H96" s="751"/>
      <c r="I96" s="751" t="s">
        <v>144</v>
      </c>
      <c r="J96" s="740" t="s">
        <v>556</v>
      </c>
      <c r="K96" s="756">
        <f>'Comp Group'!U571*BU8</f>
        <v>257.27353299999999</v>
      </c>
      <c r="L96" s="756">
        <f>'Comp Group'!V571*BV8</f>
        <v>165.469032</v>
      </c>
      <c r="M96" s="756">
        <f>'Comp Group'!W571*BW8</f>
        <v>205.99833000000001</v>
      </c>
      <c r="N96" s="756">
        <f>'Comp Group'!X571*BX8</f>
        <v>12.599758</v>
      </c>
      <c r="O96" s="756">
        <f>'Comp Group'!Y571*BY8</f>
        <v>34.384799999999998</v>
      </c>
      <c r="P96" s="756">
        <f>'Comp Group'!U575*BU8</f>
        <v>-9574.1232070000005</v>
      </c>
      <c r="Q96" s="756">
        <f>'Comp Group'!V575*BV8</f>
        <v>-17855.251432000001</v>
      </c>
      <c r="R96" s="756">
        <f>'Comp Group'!W575*BW8</f>
        <v>1331.6661750000001</v>
      </c>
      <c r="S96" s="756">
        <f>'Comp Group'!X575*BX8</f>
        <v>3428.8368460000002</v>
      </c>
      <c r="T96" s="756">
        <f>'Comp Group'!Y575*BY8</f>
        <v>-2252.892096</v>
      </c>
      <c r="U96" s="756">
        <f>'Comp Group'!U574*BU8</f>
        <v>8329.4240920000011</v>
      </c>
      <c r="V96" s="756">
        <f>'Comp Group'!V574*BV8</f>
        <v>14782.894</v>
      </c>
      <c r="W96" s="756">
        <f>'Comp Group'!W574*BW8</f>
        <v>15581.36982</v>
      </c>
      <c r="X96" s="756">
        <f>'Comp Group'!X574*BX8</f>
        <v>277.70547700000003</v>
      </c>
      <c r="Y96" s="756">
        <f>'Comp Group'!Y574*BY8</f>
        <v>7787.2975799999995</v>
      </c>
      <c r="Z96" s="756">
        <f>'Comp Group'!U569*BU8</f>
        <v>31686.313109000002</v>
      </c>
      <c r="AA96" s="756">
        <f>'Comp Group'!V569*BV8</f>
        <v>49144.799407999999</v>
      </c>
      <c r="AB96" s="756">
        <f>'Comp Group'!W569*BW8</f>
        <v>82497.396120000005</v>
      </c>
      <c r="AC96" s="756">
        <f>'Comp Group'!X569*BX8</f>
        <v>37102.200901999997</v>
      </c>
      <c r="AD96" s="756">
        <f>'Comp Group'!Y569*BY8</f>
        <v>25612.549823999998</v>
      </c>
      <c r="AE96" s="61">
        <f t="shared" si="21"/>
        <v>-0.30215327274161852</v>
      </c>
      <c r="AF96" s="61">
        <f t="shared" si="21"/>
        <v>-0.3633192453135427</v>
      </c>
      <c r="AG96" s="61">
        <f t="shared" si="21"/>
        <v>1.6141917655958134E-2</v>
      </c>
      <c r="AH96" s="61">
        <f t="shared" si="21"/>
        <v>9.2415995888135261E-2</v>
      </c>
      <c r="AI96" s="61">
        <f t="shared" si="21"/>
        <v>-8.7960476855332412E-2</v>
      </c>
      <c r="AJ96" s="61">
        <f t="shared" si="22"/>
        <v>-0.33174991599861253</v>
      </c>
      <c r="AK96" s="61">
        <f t="shared" si="22"/>
        <v>-0.35259862104058859</v>
      </c>
      <c r="AL96" s="61">
        <f t="shared" si="22"/>
        <v>2.5673060796196252E-2</v>
      </c>
      <c r="AM96" s="61">
        <f t="shared" si="22"/>
        <v>0.12548447797784859</v>
      </c>
      <c r="AN96" s="61">
        <f t="shared" si="22"/>
        <v>-0.11648094519549396</v>
      </c>
      <c r="AO96" s="843"/>
      <c r="AP96" s="437"/>
      <c r="AQ96" s="756">
        <f>'Comp Group'!U579*BU8</f>
        <v>23356.889017000001</v>
      </c>
      <c r="AR96" s="756">
        <f>'Comp Group'!V579*BV8</f>
        <v>34362.029633999999</v>
      </c>
      <c r="AS96" s="756">
        <f>'Comp Group'!W579*BW8</f>
        <v>66916.026299999998</v>
      </c>
      <c r="AT96" s="756">
        <f>'Comp Group'!X579*BX8</f>
        <v>36824.325158</v>
      </c>
      <c r="AU96" s="756">
        <f>'Comp Group'!Y579*BY8</f>
        <v>17825.252243999999</v>
      </c>
      <c r="AV96" s="827">
        <f>'Shareholder funds'!F96</f>
        <v>20857.333859999999</v>
      </c>
      <c r="AW96" s="756">
        <f>'Long Term Debt'!C62*BU8</f>
        <v>0</v>
      </c>
      <c r="AX96" s="756">
        <f>'Long Term Debt'!D62*BV8</f>
        <v>9044.1497039999995</v>
      </c>
      <c r="AY96" s="756">
        <f>'Long Term Debt'!E62*BW8</f>
        <v>0</v>
      </c>
      <c r="AZ96" s="756">
        <f>'Long Term Debt'!F62*BX8</f>
        <v>0</v>
      </c>
      <c r="BA96" s="756">
        <f>'Long Term Debt'!G62*BY8</f>
        <v>0</v>
      </c>
      <c r="BB96" s="743" t="e">
        <f t="shared" si="23"/>
        <v>#DIV/0!</v>
      </c>
      <c r="BC96" s="743" t="e">
        <f t="shared" si="24"/>
        <v>#DIV/0!</v>
      </c>
      <c r="BD96" s="743" t="e">
        <f t="shared" si="25"/>
        <v>#DIV/0!</v>
      </c>
      <c r="BE96" s="766" t="e">
        <f t="shared" si="26"/>
        <v>#DIV/0!</v>
      </c>
      <c r="BF96" s="766" t="e">
        <f t="shared" si="27"/>
        <v>#DIV/0!</v>
      </c>
      <c r="BG96" s="760" t="e">
        <f t="shared" si="28"/>
        <v>#DIV/0!</v>
      </c>
    </row>
    <row r="97" spans="1:59" s="800" customFormat="1" ht="15" customHeight="1">
      <c r="A97" s="449">
        <v>2012</v>
      </c>
      <c r="B97" s="792"/>
      <c r="C97" s="50" t="s">
        <v>435</v>
      </c>
      <c r="D97" s="794"/>
      <c r="E97" s="794"/>
      <c r="F97" s="794"/>
      <c r="G97" s="794"/>
      <c r="H97" s="794"/>
      <c r="I97" s="51" t="s">
        <v>145</v>
      </c>
      <c r="J97" s="524" t="s">
        <v>1069</v>
      </c>
      <c r="K97" s="795">
        <f>'More Comp Group'!D1133</f>
        <v>87788</v>
      </c>
      <c r="L97" s="795">
        <f>'More Comp Group'!E1133</f>
        <v>87641</v>
      </c>
      <c r="M97" s="795">
        <f>'More Comp Group'!F1133</f>
        <v>87353</v>
      </c>
      <c r="N97" s="795">
        <f>'More Comp Group'!G1133</f>
        <v>87791</v>
      </c>
      <c r="O97" s="795">
        <f>'More Comp Group'!H1133</f>
        <v>83866</v>
      </c>
      <c r="P97" s="795">
        <f>'More Comp Group'!D1137</f>
        <v>14710</v>
      </c>
      <c r="Q97" s="795">
        <f>'More Comp Group'!E1137</f>
        <v>22982</v>
      </c>
      <c r="R97" s="795">
        <f>'More Comp Group'!F1137</f>
        <v>30909</v>
      </c>
      <c r="S97" s="795">
        <f>'More Comp Group'!G1137</f>
        <v>-8880</v>
      </c>
      <c r="T97" s="795">
        <f>'More Comp Group'!H1137</f>
        <v>-7464</v>
      </c>
      <c r="U97" s="795">
        <f>'More Comp Group'!D1136</f>
        <v>682747</v>
      </c>
      <c r="V97" s="795">
        <f>'More Comp Group'!E1136</f>
        <v>765131</v>
      </c>
      <c r="W97" s="795">
        <f>'More Comp Group'!F1136</f>
        <v>860084</v>
      </c>
      <c r="X97" s="795">
        <f>'More Comp Group'!G1136</f>
        <v>919300</v>
      </c>
      <c r="Y97" s="795">
        <f>'More Comp Group'!H1136</f>
        <v>986891</v>
      </c>
      <c r="Z97" s="795">
        <f>'More Comp Group'!D1131</f>
        <v>906984</v>
      </c>
      <c r="AA97" s="795">
        <f>'More Comp Group'!E1131</f>
        <v>999676</v>
      </c>
      <c r="AB97" s="795">
        <f>'More Comp Group'!F1131</f>
        <v>932882</v>
      </c>
      <c r="AC97" s="795">
        <f>'More Comp Group'!G1131</f>
        <v>961189</v>
      </c>
      <c r="AD97" s="795">
        <f>'More Comp Group'!H1131</f>
        <v>1037660</v>
      </c>
      <c r="AE97" s="61">
        <f t="shared" si="21"/>
        <v>1.6218588200012349E-2</v>
      </c>
      <c r="AF97" s="61">
        <f t="shared" si="21"/>
        <v>2.2989448581340353E-2</v>
      </c>
      <c r="AG97" s="61">
        <f t="shared" si="21"/>
        <v>3.3132807793482995E-2</v>
      </c>
      <c r="AH97" s="61">
        <f t="shared" si="21"/>
        <v>-9.2385576613964581E-3</v>
      </c>
      <c r="AI97" s="61">
        <f t="shared" si="21"/>
        <v>-7.193107568953222E-3</v>
      </c>
      <c r="AJ97" s="61">
        <f t="shared" si="22"/>
        <v>6.4126317074340314E-2</v>
      </c>
      <c r="AK97" s="61">
        <f t="shared" si="22"/>
        <v>0.14955277979326029</v>
      </c>
      <c r="AL97" s="61">
        <f t="shared" si="22"/>
        <v>0.53901488398859509</v>
      </c>
      <c r="AM97" s="61">
        <f t="shared" si="22"/>
        <v>-0.19167260247361265</v>
      </c>
      <c r="AN97" s="61">
        <f t="shared" si="22"/>
        <v>-0.13695161556668686</v>
      </c>
      <c r="AO97" s="843"/>
      <c r="AP97" s="437"/>
      <c r="AQ97" s="795">
        <f>'More Comp Group'!D1141</f>
        <v>224237</v>
      </c>
      <c r="AR97" s="795">
        <f>'More Comp Group'!E1141</f>
        <v>234545</v>
      </c>
      <c r="AS97" s="795">
        <f>'More Comp Group'!F1141</f>
        <v>72798</v>
      </c>
      <c r="AT97" s="795">
        <f>'More Comp Group'!G1141</f>
        <v>41889</v>
      </c>
      <c r="AU97" s="795">
        <f>'More Comp Group'!H1141</f>
        <v>50769</v>
      </c>
      <c r="AV97" s="827">
        <f>'Shareholder funds'!F97</f>
        <v>58233</v>
      </c>
      <c r="AW97" s="795">
        <f>'More Comp Group'!D1139</f>
        <v>660783</v>
      </c>
      <c r="AX97" s="795">
        <f>'More Comp Group'!E1139</f>
        <v>683671</v>
      </c>
      <c r="AY97" s="795">
        <f>'More Comp Group'!F1139</f>
        <v>778390</v>
      </c>
      <c r="AZ97" s="795">
        <f>'More Comp Group'!G1139</f>
        <v>861360</v>
      </c>
      <c r="BA97" s="795">
        <f>'More Comp Group'!H1139</f>
        <v>919849</v>
      </c>
      <c r="BB97" s="798">
        <f t="shared" si="23"/>
        <v>-8.1143752942058976E-3</v>
      </c>
      <c r="BC97" s="798">
        <f t="shared" si="24"/>
        <v>-1.0309278350515464E-2</v>
      </c>
      <c r="BD97" s="798">
        <f t="shared" si="25"/>
        <v>3.9708886290933852E-2</v>
      </c>
      <c r="BE97" s="796">
        <f t="shared" si="26"/>
        <v>-4.5798960708969879E-3</v>
      </c>
      <c r="BF97" s="796">
        <f t="shared" si="27"/>
        <v>-3.3424260940033484E-3</v>
      </c>
      <c r="BG97" s="799">
        <f t="shared" si="28"/>
        <v>7.8672525872782728E-2</v>
      </c>
    </row>
    <row r="98" spans="1:59" s="800" customFormat="1" ht="15" customHeight="1">
      <c r="A98" s="449">
        <v>2012</v>
      </c>
      <c r="B98" s="792"/>
      <c r="C98" s="50" t="s">
        <v>487</v>
      </c>
      <c r="D98" s="794"/>
      <c r="E98" s="794"/>
      <c r="F98" s="794"/>
      <c r="G98" s="794"/>
      <c r="H98" s="794"/>
      <c r="I98" s="51" t="s">
        <v>145</v>
      </c>
      <c r="J98" s="524" t="s">
        <v>515</v>
      </c>
      <c r="K98" s="795">
        <f>'More Comp Group'!D1118*BV8</f>
        <v>1297.2921180000001</v>
      </c>
      <c r="L98" s="795">
        <f>'More Comp Group'!E1118*BW8</f>
        <v>614.17430999999999</v>
      </c>
      <c r="M98" s="795">
        <f>'More Comp Group'!F1118*BX8</f>
        <v>707.459385</v>
      </c>
      <c r="N98" s="795">
        <f>'More Comp Group'!G1118*BY8</f>
        <v>760.07600400000001</v>
      </c>
      <c r="O98" s="795">
        <f>'More Comp Group'!H1118*BZ8</f>
        <v>5888.6673120000005</v>
      </c>
      <c r="P98" s="795">
        <f>'More Comp Group'!D1122*BV8</f>
        <v>-4486.0493120000001</v>
      </c>
      <c r="Q98" s="795">
        <f>'More Comp Group'!E1122*BW8</f>
        <v>-1663.1101650000001</v>
      </c>
      <c r="R98" s="795">
        <f>'More Comp Group'!F1122*BX8</f>
        <v>-1539.2136800000001</v>
      </c>
      <c r="S98" s="795">
        <f>'More Comp Group'!G1122*BY8</f>
        <v>-4632.8360279999997</v>
      </c>
      <c r="T98" s="795">
        <f>'More Comp Group'!H1122*BZ8</f>
        <v>3800.3442840000002</v>
      </c>
      <c r="U98" s="795">
        <f>'More Comp Group'!D1121*BV8</f>
        <v>27501.773010000001</v>
      </c>
      <c r="V98" s="795">
        <f>'More Comp Group'!E1121*BW8</f>
        <v>7492.1942850000005</v>
      </c>
      <c r="W98" s="795">
        <f>'More Comp Group'!F1121*BX8</f>
        <v>3213.278824</v>
      </c>
      <c r="X98" s="795">
        <f>'More Comp Group'!G1121*BY8</f>
        <v>16401.893447999999</v>
      </c>
      <c r="Y98" s="795">
        <f>'More Comp Group'!H1121*BZ8</f>
        <v>20146.164588</v>
      </c>
      <c r="Z98" s="795">
        <f>'More Comp Group'!D1116*BV8</f>
        <v>67309.497805999999</v>
      </c>
      <c r="AA98" s="795">
        <f>'More Comp Group'!E1116*BW8</f>
        <v>64251.420389999999</v>
      </c>
      <c r="AB98" s="795">
        <f>'More Comp Group'!F1116*BX8</f>
        <v>65496.436623000001</v>
      </c>
      <c r="AC98" s="795">
        <f>'More Comp Group'!G1116*BY8</f>
        <v>66385.014119999993</v>
      </c>
      <c r="AD98" s="795">
        <f>'More Comp Group'!H1116*BZ8</f>
        <v>76874.147855999996</v>
      </c>
      <c r="AE98" s="61">
        <f t="shared" si="21"/>
        <v>-6.664808768785839E-2</v>
      </c>
      <c r="AF98" s="61">
        <f t="shared" si="21"/>
        <v>-2.5884410880025372E-2</v>
      </c>
      <c r="AG98" s="61">
        <f t="shared" si="21"/>
        <v>-2.3500723999074529E-2</v>
      </c>
      <c r="AH98" s="61">
        <f t="shared" si="21"/>
        <v>-6.9787377308160467E-2</v>
      </c>
      <c r="AI98" s="61">
        <f t="shared" si="21"/>
        <v>4.9435920787294751E-2</v>
      </c>
      <c r="AJ98" s="61">
        <f t="shared" si="22"/>
        <v>-9.2910535109408277E-2</v>
      </c>
      <c r="AK98" s="61">
        <f t="shared" si="22"/>
        <v>-2.7941479504328324E-2</v>
      </c>
      <c r="AL98" s="61">
        <f t="shared" si="22"/>
        <v>-2.7420766074429042E-2</v>
      </c>
      <c r="AM98" s="61">
        <f t="shared" si="22"/>
        <v>-8.6829647724734851E-2</v>
      </c>
      <c r="AN98" s="61">
        <f t="shared" si="22"/>
        <v>7.2070316140345411E-2</v>
      </c>
      <c r="AO98" s="843"/>
      <c r="AP98" s="437"/>
      <c r="AQ98" s="795">
        <f>'More Comp Group'!D1126*BV8</f>
        <v>39807.849022000002</v>
      </c>
      <c r="AR98" s="795">
        <f>'More Comp Group'!E1126*BW8</f>
        <v>56759.226105000002</v>
      </c>
      <c r="AS98" s="795">
        <f>'More Comp Group'!F1126*BX8</f>
        <v>62283.157799000001</v>
      </c>
      <c r="AT98" s="795">
        <f>'More Comp Group'!G1126*BY8</f>
        <v>49983.120671999997</v>
      </c>
      <c r="AU98" s="795">
        <f>'More Comp Group'!H1126*BZ8</f>
        <v>56727.804671999998</v>
      </c>
      <c r="AV98" s="827">
        <f>'Shareholder funds'!F98</f>
        <v>48734.318640999998</v>
      </c>
      <c r="AW98" s="795">
        <f>'More Comp Group'!D1124*BV8</f>
        <v>26313.302867999999</v>
      </c>
      <c r="AX98" s="795">
        <f>'More Comp Group'!E1124*BW8</f>
        <v>2228.0932200000002</v>
      </c>
      <c r="AY98" s="795">
        <f>'More Comp Group'!F1124*BX8</f>
        <v>1702.4997330000001</v>
      </c>
      <c r="AZ98" s="795">
        <f>'More Comp Group'!G1124*BY8</f>
        <v>2291.4030720000001</v>
      </c>
      <c r="BA98" s="795">
        <f>'More Comp Group'!H1124*BZ8</f>
        <v>15846.82308</v>
      </c>
      <c r="BB98" s="798">
        <f t="shared" si="23"/>
        <v>0.23981742364476502</v>
      </c>
      <c r="BC98" s="798">
        <f t="shared" si="24"/>
        <v>-2.0218337334933971</v>
      </c>
      <c r="BD98" s="798">
        <f t="shared" si="25"/>
        <v>-0.9040904090409041</v>
      </c>
      <c r="BE98" s="796">
        <f t="shared" si="26"/>
        <v>-5.7133696109079035E-3</v>
      </c>
      <c r="BF98" s="796">
        <f t="shared" si="27"/>
        <v>-0.52057688419980697</v>
      </c>
      <c r="BG98" s="799">
        <f t="shared" si="28"/>
        <v>-7.0430495223550285E-2</v>
      </c>
    </row>
    <row r="99" spans="1:59" ht="15" customHeight="1">
      <c r="A99" s="449">
        <v>2012</v>
      </c>
      <c r="B99" s="676"/>
      <c r="C99" s="50" t="s">
        <v>487</v>
      </c>
      <c r="D99" s="51"/>
      <c r="E99" s="51"/>
      <c r="F99" s="51"/>
      <c r="G99" s="51"/>
      <c r="H99" s="51"/>
      <c r="I99" s="51" t="s">
        <v>145</v>
      </c>
      <c r="J99" s="524" t="s">
        <v>557</v>
      </c>
      <c r="K99" s="444">
        <f>'Comp Group'!M588*BV8</f>
        <v>42904.803202000003</v>
      </c>
      <c r="L99" s="444">
        <f>'Comp Group'!N588*BW8</f>
        <v>47304.794249999999</v>
      </c>
      <c r="M99" s="444">
        <f>'Comp Group'!O588*BX8</f>
        <v>40544.488840999999</v>
      </c>
      <c r="N99" s="444">
        <f>'Comp Group'!P588*BY8</f>
        <v>30331.004003999999</v>
      </c>
      <c r="O99" s="444">
        <f>'Comp Group'!Q588*BZ8</f>
        <v>26068.050756000001</v>
      </c>
      <c r="P99" s="444">
        <f>'Comp Group'!M592*BV8</f>
        <v>20672.821338000002</v>
      </c>
      <c r="Q99" s="444">
        <f>'Comp Group'!N592*BW8</f>
        <v>24550.734510000002</v>
      </c>
      <c r="R99" s="444">
        <f>'Comp Group'!O592*BX8</f>
        <v>18683.908711</v>
      </c>
      <c r="S99" s="444">
        <f>'Comp Group'!P592*BY8</f>
        <v>11631.862068</v>
      </c>
      <c r="T99" s="444">
        <f>'Comp Group'!Q592*BZ8</f>
        <v>8509.2064200000004</v>
      </c>
      <c r="U99" s="443">
        <f>'Comp Group'!M591*BV8</f>
        <v>1235904.7220660001</v>
      </c>
      <c r="V99" s="443">
        <f>'Comp Group'!N591*BW8</f>
        <v>1638074.681715</v>
      </c>
      <c r="W99" s="443">
        <f>'Comp Group'!O591*BX8</f>
        <v>1357230.437463</v>
      </c>
      <c r="X99" s="443">
        <f>'Comp Group'!P591*BY8</f>
        <v>1284550.2811079999</v>
      </c>
      <c r="Y99" s="443">
        <f>'Comp Group'!Q591*BZ8</f>
        <v>1227669.6183840001</v>
      </c>
      <c r="Z99" s="443">
        <f>'Comp Group'!M586*BV8</f>
        <v>1383878.633808</v>
      </c>
      <c r="AA99" s="443">
        <f>'Comp Group'!N586*BW8</f>
        <v>1805270.0264399999</v>
      </c>
      <c r="AB99" s="443">
        <f>'Comp Group'!O586*BX8</f>
        <v>1513640.2576679999</v>
      </c>
      <c r="AC99" s="443">
        <f>'Comp Group'!P586*BY8</f>
        <v>1424118.872004</v>
      </c>
      <c r="AD99" s="443">
        <f>'Comp Group'!Q586*BZ8</f>
        <v>1365134.423796</v>
      </c>
      <c r="AE99" s="61">
        <f t="shared" si="21"/>
        <v>1.4938319613415E-2</v>
      </c>
      <c r="AF99" s="61">
        <f t="shared" si="21"/>
        <v>1.3599480493460667E-2</v>
      </c>
      <c r="AG99" s="61">
        <f t="shared" si="21"/>
        <v>1.2343691716937742E-2</v>
      </c>
      <c r="AH99" s="61">
        <f t="shared" si="21"/>
        <v>8.1677606389920308E-3</v>
      </c>
      <c r="AI99" s="61">
        <f t="shared" si="21"/>
        <v>6.2332370143730114E-3</v>
      </c>
      <c r="AJ99" s="61">
        <f t="shared" si="22"/>
        <v>0.13118551961405894</v>
      </c>
      <c r="AK99" s="61">
        <f t="shared" si="22"/>
        <v>0.15173272919082703</v>
      </c>
      <c r="AL99" s="61">
        <f t="shared" si="22"/>
        <v>0.12625190729124516</v>
      </c>
      <c r="AM99" s="61">
        <f t="shared" si="22"/>
        <v>8.3974439349311772E-2</v>
      </c>
      <c r="AN99" s="61">
        <f t="shared" si="22"/>
        <v>6.5128575815934231E-2</v>
      </c>
      <c r="AO99" s="843"/>
      <c r="AP99" s="437"/>
      <c r="AQ99" s="443">
        <f>'Comp Group'!M596*BV8</f>
        <v>147973.911742</v>
      </c>
      <c r="AR99" s="443">
        <f>'Comp Group'!N596*BW8</f>
        <v>167195.344725</v>
      </c>
      <c r="AS99" s="443">
        <f>'Comp Group'!O596*BX8</f>
        <v>156409.64993799999</v>
      </c>
      <c r="AT99" s="443">
        <f>'Comp Group'!P596*BY8</f>
        <v>139568.59089600001</v>
      </c>
      <c r="AU99" s="443">
        <f>'Comp Group'!Q596*BZ8</f>
        <v>137464.80541200002</v>
      </c>
      <c r="AV99" s="827">
        <f>'Shareholder funds'!F99</f>
        <v>123840.04621100001</v>
      </c>
      <c r="AW99" s="443">
        <f>'Long Term Debt'!C63*BV8</f>
        <v>38429.064648</v>
      </c>
      <c r="AX99" s="443">
        <f>'Long Term Debt'!D63*BW8</f>
        <v>49176.927450000003</v>
      </c>
      <c r="AY99" s="443">
        <f>'Long Term Debt'!E63*BX8</f>
        <v>39812.681275000003</v>
      </c>
      <c r="AZ99" s="443">
        <f>'Long Term Debt'!F63*BY8</f>
        <v>40070.670527999995</v>
      </c>
      <c r="BA99" s="443">
        <f>'Long Term Debt'!G63*BZ8</f>
        <v>22202.16174</v>
      </c>
      <c r="BB99" s="553">
        <f t="shared" si="23"/>
        <v>0.38326026625909987</v>
      </c>
      <c r="BC99" s="553">
        <f t="shared" si="24"/>
        <v>0.29028368916043118</v>
      </c>
      <c r="BD99" s="553">
        <f t="shared" si="25"/>
        <v>0.46929541323639473</v>
      </c>
      <c r="BE99" s="538">
        <f t="shared" si="26"/>
        <v>0.35787712054625104</v>
      </c>
      <c r="BF99" s="538">
        <f t="shared" si="27"/>
        <v>0.27670521433618112</v>
      </c>
      <c r="BG99" s="455">
        <f t="shared" si="28"/>
        <v>0.43384754479990661</v>
      </c>
    </row>
    <row r="100" spans="1:59" ht="15" customHeight="1">
      <c r="A100" s="449">
        <v>2006</v>
      </c>
      <c r="B100" s="676"/>
      <c r="C100" s="50" t="s">
        <v>487</v>
      </c>
      <c r="D100" s="51"/>
      <c r="E100" s="51"/>
      <c r="F100" s="51"/>
      <c r="G100" s="51"/>
      <c r="H100" s="51"/>
      <c r="I100" s="51" t="s">
        <v>558</v>
      </c>
      <c r="J100" s="524" t="s">
        <v>522</v>
      </c>
      <c r="K100" s="444">
        <f>'Comp Group'!M620*CB8</f>
        <v>90366.071769999995</v>
      </c>
      <c r="L100" s="444">
        <f>'Comp Group'!N620*CC8</f>
        <v>99473.256582000002</v>
      </c>
      <c r="M100" s="444">
        <f>'Comp Group'!O620*CD8</f>
        <v>79202.953664000001</v>
      </c>
      <c r="N100" s="444">
        <f>'Comp Group'!P620*CE8</f>
        <v>59012.570591999996</v>
      </c>
      <c r="O100" s="444">
        <f>'Comp Group'!Q620*CF8</f>
        <v>60736.646712999995</v>
      </c>
      <c r="P100" s="444">
        <f>'Comp Group'!M624*CB8</f>
        <v>-1384.72659</v>
      </c>
      <c r="Q100" s="444">
        <f>'Comp Group'!N624*CC8</f>
        <v>2396.7271660000001</v>
      </c>
      <c r="R100" s="444">
        <f>'Comp Group'!O624*CD8</f>
        <v>6116.3984399999999</v>
      </c>
      <c r="S100" s="444">
        <f>'Comp Group'!P624*CE8</f>
        <v>3026.6219040000001</v>
      </c>
      <c r="T100" s="444">
        <f>'Comp Group'!Q624*CF8</f>
        <v>90.183619999999991</v>
      </c>
      <c r="U100" s="443">
        <f>'Comp Group'!M623*CB8</f>
        <v>58931.643810000001</v>
      </c>
      <c r="V100" s="443">
        <f>'Comp Group'!N623*CC8</f>
        <v>80449.560563999999</v>
      </c>
      <c r="W100" s="443">
        <f>'Comp Group'!O623*CD8</f>
        <v>40233.222335999999</v>
      </c>
      <c r="X100" s="443">
        <f>'Comp Group'!P623*CE8</f>
        <v>28397.762387999999</v>
      </c>
      <c r="Y100" s="443">
        <f>'Comp Group'!Q623*CF8</f>
        <v>33051.830262999996</v>
      </c>
      <c r="Z100" s="443">
        <f>'Comp Group'!M618*CB8</f>
        <v>117111.09045999999</v>
      </c>
      <c r="AA100" s="443">
        <f>'Comp Group'!N618*CC8</f>
        <v>156195.02043800001</v>
      </c>
      <c r="AB100" s="443">
        <f>'Comp Group'!O618*CD8</f>
        <v>60849.993879999995</v>
      </c>
      <c r="AC100" s="443">
        <f>'Comp Group'!P618*CE8</f>
        <v>42404.084364000002</v>
      </c>
      <c r="AD100" s="443">
        <f>'Comp Group'!Q618*CF8</f>
        <v>56505.324555999992</v>
      </c>
      <c r="AE100" s="61">
        <f t="shared" si="21"/>
        <v>-1.1824043176106894E-2</v>
      </c>
      <c r="AF100" s="61">
        <f t="shared" si="21"/>
        <v>1.5344453102788614E-2</v>
      </c>
      <c r="AG100" s="61">
        <f t="shared" si="21"/>
        <v>0.10051600747999945</v>
      </c>
      <c r="AH100" s="61">
        <f t="shared" si="21"/>
        <v>7.1375716499836178E-2</v>
      </c>
      <c r="AI100" s="61">
        <f t="shared" si="21"/>
        <v>1.5960198566884239E-3</v>
      </c>
      <c r="AJ100" s="61">
        <f t="shared" si="22"/>
        <v>-2.0679094100248471E-2</v>
      </c>
      <c r="AK100" s="61">
        <f t="shared" si="22"/>
        <v>4.9743933644306425E-2</v>
      </c>
      <c r="AL100" s="61">
        <f t="shared" si="22"/>
        <v>0.35331004041814518</v>
      </c>
      <c r="AM100" s="61">
        <f t="shared" si="22"/>
        <v>0.16159231638117758</v>
      </c>
      <c r="AN100" s="61">
        <f t="shared" si="22"/>
        <v>4.3712039031189682E-3</v>
      </c>
      <c r="AO100" s="843"/>
      <c r="AP100" s="437"/>
      <c r="AQ100" s="443">
        <f>'Comp Group'!M628*CB8</f>
        <v>58179.446649999998</v>
      </c>
      <c r="AR100" s="443">
        <f>'Comp Group'!N628*CC8</f>
        <v>75745.819445999994</v>
      </c>
      <c r="AS100" s="443">
        <f>'Comp Group'!O628*CD8</f>
        <v>20616.771543999999</v>
      </c>
      <c r="AT100" s="443">
        <f>'Comp Group'!P628*CE8</f>
        <v>14006.634192</v>
      </c>
      <c r="AU100" s="443">
        <f>'Comp Group'!Q628*CF8</f>
        <v>23453.338803999999</v>
      </c>
      <c r="AV100" s="827">
        <f>'Shareholder funds'!F100</f>
        <v>17809.261613999999</v>
      </c>
      <c r="AW100" s="443">
        <f>'Long Term Debt'!C64*CB8</f>
        <v>15668.484129999999</v>
      </c>
      <c r="AX100" s="443">
        <f>'Long Term Debt'!D64*CC8</f>
        <v>22688.813414</v>
      </c>
      <c r="AY100" s="443">
        <f>'Long Term Debt'!E64*CD8</f>
        <v>17163.389159999999</v>
      </c>
      <c r="AZ100" s="443">
        <f>'Long Term Debt'!F64*CE8</f>
        <v>10742.728128000001</v>
      </c>
      <c r="BA100" s="443">
        <f>'Long Term Debt'!G64*CF8</f>
        <v>8973.7366569999995</v>
      </c>
      <c r="BB100" s="553">
        <f t="shared" si="23"/>
        <v>1.004972883059276E-2</v>
      </c>
      <c r="BC100" s="553">
        <f t="shared" si="24"/>
        <v>0.2817368053940944</v>
      </c>
      <c r="BD100" s="553">
        <f t="shared" si="25"/>
        <v>0.35636309256766863</v>
      </c>
      <c r="BE100" s="538">
        <f t="shared" si="26"/>
        <v>-2.7047413735507616E-3</v>
      </c>
      <c r="BF100" s="538">
        <f t="shared" si="27"/>
        <v>0.20510703226147903</v>
      </c>
      <c r="BG100" s="455">
        <f t="shared" si="28"/>
        <v>0.35532867868091011</v>
      </c>
    </row>
    <row r="101" spans="1:59" ht="15" customHeight="1">
      <c r="A101" s="449">
        <v>2006</v>
      </c>
      <c r="B101" s="676"/>
      <c r="C101" s="50" t="s">
        <v>487</v>
      </c>
      <c r="D101" s="51"/>
      <c r="E101" s="51"/>
      <c r="F101" s="51"/>
      <c r="G101" s="51"/>
      <c r="H101" s="51"/>
      <c r="I101" s="51" t="s">
        <v>558</v>
      </c>
      <c r="J101" s="524" t="s">
        <v>523</v>
      </c>
      <c r="K101" s="444">
        <f>'Comp Group'!V620*CB8</f>
        <v>2330724.7599999998</v>
      </c>
      <c r="L101" s="444">
        <f>'Comp Group'!W620*CC8</f>
        <v>2655043.6908</v>
      </c>
      <c r="M101" s="444">
        <f>'Comp Group'!X620*CD8</f>
        <v>2260440.8536</v>
      </c>
      <c r="N101" s="444">
        <f>'Comp Group'!Y620*CE8</f>
        <v>1365476.676</v>
      </c>
      <c r="O101" s="444">
        <f>'Comp Group'!Z620*CF8</f>
        <v>541490.4425</v>
      </c>
      <c r="P101" s="444">
        <f>'Comp Group'!V624*CB8</f>
        <v>61191.909999999996</v>
      </c>
      <c r="Q101" s="444">
        <f>'Comp Group'!W624*CC8</f>
        <v>77505.744600000005</v>
      </c>
      <c r="R101" s="444">
        <f>'Comp Group'!X624*CD8</f>
        <v>72414.598399999988</v>
      </c>
      <c r="S101" s="444">
        <f>'Comp Group'!Y624*CE8</f>
        <v>-6775.0871999999999</v>
      </c>
      <c r="T101" s="444">
        <f>'Comp Group'!Z624*CF8</f>
        <v>-23789.816999999999</v>
      </c>
      <c r="U101" s="443">
        <f>'Comp Group'!V623*CB8</f>
        <v>693881.11</v>
      </c>
      <c r="V101" s="443">
        <f>'Comp Group'!W623*CC8</f>
        <v>975123.30680000002</v>
      </c>
      <c r="W101" s="443">
        <f>'Comp Group'!X623*CD8</f>
        <v>791256.11039999989</v>
      </c>
      <c r="X101" s="443">
        <f>'Comp Group'!Y623*CE8</f>
        <v>732365.07120000001</v>
      </c>
      <c r="Y101" s="443">
        <f>'Comp Group'!Z623*CF8</f>
        <v>255110.80229999998</v>
      </c>
      <c r="Z101" s="443">
        <f>'Comp Group'!V618*CB8</f>
        <v>1143314.1199999999</v>
      </c>
      <c r="AA101" s="443">
        <f>'Comp Group'!W618*CC8</f>
        <v>1489005.6306</v>
      </c>
      <c r="AB101" s="443">
        <f>'Comp Group'!X618*CD8</f>
        <v>1150659.7552</v>
      </c>
      <c r="AC101" s="443">
        <f>'Comp Group'!Y618*CE8</f>
        <v>1006178.5032</v>
      </c>
      <c r="AD101" s="443">
        <f>'Comp Group'!Z618*CF8</f>
        <v>268560.60079999996</v>
      </c>
      <c r="AE101" s="61">
        <f t="shared" si="21"/>
        <v>5.3521520402459478E-2</v>
      </c>
      <c r="AF101" s="61">
        <f t="shared" si="21"/>
        <v>5.2052015793095957E-2</v>
      </c>
      <c r="AG101" s="61">
        <f t="shared" si="21"/>
        <v>6.293311126312344E-2</v>
      </c>
      <c r="AH101" s="61">
        <f t="shared" si="21"/>
        <v>-6.7334843454246434E-3</v>
      </c>
      <c r="AI101" s="61">
        <f t="shared" si="21"/>
        <v>-8.858267716535434E-2</v>
      </c>
      <c r="AJ101" s="61">
        <f t="shared" si="22"/>
        <v>0.12704440146014417</v>
      </c>
      <c r="AK101" s="61">
        <f t="shared" si="22"/>
        <v>0.17750369841451269</v>
      </c>
      <c r="AL101" s="61">
        <f t="shared" si="22"/>
        <v>0.22871966361346874</v>
      </c>
      <c r="AM101" s="61">
        <f t="shared" si="22"/>
        <v>-4.7169887967962551E-2</v>
      </c>
      <c r="AN101" s="61">
        <f t="shared" si="22"/>
        <v>-0.36185691108647561</v>
      </c>
      <c r="AO101" s="843"/>
      <c r="AP101" s="437"/>
      <c r="AQ101" s="443">
        <f>'Comp Group'!V628*CB8</f>
        <v>449433.01</v>
      </c>
      <c r="AR101" s="443">
        <f>'Comp Group'!W628*CC8</f>
        <v>513882.32380000001</v>
      </c>
      <c r="AS101" s="443">
        <f>'Comp Group'!X628*CD8</f>
        <v>359403.64479999995</v>
      </c>
      <c r="AT101" s="443">
        <f>'Comp Group'!Y628*CE8</f>
        <v>273813.43199999997</v>
      </c>
      <c r="AU101" s="443">
        <f>'Comp Group'!Z628*CF8</f>
        <v>13449.798499999999</v>
      </c>
      <c r="AV101" s="827">
        <f>'Shareholder funds'!F101</f>
        <v>118037.628</v>
      </c>
      <c r="AW101" s="443">
        <f>'Long Term Debt'!C65*CB8</f>
        <v>17574.7</v>
      </c>
      <c r="AX101" s="443">
        <f>'Long Term Debt'!D65*CC8</f>
        <v>28136.509000000002</v>
      </c>
      <c r="AY101" s="443">
        <f>'Long Term Debt'!E65*CD8</f>
        <v>19369.878399999998</v>
      </c>
      <c r="AZ101" s="443">
        <f>'Long Term Debt'!F65*CE8</f>
        <v>10100.187599999999</v>
      </c>
      <c r="BA101" s="443">
        <f>'Long Term Debt'!G65*CF8</f>
        <v>4509.1809999999996</v>
      </c>
      <c r="BB101" s="553">
        <f t="shared" si="23"/>
        <v>-5.2758620689655178</v>
      </c>
      <c r="BC101" s="553">
        <f t="shared" si="24"/>
        <v>-0.67078825347758886</v>
      </c>
      <c r="BD101" s="553">
        <f t="shared" si="25"/>
        <v>3.7385159010600706</v>
      </c>
      <c r="BE101" s="538">
        <f t="shared" si="26"/>
        <v>-5.0052788072171275</v>
      </c>
      <c r="BF101" s="538">
        <f t="shared" si="27"/>
        <v>-0.43994081443288319</v>
      </c>
      <c r="BG101" s="455">
        <f t="shared" si="28"/>
        <v>2.6422460832072852</v>
      </c>
    </row>
    <row r="102" spans="1:59" ht="15" customHeight="1">
      <c r="A102" s="680">
        <v>2006</v>
      </c>
      <c r="B102" s="681"/>
      <c r="C102" s="53" t="s">
        <v>487</v>
      </c>
      <c r="D102" s="751"/>
      <c r="E102" s="751"/>
      <c r="F102" s="751"/>
      <c r="G102" s="751"/>
      <c r="H102" s="751"/>
      <c r="I102" s="751" t="s">
        <v>558</v>
      </c>
      <c r="J102" s="740" t="s">
        <v>524</v>
      </c>
      <c r="K102" s="756">
        <f>'Comp Group'!AE620*CB8</f>
        <v>97897.150259999995</v>
      </c>
      <c r="L102" s="756">
        <f>'Comp Group'!AF620*CC8</f>
        <v>89372.699315999998</v>
      </c>
      <c r="M102" s="756">
        <f>'Comp Group'!AG620*CD8</f>
        <v>53980.018191999996</v>
      </c>
      <c r="N102" s="756">
        <f>'Comp Group'!AH620*CE8</f>
        <v>33373.392672000002</v>
      </c>
      <c r="O102" s="756">
        <f>'Comp Group'!AI620*CF8</f>
        <v>23938.153505999999</v>
      </c>
      <c r="P102" s="756">
        <f>'Comp Group'!AE624*CB8</f>
        <v>4546.5748899999999</v>
      </c>
      <c r="Q102" s="756">
        <f>'Comp Group'!AF624*CC8</f>
        <v>15767.951344000001</v>
      </c>
      <c r="R102" s="756">
        <f>'Comp Group'!AG624*CD8</f>
        <v>2133.4244159999998</v>
      </c>
      <c r="S102" s="756">
        <f>'Comp Group'!AH624*CE8</f>
        <v>-2839.760628</v>
      </c>
      <c r="T102" s="756">
        <f>'Comp Group'!AI624*CF8</f>
        <v>435.21371099999999</v>
      </c>
      <c r="U102" s="756">
        <f>'Comp Group'!AE623*CB8</f>
        <v>34955.758759999997</v>
      </c>
      <c r="V102" s="756">
        <f>'Comp Group'!AF623*CC8</f>
        <v>36870.692666000003</v>
      </c>
      <c r="W102" s="756">
        <f>'Comp Group'!AG623*CD8</f>
        <v>13956.236943999998</v>
      </c>
      <c r="X102" s="756">
        <f>'Comp Group'!AH623*CE8</f>
        <v>9804.8312640000004</v>
      </c>
      <c r="Y102" s="756">
        <f>'Comp Group'!AI623*CF8</f>
        <v>5528.4113949999992</v>
      </c>
      <c r="Z102" s="756">
        <f>'Comp Group'!AE618*CB8</f>
        <v>131285.56531999999</v>
      </c>
      <c r="AA102" s="756">
        <f>'Comp Group'!AF618*CC8</f>
        <v>144421.01508400001</v>
      </c>
      <c r="AB102" s="756">
        <f>'Comp Group'!AG618*CD8</f>
        <v>105016.56775999999</v>
      </c>
      <c r="AC102" s="756">
        <f>'Comp Group'!AH618*CE8</f>
        <v>87776.094024000005</v>
      </c>
      <c r="AD102" s="756">
        <f>'Comp Group'!AI618*CF8</f>
        <v>50612.446944999996</v>
      </c>
      <c r="AE102" s="61">
        <f t="shared" si="21"/>
        <v>3.463118644397821E-2</v>
      </c>
      <c r="AF102" s="61">
        <f t="shared" si="21"/>
        <v>0.10918044949918709</v>
      </c>
      <c r="AG102" s="61">
        <f t="shared" si="21"/>
        <v>2.0315122285043914E-2</v>
      </c>
      <c r="AH102" s="61">
        <f t="shared" si="21"/>
        <v>-3.235232393940364E-2</v>
      </c>
      <c r="AI102" s="61">
        <f t="shared" si="21"/>
        <v>8.5989462527457337E-3</v>
      </c>
      <c r="AJ102" s="61">
        <f t="shared" si="22"/>
        <v>4.4600505951239842E-2</v>
      </c>
      <c r="AK102" s="61">
        <f t="shared" si="22"/>
        <v>0.15878253343663742</v>
      </c>
      <c r="AL102" s="61">
        <f t="shared" si="22"/>
        <v>2.5242907208832172E-2</v>
      </c>
      <c r="AM102" s="61">
        <f t="shared" si="22"/>
        <v>-4.6154219558203764E-2</v>
      </c>
      <c r="AN102" s="61">
        <f t="shared" si="22"/>
        <v>1.0352022723097104E-2</v>
      </c>
      <c r="AO102" s="843"/>
      <c r="AP102" s="434"/>
      <c r="AQ102" s="756">
        <f>'Comp Group'!AE628*CB8</f>
        <v>96329.646789999999</v>
      </c>
      <c r="AR102" s="756">
        <f>'Comp Group'!AF628*CC8</f>
        <v>107550.322418</v>
      </c>
      <c r="AS102" s="756">
        <f>'Comp Group'!AG628*CD8</f>
        <v>91060.330815999987</v>
      </c>
      <c r="AT102" s="756">
        <f>'Comp Group'!AH628*CE8</f>
        <v>77971.262759999998</v>
      </c>
      <c r="AU102" s="756">
        <f>'Comp Group'!AI628*CF8</f>
        <v>45084.035549999993</v>
      </c>
      <c r="AV102" s="827">
        <f>'Shareholder funds'!F102</f>
        <v>38998.799783999995</v>
      </c>
      <c r="AW102" s="756"/>
      <c r="AX102" s="756"/>
      <c r="AY102" s="756"/>
      <c r="AZ102" s="756"/>
      <c r="BA102" s="756"/>
      <c r="BB102" s="743" t="e">
        <f t="shared" si="23"/>
        <v>#DIV/0!</v>
      </c>
      <c r="BC102" s="743" t="e">
        <f t="shared" si="24"/>
        <v>#DIV/0!</v>
      </c>
      <c r="BD102" s="743" t="e">
        <f t="shared" si="25"/>
        <v>#DIV/0!</v>
      </c>
      <c r="BE102" s="766" t="e">
        <f t="shared" si="26"/>
        <v>#DIV/0!</v>
      </c>
      <c r="BF102" s="766" t="e">
        <f t="shared" si="27"/>
        <v>#DIV/0!</v>
      </c>
      <c r="BG102" s="760" t="e">
        <f t="shared" si="28"/>
        <v>#DIV/0!</v>
      </c>
    </row>
    <row r="103" spans="1:59" ht="15" customHeight="1">
      <c r="A103" s="535">
        <v>2015</v>
      </c>
      <c r="B103" s="676"/>
      <c r="C103" s="411" t="s">
        <v>487</v>
      </c>
      <c r="D103" s="536"/>
      <c r="E103" s="536"/>
      <c r="F103" s="536"/>
      <c r="G103" s="414"/>
      <c r="H103" s="536"/>
      <c r="I103" s="536" t="s">
        <v>146</v>
      </c>
      <c r="J103" s="524" t="s">
        <v>642</v>
      </c>
      <c r="K103" s="534">
        <f>'More Comp Group'!M6*BS8</f>
        <v>4298.8068899999998</v>
      </c>
      <c r="L103" s="534">
        <f>'More Comp Group'!N6*BT8</f>
        <v>4484.0425080000005</v>
      </c>
      <c r="M103" s="534">
        <f>'More Comp Group'!O6*BU8</f>
        <v>5076.6580260000001</v>
      </c>
      <c r="N103" s="534">
        <f>'More Comp Group'!P6*BV8</f>
        <v>6628.9478120000003</v>
      </c>
      <c r="O103" s="534">
        <f>'More Comp Group'!Q6*BW8</f>
        <v>5891.8069500000001</v>
      </c>
      <c r="P103" s="534">
        <f>'More Comp Group'!M10*BS8</f>
        <v>-2760.75243</v>
      </c>
      <c r="Q103" s="534">
        <f>'More Comp Group'!N10*BT8</f>
        <v>-10896.908528</v>
      </c>
      <c r="R103" s="534">
        <f>'More Comp Group'!O10*BU8</f>
        <v>-1757.4603860000002</v>
      </c>
      <c r="S103" s="534">
        <f>'More Comp Group'!P10*BV8</f>
        <v>575.66328399999998</v>
      </c>
      <c r="T103" s="534">
        <f>'More Comp Group'!Q10*BW8</f>
        <v>-6409.1907000000001</v>
      </c>
      <c r="U103" s="534">
        <f>'More Comp Group'!M9*BS8</f>
        <v>142962.83825999999</v>
      </c>
      <c r="V103" s="534">
        <f>'More Comp Group'!N9*BT8</f>
        <v>133460.13175</v>
      </c>
      <c r="W103" s="534">
        <f>'More Comp Group'!O9*BU8</f>
        <v>129386.562294</v>
      </c>
      <c r="X103" s="534">
        <f>'More Comp Group'!P9*BV8</f>
        <v>94947.670964000004</v>
      </c>
      <c r="Y103" s="534">
        <f>'More Comp Group'!Q9*BW8</f>
        <v>99903.299834999998</v>
      </c>
      <c r="Z103" s="534">
        <f>'More Comp Group'!M4*BS8</f>
        <v>154155.22737000001</v>
      </c>
      <c r="AA103" s="534">
        <f>'More Comp Group'!N4*BT8</f>
        <v>150971.72332000002</v>
      </c>
      <c r="AB103" s="534">
        <f>'More Comp Group'!O4*BU8</f>
        <v>157322.824956</v>
      </c>
      <c r="AC103" s="534">
        <f>'More Comp Group'!P4*BV8</f>
        <v>125931.62298</v>
      </c>
      <c r="AD103" s="534">
        <f>'More Comp Group'!Q4*BW8</f>
        <v>138871.52952000001</v>
      </c>
      <c r="AE103" s="61">
        <f t="shared" si="21"/>
        <v>-1.7908912186115507E-2</v>
      </c>
      <c r="AF103" s="61">
        <f t="shared" si="21"/>
        <v>-7.217847348077816E-2</v>
      </c>
      <c r="AG103" s="61">
        <f t="shared" si="21"/>
        <v>-1.117104518363134E-2</v>
      </c>
      <c r="AH103" s="61">
        <f t="shared" si="21"/>
        <v>4.5712369171278348E-3</v>
      </c>
      <c r="AI103" s="61">
        <f t="shared" si="21"/>
        <v>-4.615194145375176E-2</v>
      </c>
      <c r="AJ103" s="61">
        <f t="shared" si="22"/>
        <v>-0.19236024862040146</v>
      </c>
      <c r="AK103" s="61">
        <f t="shared" si="22"/>
        <v>-0.47953582219582752</v>
      </c>
      <c r="AL103" s="61">
        <f t="shared" si="22"/>
        <v>-5.9655720764115787E-2</v>
      </c>
      <c r="AM103" s="61">
        <f t="shared" si="22"/>
        <v>1.6458803144701745E-2</v>
      </c>
      <c r="AN103" s="61">
        <f t="shared" si="22"/>
        <v>-0.1464935829864378</v>
      </c>
      <c r="AO103" s="843"/>
      <c r="AP103" s="437"/>
      <c r="AQ103" s="534">
        <f>'More Comp Group'!M14*BS8</f>
        <v>11192.38911</v>
      </c>
      <c r="AR103" s="534">
        <f>'More Comp Group'!N14*BT8</f>
        <v>17511.591570000001</v>
      </c>
      <c r="AS103" s="534">
        <f>'More Comp Group'!O14*BU8</f>
        <v>27936.143609000002</v>
      </c>
      <c r="AT103" s="534">
        <f>'More Comp Group'!P14*BV8</f>
        <v>30983.952015999999</v>
      </c>
      <c r="AU103" s="534">
        <f>'More Comp Group'!Q14*BW8</f>
        <v>38968.070489999998</v>
      </c>
      <c r="AV103" s="827">
        <f>'Shareholder funds'!F103</f>
        <v>48533.246213999999</v>
      </c>
      <c r="AW103" s="719">
        <f>'Long Term Debt'!C82*BS8</f>
        <v>137722.87974</v>
      </c>
      <c r="AX103" s="719">
        <f>'Long Term Debt'!D82*BT8</f>
        <v>131745.59505800001</v>
      </c>
      <c r="AY103" s="719">
        <f>'Long Term Debt'!E82*BU8</f>
        <v>127459.927595</v>
      </c>
      <c r="AZ103" s="719">
        <f>'Long Term Debt'!F82*BV8</f>
        <v>92058.174203999995</v>
      </c>
      <c r="BA103" s="719">
        <f>'Long Term Debt'!G82*BW8</f>
        <v>92987.709839999996</v>
      </c>
      <c r="BB103" s="553">
        <f t="shared" si="23"/>
        <v>-6.8925137644835238E-2</v>
      </c>
      <c r="BC103" s="553">
        <f t="shared" si="24"/>
        <v>6.2532554982497905E-3</v>
      </c>
      <c r="BD103" s="553">
        <f t="shared" si="25"/>
        <v>-1.3788336610266063E-2</v>
      </c>
      <c r="BE103" s="538">
        <f t="shared" si="26"/>
        <v>-0.10356170884147535</v>
      </c>
      <c r="BF103" s="538">
        <f t="shared" si="27"/>
        <v>-0.11326926884466794</v>
      </c>
      <c r="BG103" s="455">
        <f t="shared" si="28"/>
        <v>-2.1933110267294061E-2</v>
      </c>
    </row>
    <row r="104" spans="1:59" ht="15" customHeight="1">
      <c r="A104" s="535">
        <v>2015</v>
      </c>
      <c r="B104" s="676"/>
      <c r="C104" s="411" t="s">
        <v>487</v>
      </c>
      <c r="D104" s="536"/>
      <c r="E104" s="536"/>
      <c r="F104" s="536"/>
      <c r="G104" s="536"/>
      <c r="H104" s="536"/>
      <c r="I104" s="536" t="s">
        <v>146</v>
      </c>
      <c r="J104" s="524" t="s">
        <v>643</v>
      </c>
      <c r="K104" s="534">
        <f>'More Comp Group'!V6*BS8</f>
        <v>603676.53986999998</v>
      </c>
      <c r="L104" s="534">
        <f>'More Comp Group'!W6*BT8</f>
        <v>457235.28910400002</v>
      </c>
      <c r="M104" s="534">
        <f>'More Comp Group'!X6*BU8</f>
        <v>307316.50912599999</v>
      </c>
      <c r="N104" s="534">
        <f>'More Comp Group'!Y6*BV8</f>
        <v>454165.28696</v>
      </c>
      <c r="O104" s="534">
        <f>'More Comp Group'!Z6*BW8</f>
        <v>617704.14073500002</v>
      </c>
      <c r="P104" s="534">
        <f>'More Comp Group'!V10*BS8</f>
        <v>-723872.97552600002</v>
      </c>
      <c r="Q104" s="534">
        <f>'More Comp Group'!W10*BT8</f>
        <v>-41769.707055999999</v>
      </c>
      <c r="R104" s="534">
        <f>'More Comp Group'!X10*BU8</f>
        <v>-98398.375977000003</v>
      </c>
      <c r="S104" s="534">
        <f>'More Comp Group'!Y10*BV8</f>
        <v>-199280.98890600001</v>
      </c>
      <c r="T104" s="534">
        <f>'More Comp Group'!Z10*BW8</f>
        <v>18045.390029999999</v>
      </c>
      <c r="U104" s="534">
        <f>'More Comp Group'!V9*BS8</f>
        <v>3991475.2083660001</v>
      </c>
      <c r="V104" s="534">
        <f>'More Comp Group'!W9*BT8</f>
        <v>3771009.4098820002</v>
      </c>
      <c r="W104" s="534">
        <f>'More Comp Group'!X9*BU8</f>
        <v>2241667.6283209999</v>
      </c>
      <c r="X104" s="534">
        <f>'More Comp Group'!Y9*BV8</f>
        <v>1561347.897408</v>
      </c>
      <c r="Y104" s="534">
        <f>'More Comp Group'!Z9*BW8</f>
        <v>2019938.7529200001</v>
      </c>
      <c r="Z104" s="534">
        <f>'More Comp Group'!V4*BS8</f>
        <v>3886888.4886540002</v>
      </c>
      <c r="AA104" s="534">
        <f>'More Comp Group'!W4*BT8</f>
        <v>4371787.6914800005</v>
      </c>
      <c r="AB104" s="534">
        <f>'More Comp Group'!X4*BU8</f>
        <v>2653082.2948520002</v>
      </c>
      <c r="AC104" s="534">
        <f>'More Comp Group'!Y4*BV8</f>
        <v>2016956.0693580001</v>
      </c>
      <c r="AD104" s="534">
        <f>'More Comp Group'!Z4*BW8</f>
        <v>2825072.5596600003</v>
      </c>
      <c r="AE104" s="61">
        <f t="shared" si="21"/>
        <v>-0.18623456207684305</v>
      </c>
      <c r="AF104" s="61">
        <f t="shared" si="21"/>
        <v>-9.5543768370553051E-3</v>
      </c>
      <c r="AG104" s="61">
        <f t="shared" si="21"/>
        <v>-3.708832408551016E-2</v>
      </c>
      <c r="AH104" s="61">
        <f t="shared" si="21"/>
        <v>-9.88028405444802E-2</v>
      </c>
      <c r="AI104" s="61">
        <f t="shared" si="21"/>
        <v>6.3875846191263049E-3</v>
      </c>
      <c r="AJ104" s="61">
        <f t="shared" si="22"/>
        <v>-2.9177150701900221</v>
      </c>
      <c r="AK104" s="61">
        <f t="shared" si="22"/>
        <v>-8.2533082525885232E-2</v>
      </c>
      <c r="AL104" s="61">
        <f t="shared" si="22"/>
        <v>-0.22697989397693663</v>
      </c>
      <c r="AM104" s="61">
        <f t="shared" si="22"/>
        <v>-0.31613286822267478</v>
      </c>
      <c r="AN104" s="61">
        <f t="shared" si="22"/>
        <v>2.189066815053926E-2</v>
      </c>
      <c r="AO104" s="843"/>
      <c r="AP104" s="437"/>
      <c r="AQ104" s="534">
        <f>'More Comp Group'!V14*BS8</f>
        <v>-104586.71971200001</v>
      </c>
      <c r="AR104" s="534">
        <f>'More Comp Group'!W14*BT8</f>
        <v>600778.40266400005</v>
      </c>
      <c r="AS104" s="534">
        <f>'More Comp Group'!X14*BU8</f>
        <v>411414.666531</v>
      </c>
      <c r="AT104" s="534">
        <f>'More Comp Group'!Y14*BV8</f>
        <v>455608.17194999999</v>
      </c>
      <c r="AU104" s="534">
        <f>'More Comp Group'!Z14*BW8</f>
        <v>805133.80674000003</v>
      </c>
      <c r="AV104" s="827">
        <f>'Shareholder funds'!F104</f>
        <v>843549.54142500006</v>
      </c>
      <c r="AW104" s="719">
        <f>'Long Term Debt'!C83*BS8</f>
        <v>589636.10667000001</v>
      </c>
      <c r="AX104" s="719">
        <f>'Long Term Debt'!D83*BT8</f>
        <v>3526361.1741380002</v>
      </c>
      <c r="AY104" s="719">
        <f>'Long Term Debt'!E83*BU8</f>
        <v>2121877.928357</v>
      </c>
      <c r="AZ104" s="719">
        <f>'Long Term Debt'!F83*BV8</f>
        <v>1171196.7651520001</v>
      </c>
      <c r="BA104" s="719">
        <f>'Long Term Debt'!G83*BW8</f>
        <v>1687584.48591</v>
      </c>
      <c r="BB104" s="553">
        <f t="shared" si="23"/>
        <v>1.0693029107973425E-2</v>
      </c>
      <c r="BC104" s="553">
        <f t="shared" si="24"/>
        <v>-0.17015158753459925</v>
      </c>
      <c r="BD104" s="553">
        <f t="shared" si="25"/>
        <v>-4.6373250158264878E-2</v>
      </c>
      <c r="BE104" s="538">
        <f t="shared" si="26"/>
        <v>-0.82389097214677731</v>
      </c>
      <c r="BF104" s="538">
        <f t="shared" si="27"/>
        <v>-0.15035953182129924</v>
      </c>
      <c r="BG104" s="455">
        <f t="shared" si="28"/>
        <v>-7.4380003768629965E-2</v>
      </c>
    </row>
    <row r="105" spans="1:59" ht="15" customHeight="1">
      <c r="A105" s="535">
        <v>2016</v>
      </c>
      <c r="B105" s="676"/>
      <c r="C105" s="411" t="s">
        <v>435</v>
      </c>
      <c r="D105" s="536"/>
      <c r="E105" s="536"/>
      <c r="F105" s="536"/>
      <c r="G105" s="536"/>
      <c r="H105" s="536"/>
      <c r="I105" s="536" t="s">
        <v>147</v>
      </c>
      <c r="J105" s="524" t="s">
        <v>1044</v>
      </c>
      <c r="K105" s="534">
        <f>'More Comp Group'!D1103</f>
        <v>12404</v>
      </c>
      <c r="L105" s="534">
        <f>'More Comp Group'!E1103</f>
        <v>1632</v>
      </c>
      <c r="M105" s="534">
        <f>'More Comp Group'!F1103</f>
        <v>5346</v>
      </c>
      <c r="N105" s="534">
        <f>'More Comp Group'!G1103</f>
        <v>8</v>
      </c>
      <c r="O105" s="534">
        <f>'More Comp Group'!H1103</f>
        <v>0</v>
      </c>
      <c r="P105" s="534">
        <f>'More Comp Group'!D1107</f>
        <v>15953</v>
      </c>
      <c r="Q105" s="534">
        <f>'More Comp Group'!E1107</f>
        <v>577</v>
      </c>
      <c r="R105" s="534">
        <f>'More Comp Group'!F1107</f>
        <v>-11045</v>
      </c>
      <c r="S105" s="534">
        <f>'More Comp Group'!G1107</f>
        <v>-819</v>
      </c>
      <c r="T105" s="534">
        <f>'More Comp Group'!H1107</f>
        <v>-1505</v>
      </c>
      <c r="U105" s="534">
        <f>'More Comp Group'!D1106</f>
        <v>183567</v>
      </c>
      <c r="V105" s="534">
        <f>'More Comp Group'!E1106</f>
        <v>182</v>
      </c>
      <c r="W105" s="534">
        <f>'More Comp Group'!F1106</f>
        <v>4130</v>
      </c>
      <c r="X105" s="534">
        <f>'More Comp Group'!G1106</f>
        <v>10681</v>
      </c>
      <c r="Y105" s="534">
        <f>'More Comp Group'!H1106</f>
        <v>9792</v>
      </c>
      <c r="Z105" s="534">
        <f>'More Comp Group'!D1101</f>
        <v>394771</v>
      </c>
      <c r="AA105" s="534">
        <f>'More Comp Group'!E1101</f>
        <v>116661</v>
      </c>
      <c r="AB105" s="534">
        <f>'More Comp Group'!F1101</f>
        <v>54695</v>
      </c>
      <c r="AC105" s="534">
        <f>'More Comp Group'!G1101</f>
        <v>17515</v>
      </c>
      <c r="AD105" s="534">
        <f>'More Comp Group'!H1101</f>
        <v>17307</v>
      </c>
      <c r="AE105" s="61">
        <f t="shared" si="21"/>
        <v>4.0410769788054343E-2</v>
      </c>
      <c r="AF105" s="61">
        <f t="shared" si="21"/>
        <v>4.9459545177908638E-3</v>
      </c>
      <c r="AG105" s="61">
        <f t="shared" si="21"/>
        <v>-0.20193801992869551</v>
      </c>
      <c r="AH105" s="61">
        <f t="shared" si="21"/>
        <v>-4.6759920068512706E-2</v>
      </c>
      <c r="AI105" s="61">
        <f t="shared" si="21"/>
        <v>-8.6959033916912232E-2</v>
      </c>
      <c r="AJ105" s="61">
        <f t="shared" si="22"/>
        <v>9.7368493330444367E-2</v>
      </c>
      <c r="AK105" s="61">
        <f t="shared" si="22"/>
        <v>6.9083594741505229E-3</v>
      </c>
      <c r="AL105" s="61">
        <f t="shared" si="22"/>
        <v>-0.38484320557491292</v>
      </c>
      <c r="AM105" s="61">
        <f t="shared" si="22"/>
        <v>-0.11414634146341464</v>
      </c>
      <c r="AN105" s="61">
        <f t="shared" si="22"/>
        <v>-0.16591335023701906</v>
      </c>
      <c r="AO105" s="843"/>
      <c r="AP105" s="437"/>
      <c r="AQ105" s="534">
        <f>'More Comp Group'!D1111</f>
        <v>211204</v>
      </c>
      <c r="AR105" s="534">
        <f>'More Comp Group'!E1111</f>
        <v>116479</v>
      </c>
      <c r="AS105" s="534">
        <f>'More Comp Group'!F1111</f>
        <v>50565</v>
      </c>
      <c r="AT105" s="534">
        <f>'More Comp Group'!G1111</f>
        <v>6835</v>
      </c>
      <c r="AU105" s="534">
        <f>'More Comp Group'!H1111</f>
        <v>7515</v>
      </c>
      <c r="AV105" s="827">
        <f>'Shareholder funds'!F105</f>
        <v>10627</v>
      </c>
      <c r="AW105" s="719">
        <f>'More Comp Group'!D1104</f>
        <v>174494</v>
      </c>
      <c r="AX105" s="719">
        <f>'More Comp Group'!E1104</f>
        <v>0</v>
      </c>
      <c r="AY105" s="719">
        <f>'More Comp Group'!F1104</f>
        <v>1425</v>
      </c>
      <c r="AZ105" s="719">
        <f>'More Comp Group'!G1104</f>
        <v>9455</v>
      </c>
      <c r="BA105" s="719">
        <f>'More Comp Group'!H1104</f>
        <v>8513</v>
      </c>
      <c r="BB105" s="553">
        <f t="shared" si="23"/>
        <v>-0.1767884412075649</v>
      </c>
      <c r="BC105" s="553">
        <f t="shared" si="24"/>
        <v>-8.6620835536753038E-2</v>
      </c>
      <c r="BD105" s="553">
        <f t="shared" si="25"/>
        <v>-7.7508771929824558</v>
      </c>
      <c r="BE105" s="538">
        <f t="shared" si="26"/>
        <v>-5.7744738483052289E-2</v>
      </c>
      <c r="BF105" s="538">
        <f t="shared" si="27"/>
        <v>-5.0124372423055508E-2</v>
      </c>
      <c r="BG105" s="455">
        <f t="shared" si="28"/>
        <v>-0.94104981254068942</v>
      </c>
    </row>
    <row r="106" spans="1:59" ht="15" customHeight="1">
      <c r="A106" s="535">
        <v>2016</v>
      </c>
      <c r="B106" s="676"/>
      <c r="C106" s="411" t="s">
        <v>487</v>
      </c>
      <c r="D106" s="536"/>
      <c r="E106" s="536"/>
      <c r="F106" s="536"/>
      <c r="G106" s="536"/>
      <c r="H106" s="536"/>
      <c r="I106" s="536" t="s">
        <v>147</v>
      </c>
      <c r="J106" s="524" t="s">
        <v>1083</v>
      </c>
      <c r="K106" s="534">
        <f>'More Comp Group'!D1087*BR8</f>
        <v>64951.582548999999</v>
      </c>
      <c r="L106" s="534">
        <f>'More Comp Group'!E1087*BS8</f>
        <v>67179.907428000006</v>
      </c>
      <c r="M106" s="534">
        <f>'More Comp Group'!F1087*BT8</f>
        <v>65268.496590000002</v>
      </c>
      <c r="N106" s="534">
        <f>'More Comp Group'!G1087*BU8</f>
        <v>82044.303473000007</v>
      </c>
      <c r="O106" s="534">
        <f>'More Comp Group'!H1087*BV8</f>
        <v>89543.218833999999</v>
      </c>
      <c r="P106" s="534">
        <f>'More Comp Group'!D1091*BR8</f>
        <v>8652.8735020000004</v>
      </c>
      <c r="Q106" s="534">
        <f>'More Comp Group'!E1091*BS8</f>
        <v>22940.002356000001</v>
      </c>
      <c r="R106" s="534">
        <f>'More Comp Group'!F1091*BT8</f>
        <v>15830.832292000001</v>
      </c>
      <c r="S106" s="534">
        <f>'More Comp Group'!G1091*BU8</f>
        <v>32331.342263000002</v>
      </c>
      <c r="T106" s="534">
        <f>'More Comp Group'!H1091*BV8</f>
        <v>28082.156881999999</v>
      </c>
      <c r="U106" s="534">
        <f>'More Comp Group'!D1090*BR8</f>
        <v>49747.371127999999</v>
      </c>
      <c r="V106" s="534">
        <f>'More Comp Group'!E1090*BS8</f>
        <v>45282.610097999997</v>
      </c>
      <c r="W106" s="534">
        <f>'More Comp Group'!F1090*BT8</f>
        <v>67742.238168000011</v>
      </c>
      <c r="X106" s="534">
        <f>'More Comp Group'!G1090*BU8</f>
        <v>61530.757255000004</v>
      </c>
      <c r="Y106" s="534">
        <f>'More Comp Group'!H1090*BV8</f>
        <v>89160.105850000007</v>
      </c>
      <c r="Z106" s="534">
        <f>'More Comp Group'!D1085*BR8</f>
        <v>57561.472352999997</v>
      </c>
      <c r="AA106" s="534">
        <f>'More Comp Group'!E1085*BS8</f>
        <v>55260.415674000003</v>
      </c>
      <c r="AB106" s="534">
        <f>'More Comp Group'!F1085*BT8</f>
        <v>75456.442622000002</v>
      </c>
      <c r="AC106" s="534">
        <f>'More Comp Group'!G1085*BU8</f>
        <v>148255.86752900001</v>
      </c>
      <c r="AD106" s="534">
        <f>'More Comp Group'!H1085*BV8</f>
        <v>149113.064162</v>
      </c>
      <c r="AE106" s="61">
        <f t="shared" si="21"/>
        <v>0.1503240474624348</v>
      </c>
      <c r="AF106" s="61">
        <f t="shared" si="21"/>
        <v>0.415125403531723</v>
      </c>
      <c r="AG106" s="61">
        <f t="shared" si="21"/>
        <v>0.20980093603543906</v>
      </c>
      <c r="AH106" s="61">
        <f t="shared" si="21"/>
        <v>0.21807799449607443</v>
      </c>
      <c r="AI106" s="61">
        <f t="shared" si="21"/>
        <v>0.18832794456890023</v>
      </c>
      <c r="AJ106" s="61">
        <f t="shared" si="22"/>
        <v>0.9726752279877795</v>
      </c>
      <c r="AK106" s="61">
        <f t="shared" si="22"/>
        <v>2.593261287677441</v>
      </c>
      <c r="AL106" s="61">
        <f t="shared" si="22"/>
        <v>0.33525936391205868</v>
      </c>
      <c r="AM106" s="61">
        <f t="shared" si="22"/>
        <v>0.44084729492733321</v>
      </c>
      <c r="AN106" s="61">
        <f t="shared" si="22"/>
        <v>0.51149216186792523</v>
      </c>
      <c r="AO106" s="843"/>
      <c r="AP106" s="437"/>
      <c r="AQ106" s="534">
        <f>'More Comp Group'!D1095*BR8</f>
        <v>7814.1012249999994</v>
      </c>
      <c r="AR106" s="534">
        <f>'More Comp Group'!E1095*BS8</f>
        <v>9977.8055760000007</v>
      </c>
      <c r="AS106" s="534">
        <f>'More Comp Group'!F1095*BT8</f>
        <v>7714.2044540000006</v>
      </c>
      <c r="AT106" s="534">
        <f>'More Comp Group'!G1095*BU8</f>
        <v>86725.110274000006</v>
      </c>
      <c r="AU106" s="534">
        <f>'More Comp Group'!H1095*BV8</f>
        <v>59953.082538000002</v>
      </c>
      <c r="AV106" s="827">
        <f>'Shareholder funds'!F106</f>
        <v>49851.755055000001</v>
      </c>
      <c r="AW106" s="719">
        <f>'More Comp Group'!D1093*BR8</f>
        <v>2036.839714</v>
      </c>
      <c r="AX106" s="719">
        <f>'More Comp Group'!E1093*BS8</f>
        <v>2575.8416459999999</v>
      </c>
      <c r="AY106" s="719">
        <f>'More Comp Group'!F1093*BT8</f>
        <v>11830.448454000001</v>
      </c>
      <c r="AZ106" s="719">
        <f>'More Comp Group'!G1093*BU8</f>
        <v>8149.0587970000006</v>
      </c>
      <c r="BA106" s="719">
        <f>'More Comp Group'!H1093*BV8</f>
        <v>10123.300966000001</v>
      </c>
      <c r="BB106" s="553">
        <f t="shared" si="23"/>
        <v>2.7740118540697742</v>
      </c>
      <c r="BC106" s="553">
        <f t="shared" si="24"/>
        <v>3.9674940466624786</v>
      </c>
      <c r="BD106" s="553">
        <f t="shared" si="25"/>
        <v>1.3381430428064143</v>
      </c>
      <c r="BE106" s="538">
        <f t="shared" si="26"/>
        <v>2.0497587910797583</v>
      </c>
      <c r="BF106" s="538">
        <f t="shared" si="27"/>
        <v>3.1636102641753672</v>
      </c>
      <c r="BG106" s="455">
        <f t="shared" si="28"/>
        <v>1.2356143590553581</v>
      </c>
    </row>
    <row r="107" spans="1:59" ht="15" customHeight="1">
      <c r="A107" s="535">
        <v>2016</v>
      </c>
      <c r="B107" s="676"/>
      <c r="C107" s="411" t="s">
        <v>435</v>
      </c>
      <c r="D107" s="536"/>
      <c r="E107" s="536"/>
      <c r="F107" s="536"/>
      <c r="G107" s="536"/>
      <c r="H107" s="536"/>
      <c r="I107" s="536" t="s">
        <v>147</v>
      </c>
      <c r="J107" s="524" t="s">
        <v>644</v>
      </c>
      <c r="K107" s="534">
        <f>'More Comp Group'!M21</f>
        <v>48702</v>
      </c>
      <c r="L107" s="534">
        <f>'More Comp Group'!N21</f>
        <v>43952</v>
      </c>
      <c r="M107" s="534">
        <f>'More Comp Group'!O21</f>
        <v>20437</v>
      </c>
      <c r="N107" s="534">
        <f>'More Comp Group'!P21</f>
        <v>34769</v>
      </c>
      <c r="O107" s="534">
        <f>'More Comp Group'!Q21</f>
        <v>37354</v>
      </c>
      <c r="P107" s="534">
        <f>'More Comp Group'!M25</f>
        <v>-8268</v>
      </c>
      <c r="Q107" s="534">
        <f>'More Comp Group'!N25</f>
        <v>-11435</v>
      </c>
      <c r="R107" s="534">
        <f>'More Comp Group'!O25</f>
        <v>-31803</v>
      </c>
      <c r="S107" s="534">
        <f>'More Comp Group'!P25</f>
        <v>-22798</v>
      </c>
      <c r="T107" s="534">
        <f>'More Comp Group'!Q25</f>
        <v>-36272</v>
      </c>
      <c r="U107" s="534">
        <f>'More Comp Group'!M24</f>
        <v>270033</v>
      </c>
      <c r="V107" s="534">
        <f>'More Comp Group'!N24</f>
        <v>277968</v>
      </c>
      <c r="W107" s="534">
        <f>'More Comp Group'!O24</f>
        <v>33003</v>
      </c>
      <c r="X107" s="534">
        <f>'More Comp Group'!P24</f>
        <v>275607</v>
      </c>
      <c r="Y107" s="534">
        <f>'More Comp Group'!Q24</f>
        <v>289891</v>
      </c>
      <c r="Z107" s="534">
        <f>'More Comp Group'!M19</f>
        <v>377357</v>
      </c>
      <c r="AA107" s="534">
        <f>'More Comp Group'!N19</f>
        <v>39356</v>
      </c>
      <c r="AB107" s="534">
        <f>'More Comp Group'!O19</f>
        <v>399584</v>
      </c>
      <c r="AC107" s="534">
        <f>'More Comp Group'!P19</f>
        <v>408371</v>
      </c>
      <c r="AD107" s="534">
        <f>'More Comp Group'!Q19</f>
        <v>445454</v>
      </c>
      <c r="AE107" s="61">
        <f t="shared" si="21"/>
        <v>-2.1910286545631857E-2</v>
      </c>
      <c r="AF107" s="61">
        <f t="shared" si="21"/>
        <v>-0.29055290171765424</v>
      </c>
      <c r="AG107" s="61">
        <f t="shared" si="21"/>
        <v>-7.9590273884840232E-2</v>
      </c>
      <c r="AH107" s="61">
        <f t="shared" si="21"/>
        <v>-5.5826687007647459E-2</v>
      </c>
      <c r="AI107" s="61">
        <f t="shared" si="21"/>
        <v>-8.1427038482087932E-2</v>
      </c>
      <c r="AJ107" s="61">
        <f t="shared" si="22"/>
        <v>-7.4180408763839301E-2</v>
      </c>
      <c r="AK107" s="61">
        <f t="shared" si="22"/>
        <v>-9.4262632923913944E-2</v>
      </c>
      <c r="AL107" s="61">
        <f t="shared" si="22"/>
        <v>-0.24483432900166288</v>
      </c>
      <c r="AM107" s="61">
        <f t="shared" si="22"/>
        <v>-0.15813988977792576</v>
      </c>
      <c r="AN107" s="61">
        <f t="shared" si="22"/>
        <v>-0.2088192031686725</v>
      </c>
      <c r="AO107" s="843"/>
      <c r="AP107" s="437"/>
      <c r="AQ107" s="534">
        <f>'More Comp Group'!M29</f>
        <v>107324</v>
      </c>
      <c r="AR107" s="534">
        <f>'More Comp Group'!N29</f>
        <v>115592</v>
      </c>
      <c r="AS107" s="534">
        <f>'More Comp Group'!O29</f>
        <v>127028</v>
      </c>
      <c r="AT107" s="534">
        <f>'More Comp Group'!P29</f>
        <v>132764</v>
      </c>
      <c r="AU107" s="534">
        <f>'More Comp Group'!Q29</f>
        <v>155563</v>
      </c>
      <c r="AV107" s="827">
        <f>'Shareholder funds'!F107</f>
        <v>191838</v>
      </c>
      <c r="AW107" s="719">
        <f>'Long Term Debt'!C84</f>
        <v>397</v>
      </c>
      <c r="AX107" s="719">
        <f>'Long Term Debt'!D84</f>
        <v>322</v>
      </c>
      <c r="AY107" s="719">
        <f>'Long Term Debt'!E84</f>
        <v>26617</v>
      </c>
      <c r="AZ107" s="719">
        <f>'Long Term Debt'!F84</f>
        <v>259285</v>
      </c>
      <c r="BA107" s="719">
        <f>'Long Term Debt'!G84</f>
        <v>273019</v>
      </c>
      <c r="BB107" s="553">
        <f t="shared" si="23"/>
        <v>-0.13285522253030008</v>
      </c>
      <c r="BC107" s="553">
        <f t="shared" si="24"/>
        <v>-8.7926413020421548E-2</v>
      </c>
      <c r="BD107" s="553">
        <f t="shared" si="25"/>
        <v>-1.1948378855618589</v>
      </c>
      <c r="BE107" s="538">
        <f t="shared" si="26"/>
        <v>-0.11236459935944082</v>
      </c>
      <c r="BF107" s="538">
        <f t="shared" si="27"/>
        <v>-8.9986358264494373E-2</v>
      </c>
      <c r="BG107" s="455">
        <f t="shared" si="28"/>
        <v>-0.44075241597953685</v>
      </c>
    </row>
    <row r="108" spans="1:59" ht="15" customHeight="1">
      <c r="A108" s="535">
        <v>2017</v>
      </c>
      <c r="B108" s="676"/>
      <c r="C108" s="411" t="s">
        <v>435</v>
      </c>
      <c r="D108" s="536"/>
      <c r="E108" s="536"/>
      <c r="F108" s="536"/>
      <c r="G108" s="536"/>
      <c r="H108" s="536"/>
      <c r="I108" s="536" t="s">
        <v>150</v>
      </c>
      <c r="J108" s="524" t="s">
        <v>649</v>
      </c>
      <c r="K108" s="534">
        <f>'More Comp Group'!M50</f>
        <v>929739</v>
      </c>
      <c r="L108" s="534">
        <f>'More Comp Group'!N50</f>
        <v>823195</v>
      </c>
      <c r="M108" s="534">
        <f>'More Comp Group'!O50</f>
        <v>698476</v>
      </c>
      <c r="N108" s="534">
        <f>'More Comp Group'!P50</f>
        <v>662158</v>
      </c>
      <c r="O108" s="534">
        <f>'More Comp Group'!Q50</f>
        <v>657392</v>
      </c>
      <c r="P108" s="534">
        <f>'More Comp Group'!M54</f>
        <v>145643</v>
      </c>
      <c r="Q108" s="534">
        <f>'More Comp Group'!N54</f>
        <v>43805</v>
      </c>
      <c r="R108" s="534">
        <f>'More Comp Group'!O54</f>
        <v>31139</v>
      </c>
      <c r="S108" s="534">
        <f>'More Comp Group'!P54</f>
        <v>36688</v>
      </c>
      <c r="T108" s="534">
        <f>'More Comp Group'!Q54</f>
        <v>-38553</v>
      </c>
      <c r="U108" s="534">
        <f>'More Comp Group'!M53</f>
        <v>1441987</v>
      </c>
      <c r="V108" s="534">
        <f>'More Comp Group'!N53</f>
        <v>1624018</v>
      </c>
      <c r="W108" s="534">
        <f>'More Comp Group'!O53</f>
        <v>1252672</v>
      </c>
      <c r="X108" s="534">
        <f>'More Comp Group'!P53</f>
        <v>1371171</v>
      </c>
      <c r="Y108" s="534">
        <f>'More Comp Group'!Q53</f>
        <v>1541506</v>
      </c>
      <c r="Z108" s="534">
        <f>'More Comp Group'!M48</f>
        <v>2640491</v>
      </c>
      <c r="AA108" s="534">
        <f>'More Comp Group'!N48</f>
        <v>2686396</v>
      </c>
      <c r="AB108" s="534">
        <f>'More Comp Group'!O48</f>
        <v>2276345</v>
      </c>
      <c r="AC108" s="534">
        <f>'More Comp Group'!P48</f>
        <v>2138228</v>
      </c>
      <c r="AD108" s="534">
        <f>'More Comp Group'!Q48</f>
        <v>2263592</v>
      </c>
      <c r="AE108" s="61">
        <f t="shared" si="21"/>
        <v>5.5157544562734737E-2</v>
      </c>
      <c r="AF108" s="61">
        <f t="shared" si="21"/>
        <v>1.6306233332688106E-2</v>
      </c>
      <c r="AG108" s="61">
        <f t="shared" si="21"/>
        <v>1.3679385154710731E-2</v>
      </c>
      <c r="AH108" s="61">
        <f t="shared" si="21"/>
        <v>1.7158132809036268E-2</v>
      </c>
      <c r="AI108" s="61">
        <f t="shared" si="21"/>
        <v>-1.7031779578651984E-2</v>
      </c>
      <c r="AJ108" s="61">
        <f t="shared" si="22"/>
        <v>0.12883732985622426</v>
      </c>
      <c r="AK108" s="61">
        <f t="shared" si="22"/>
        <v>4.1998014430136177E-2</v>
      </c>
      <c r="AL108" s="61">
        <f t="shared" si="22"/>
        <v>3.4777995566054071E-2</v>
      </c>
      <c r="AM108" s="61">
        <f t="shared" si="22"/>
        <v>4.927397838891228E-2</v>
      </c>
      <c r="AN108" s="61">
        <f t="shared" si="22"/>
        <v>-5.0941788175289542E-2</v>
      </c>
      <c r="AO108" s="843"/>
      <c r="AP108" s="437"/>
      <c r="AQ108" s="534">
        <f>'More Comp Group'!M58</f>
        <v>1198504</v>
      </c>
      <c r="AR108" s="534">
        <f>'More Comp Group'!N58</f>
        <v>1062378</v>
      </c>
      <c r="AS108" s="534">
        <f>'More Comp Group'!O58</f>
        <v>1023673</v>
      </c>
      <c r="AT108" s="534">
        <f>'More Comp Group'!P58</f>
        <v>767057</v>
      </c>
      <c r="AU108" s="534">
        <f>'More Comp Group'!Q58</f>
        <v>722086</v>
      </c>
      <c r="AV108" s="827">
        <f>'Shareholder funds'!F108</f>
        <v>791524</v>
      </c>
      <c r="AW108" s="719">
        <f>'Long Term Debt'!C85</f>
        <v>759924</v>
      </c>
      <c r="AX108" s="719">
        <f>'Long Term Debt'!D85</f>
        <v>1231730</v>
      </c>
      <c r="AY108" s="719">
        <f>'Long Term Debt'!E85</f>
        <v>322122</v>
      </c>
      <c r="AZ108" s="719">
        <f>'Long Term Debt'!F85</f>
        <v>1099519</v>
      </c>
      <c r="BA108" s="719">
        <f>'Long Term Debt'!G85</f>
        <v>1227358</v>
      </c>
      <c r="BB108" s="553">
        <f t="shared" si="23"/>
        <v>-3.1411373046820894E-2</v>
      </c>
      <c r="BC108" s="553">
        <f t="shared" si="24"/>
        <v>3.3367317890823166E-2</v>
      </c>
      <c r="BD108" s="553">
        <f t="shared" si="25"/>
        <v>9.6668343050148695E-2</v>
      </c>
      <c r="BE108" s="538">
        <f t="shared" si="26"/>
        <v>1.9707973939936556E-2</v>
      </c>
      <c r="BF108" s="538">
        <f t="shared" si="27"/>
        <v>3.6463449919472972E-2</v>
      </c>
      <c r="BG108" s="455">
        <f t="shared" si="28"/>
        <v>6.8836236018883404E-2</v>
      </c>
    </row>
    <row r="109" spans="1:59" ht="15" customHeight="1">
      <c r="A109" s="535">
        <v>2017</v>
      </c>
      <c r="B109" s="676"/>
      <c r="C109" s="411" t="s">
        <v>487</v>
      </c>
      <c r="D109" s="536"/>
      <c r="E109" s="536"/>
      <c r="F109" s="536"/>
      <c r="G109" s="536"/>
      <c r="H109" s="536"/>
      <c r="I109" s="536" t="s">
        <v>150</v>
      </c>
      <c r="J109" s="524" t="s">
        <v>650</v>
      </c>
      <c r="K109" s="534">
        <f>'More Comp Group'!W51*BQ8</f>
        <v>443429.59774499998</v>
      </c>
      <c r="L109" s="534">
        <f>'More Comp Group'!X51*BR8</f>
        <v>405301.54082599998</v>
      </c>
      <c r="M109" s="534">
        <f>'More Comp Group'!Y51*BS8</f>
        <v>304563.18360599998</v>
      </c>
      <c r="N109" s="534">
        <f>'More Comp Group'!Z51*BT8</f>
        <v>234673.85013600002</v>
      </c>
      <c r="O109" s="534">
        <f>'More Comp Group'!AA51*BU8</f>
        <v>198650.52621700001</v>
      </c>
      <c r="P109" s="534">
        <f>'More Comp Group'!W55*BQ8</f>
        <v>19922.510414999997</v>
      </c>
      <c r="Q109" s="534">
        <f>'More Comp Group'!X55*BR8</f>
        <v>6516.4317119999996</v>
      </c>
      <c r="R109" s="534">
        <f>'More Comp Group'!Y55*BS8</f>
        <v>-2290.361034</v>
      </c>
      <c r="S109" s="534">
        <f>'More Comp Group'!Z55*BT8</f>
        <v>-10481.410016</v>
      </c>
      <c r="T109" s="534">
        <f>'More Comp Group'!AA55*BU8</f>
        <v>-6125.1577970000008</v>
      </c>
      <c r="U109" s="534">
        <f>'More Comp Group'!W54*BQ8</f>
        <v>81096.344039999996</v>
      </c>
      <c r="V109" s="534">
        <f>'More Comp Group'!X54*BR8</f>
        <v>110244.03479599999</v>
      </c>
      <c r="W109" s="534">
        <f>'More Comp Group'!Y54*BS8</f>
        <v>108820.97995199999</v>
      </c>
      <c r="X109" s="534">
        <f>'More Comp Group'!Z54*BT8</f>
        <v>83559.147870000001</v>
      </c>
      <c r="Y109" s="534">
        <f>'More Comp Group'!AA54*BU8</f>
        <v>113732.75953600001</v>
      </c>
      <c r="Z109" s="534">
        <f>'More Comp Group'!W49*BQ8</f>
        <v>111100.02072</v>
      </c>
      <c r="AA109" s="534">
        <f>'More Comp Group'!X49*BR8</f>
        <v>123936.250319</v>
      </c>
      <c r="AB109" s="534">
        <f>'More Comp Group'!Y49*BS8</f>
        <v>116576.413632</v>
      </c>
      <c r="AC109" s="534">
        <f>'More Comp Group'!Z49*BT8</f>
        <v>93451.329664000004</v>
      </c>
      <c r="AD109" s="534">
        <f>'More Comp Group'!AA49*BU8</f>
        <v>133756.64076500002</v>
      </c>
      <c r="AE109" s="61">
        <f t="shared" si="21"/>
        <v>0.17932049234454903</v>
      </c>
      <c r="AF109" s="61">
        <f t="shared" si="21"/>
        <v>5.2578900000825671E-2</v>
      </c>
      <c r="AG109" s="61">
        <f t="shared" si="21"/>
        <v>-1.9646864770004387E-2</v>
      </c>
      <c r="AH109" s="61">
        <f t="shared" si="21"/>
        <v>-0.11215902495647126</v>
      </c>
      <c r="AI109" s="61">
        <f t="shared" si="21"/>
        <v>-4.5793298650206274E-2</v>
      </c>
      <c r="AJ109" s="61">
        <f t="shared" si="22"/>
        <v>0.91187108950402396</v>
      </c>
      <c r="AK109" s="61">
        <f t="shared" si="22"/>
        <v>0.60765581308209005</v>
      </c>
      <c r="AL109" s="61">
        <f t="shared" si="22"/>
        <v>-0.25956425457942617</v>
      </c>
      <c r="AM109" s="61">
        <f t="shared" si="22"/>
        <v>-0.70072121508379659</v>
      </c>
      <c r="AN109" s="61">
        <f t="shared" si="22"/>
        <v>-0.31220408911750552</v>
      </c>
      <c r="AO109" s="843"/>
      <c r="AP109" s="437"/>
      <c r="AQ109" s="534">
        <f>'More Comp Group'!W59*BQ8</f>
        <v>30003.676679999997</v>
      </c>
      <c r="AR109" s="534">
        <f>'More Comp Group'!X59*BR8</f>
        <v>13692.215522999999</v>
      </c>
      <c r="AS109" s="534">
        <f>'More Comp Group'!Y59*BS8</f>
        <v>7755.5566259999996</v>
      </c>
      <c r="AT109" s="534">
        <f>'More Comp Group'!Z59*BT8</f>
        <v>9892.1817940000001</v>
      </c>
      <c r="AU109" s="534">
        <f>'More Comp Group'!AA59*BU8</f>
        <v>20023.881229000002</v>
      </c>
      <c r="AV109" s="827">
        <f>'Shareholder funds'!F109</f>
        <v>19214.283872</v>
      </c>
      <c r="AW109" s="719">
        <f>'Long Term Debt'!C86*BQ8</f>
        <v>1760.97039</v>
      </c>
      <c r="AX109" s="719">
        <f>'Long Term Debt'!D86*BR8</f>
        <v>7505.2893089999998</v>
      </c>
      <c r="AY109" s="719">
        <f>'Long Term Debt'!E86*BS8</f>
        <v>14178.624503999999</v>
      </c>
      <c r="AZ109" s="719">
        <f>'Long Term Debt'!F86*BT8</f>
        <v>17843.554542000002</v>
      </c>
      <c r="BA109" s="719">
        <f>'Long Term Debt'!G86*BU8</f>
        <v>31527.139248000003</v>
      </c>
      <c r="BB109" s="553">
        <f t="shared" si="23"/>
        <v>-0.1942820675487886</v>
      </c>
      <c r="BC109" s="553">
        <f t="shared" si="24"/>
        <v>-0.58740594489337583</v>
      </c>
      <c r="BD109" s="553">
        <f t="shared" si="25"/>
        <v>-0.16153619368041344</v>
      </c>
      <c r="BE109" s="538">
        <f t="shared" si="26"/>
        <v>-2.8686704872001478E-2</v>
      </c>
      <c r="BF109" s="538">
        <f t="shared" si="27"/>
        <v>-0.46090407266260963</v>
      </c>
      <c r="BG109" s="455">
        <f t="shared" si="28"/>
        <v>-0.16805776482634116</v>
      </c>
    </row>
    <row r="110" spans="1:59" ht="15" customHeight="1">
      <c r="A110" s="535">
        <v>2018</v>
      </c>
      <c r="B110" s="676"/>
      <c r="C110" s="411" t="s">
        <v>487</v>
      </c>
      <c r="D110" s="536"/>
      <c r="E110" s="536"/>
      <c r="F110" s="536"/>
      <c r="G110" s="536"/>
      <c r="H110" s="536"/>
      <c r="I110" s="536" t="s">
        <v>202</v>
      </c>
      <c r="J110" s="524" t="s">
        <v>653</v>
      </c>
      <c r="K110" s="534">
        <f>'More Comp Group'!M93*BP8</f>
        <v>1164488.274</v>
      </c>
      <c r="L110" s="534">
        <f>'More Comp Group'!N93*BQ8</f>
        <v>1111456.605</v>
      </c>
      <c r="M110" s="534">
        <f>'More Comp Group'!O93*BR8</f>
        <v>1022399.392</v>
      </c>
      <c r="N110" s="534">
        <f>'More Comp Group'!P93*BS8</f>
        <v>1164913.3500000001</v>
      </c>
      <c r="O110" s="534">
        <f>'More Comp Group'!Q93*BT8</f>
        <v>1054363.794</v>
      </c>
      <c r="P110" s="534">
        <f>'More Comp Group'!M97*BP8</f>
        <v>22577.525999999998</v>
      </c>
      <c r="Q110" s="534">
        <f>'More Comp Group'!N97*BQ8</f>
        <v>13436.009999999998</v>
      </c>
      <c r="R110" s="534">
        <f>'More Comp Group'!O97*BR8</f>
        <v>-37180.226999999999</v>
      </c>
      <c r="S110" s="534">
        <f>'More Comp Group'!P97*BS8</f>
        <v>29138.202000000001</v>
      </c>
      <c r="T110" s="534">
        <f>'More Comp Group'!Q97*BT8</f>
        <v>61985.792000000001</v>
      </c>
      <c r="U110" s="534">
        <f>'More Comp Group'!M96*BP8</f>
        <v>612386.29799999995</v>
      </c>
      <c r="V110" s="534">
        <f>'More Comp Group'!N96*BQ8</f>
        <v>553435.65</v>
      </c>
      <c r="W110" s="534">
        <f>'More Comp Group'!O96*BR8</f>
        <v>729505.61599999992</v>
      </c>
      <c r="X110" s="534">
        <f>'More Comp Group'!P96*BS8</f>
        <v>486005.538</v>
      </c>
      <c r="Y110" s="534">
        <f>'More Comp Group'!Q96*BT8</f>
        <v>465983.03400000004</v>
      </c>
      <c r="Z110" s="534">
        <f>'More Comp Group'!M91*BP8</f>
        <v>1049156.6850000001</v>
      </c>
      <c r="AA110" s="534">
        <f>'More Comp Group'!N91*BQ8</f>
        <v>999916.3949999999</v>
      </c>
      <c r="AB110" s="534">
        <f>'More Comp Group'!O91*BR8</f>
        <v>1164525.642</v>
      </c>
      <c r="AC110" s="534">
        <f>'More Comp Group'!P91*BS8</f>
        <v>941889.30599999998</v>
      </c>
      <c r="AD110" s="534">
        <f>'More Comp Group'!Q91*BT8</f>
        <v>931602.87</v>
      </c>
      <c r="AE110" s="61">
        <f t="shared" si="21"/>
        <v>2.1519689406544643E-2</v>
      </c>
      <c r="AF110" s="61">
        <f t="shared" si="21"/>
        <v>1.3437133411538871E-2</v>
      </c>
      <c r="AG110" s="61">
        <f t="shared" si="21"/>
        <v>-3.1927357937902752E-2</v>
      </c>
      <c r="AH110" s="61">
        <f t="shared" si="21"/>
        <v>3.0935909150241483E-2</v>
      </c>
      <c r="AI110" s="61">
        <f t="shared" si="21"/>
        <v>6.6536712150747246E-2</v>
      </c>
      <c r="AJ110" s="61">
        <f t="shared" si="22"/>
        <v>5.1136031582754489E-2</v>
      </c>
      <c r="AK110" s="61">
        <f t="shared" si="22"/>
        <v>3.0491774783493724E-2</v>
      </c>
      <c r="AL110" s="61">
        <f t="shared" si="22"/>
        <v>-8.3443281379330478E-2</v>
      </c>
      <c r="AM110" s="61">
        <f t="shared" si="22"/>
        <v>6.3223689573896985E-2</v>
      </c>
      <c r="AN110" s="61">
        <f t="shared" si="22"/>
        <v>0.13849050473552829</v>
      </c>
      <c r="AO110" s="843"/>
      <c r="AP110" s="437"/>
      <c r="AQ110" s="534">
        <f>'More Comp Group'!M101*BP8</f>
        <v>436770.38699999999</v>
      </c>
      <c r="AR110" s="534">
        <f>'More Comp Group'!N101*BQ8</f>
        <v>446267.47499999998</v>
      </c>
      <c r="AS110" s="534">
        <f>'More Comp Group'!O101*BR8</f>
        <v>435020.02600000001</v>
      </c>
      <c r="AT110" s="534">
        <f>'More Comp Group'!P101*BS8</f>
        <v>456129.66</v>
      </c>
      <c r="AU110" s="534">
        <f>'More Comp Group'!Q101*BT8</f>
        <v>465619.83600000001</v>
      </c>
      <c r="AV110" s="827">
        <f>'Shareholder funds'!F110</f>
        <v>429543.22400000005</v>
      </c>
      <c r="AW110" s="719">
        <f>'Long Term Debt'!C88*BP8</f>
        <v>280473.39</v>
      </c>
      <c r="AX110" s="719">
        <f>'Long Term Debt'!D88*BQ8</f>
        <v>284288.90999999997</v>
      </c>
      <c r="AY110" s="719">
        <f>'Long Term Debt'!E88*BR8</f>
        <v>364298.00400000002</v>
      </c>
      <c r="AZ110" s="719">
        <f>'Long Term Debt'!F88*BS8</f>
        <v>137945.41200000001</v>
      </c>
      <c r="BA110" s="719">
        <f>'Long Term Debt'!G88*BT8</f>
        <v>136925.64600000001</v>
      </c>
      <c r="BB110" s="553">
        <f t="shared" si="23"/>
        <v>0.4526967285587975</v>
      </c>
      <c r="BC110" s="553">
        <f t="shared" si="24"/>
        <v>0.21122994652406415</v>
      </c>
      <c r="BD110" s="553">
        <f t="shared" si="25"/>
        <v>-0.10205992509363296</v>
      </c>
      <c r="BE110" s="538">
        <f t="shared" si="26"/>
        <v>0.25199465700975765</v>
      </c>
      <c r="BF110" s="538">
        <f t="shared" si="27"/>
        <v>0.12372653830828492</v>
      </c>
      <c r="BG110" s="455">
        <f t="shared" si="28"/>
        <v>-9.5105494430586551E-2</v>
      </c>
    </row>
    <row r="111" spans="1:59" ht="15" customHeight="1">
      <c r="A111" s="535">
        <v>2018</v>
      </c>
      <c r="B111" s="676"/>
      <c r="C111" s="411" t="s">
        <v>435</v>
      </c>
      <c r="D111" s="536"/>
      <c r="E111" s="536"/>
      <c r="F111" s="536"/>
      <c r="G111" s="536"/>
      <c r="H111" s="536"/>
      <c r="I111" s="536" t="s">
        <v>203</v>
      </c>
      <c r="J111" s="524" t="s">
        <v>654</v>
      </c>
      <c r="K111" s="534">
        <f>'More Comp Group'!M108</f>
        <v>317233.55011642003</v>
      </c>
      <c r="L111" s="534">
        <f>'More Comp Group'!N108</f>
        <v>323446.65060937399</v>
      </c>
      <c r="M111" s="534">
        <f>'More Comp Group'!O108</f>
        <v>306036.44295781897</v>
      </c>
      <c r="N111" s="534">
        <f>'More Comp Group'!P108</f>
        <v>276524.740710855</v>
      </c>
      <c r="O111" s="534">
        <f>'More Comp Group'!Q108</f>
        <v>270889.16075229598</v>
      </c>
      <c r="P111" s="534">
        <f>'More Comp Group'!M112</f>
        <v>330158.71977806097</v>
      </c>
      <c r="Q111" s="534">
        <f>'More Comp Group'!N112</f>
        <v>232004.68342006201</v>
      </c>
      <c r="R111" s="534">
        <f>'More Comp Group'!O112</f>
        <v>291913.436286151</v>
      </c>
      <c r="S111" s="534">
        <f>'More Comp Group'!P112</f>
        <v>240506.32879137999</v>
      </c>
      <c r="T111" s="534">
        <f>'More Comp Group'!Q112</f>
        <v>222533.49671512801</v>
      </c>
      <c r="U111" s="534">
        <f>'More Comp Group'!M111</f>
        <v>19909749.94090195</v>
      </c>
      <c r="V111" s="534">
        <f>'More Comp Group'!N111</f>
        <v>19531300.791889388</v>
      </c>
      <c r="W111" s="534">
        <f>'More Comp Group'!O111</f>
        <v>16656264.045789791</v>
      </c>
      <c r="X111" s="534">
        <f>'More Comp Group'!P111</f>
        <v>16342692.728370409</v>
      </c>
      <c r="Y111" s="534">
        <f>'More Comp Group'!Q111</f>
        <v>16533983.020305641</v>
      </c>
      <c r="Z111" s="534">
        <f>'More Comp Group'!M106</f>
        <v>22544783.871658102</v>
      </c>
      <c r="AA111" s="534">
        <f>'More Comp Group'!N106</f>
        <v>22029542.228817899</v>
      </c>
      <c r="AB111" s="534">
        <f>'More Comp Group'!O106</f>
        <v>18982004.338011101</v>
      </c>
      <c r="AC111" s="534">
        <f>'More Comp Group'!P106</f>
        <v>18492980.4124832</v>
      </c>
      <c r="AD111" s="534">
        <f>'More Comp Group'!Q106</f>
        <v>18666747.950509202</v>
      </c>
      <c r="AE111" s="61">
        <f t="shared" si="21"/>
        <v>1.4644572405642618E-2</v>
      </c>
      <c r="AF111" s="61">
        <f t="shared" si="21"/>
        <v>1.0531525394865699E-2</v>
      </c>
      <c r="AG111" s="61">
        <f t="shared" si="21"/>
        <v>1.5378430596056704E-2</v>
      </c>
      <c r="AH111" s="61">
        <f t="shared" si="21"/>
        <v>1.3005276782158516E-2</v>
      </c>
      <c r="AI111" s="61">
        <f t="shared" ref="AI111:AI149" si="29">T111/AD111</f>
        <v>1.1921385412452501E-2</v>
      </c>
      <c r="AJ111" s="61">
        <f t="shared" si="22"/>
        <v>0.13266962387386755</v>
      </c>
      <c r="AK111" s="61">
        <f t="shared" si="22"/>
        <v>0.10100468904196222</v>
      </c>
      <c r="AL111" s="61">
        <f t="shared" si="22"/>
        <v>0.12639911092963782</v>
      </c>
      <c r="AM111" s="61">
        <f t="shared" si="22"/>
        <v>0.10889512612866442</v>
      </c>
      <c r="AN111" s="61">
        <f t="shared" ref="AN111:AN149" si="30">T111/(AVERAGE(AU111:AV111))</f>
        <v>0.11292582488668</v>
      </c>
      <c r="AO111" s="843"/>
      <c r="AP111" s="437"/>
      <c r="AQ111" s="534">
        <f>'More Comp Group'!M116*BP8</f>
        <v>2704764.3389999997</v>
      </c>
      <c r="AR111" s="534">
        <f>'More Comp Group'!N116*BQ8</f>
        <v>2272391.85</v>
      </c>
      <c r="AS111" s="534">
        <f>'More Comp Group'!O116*BR8</f>
        <v>2321547.0180000002</v>
      </c>
      <c r="AT111" s="534">
        <f>'More Comp Group'!P116*BS8</f>
        <v>2297368.9559999998</v>
      </c>
      <c r="AU111" s="534">
        <f>'More Comp Group'!Q116*BT8</f>
        <v>2119841.2046680003</v>
      </c>
      <c r="AV111" s="827">
        <f>'Shareholder funds'!F111</f>
        <v>1821391.8470000001</v>
      </c>
      <c r="AW111" s="719">
        <f>'Long Term Debt'!C89</f>
        <v>4830272</v>
      </c>
      <c r="AX111" s="719">
        <f>'Long Term Debt'!D89</f>
        <v>5415357</v>
      </c>
      <c r="AY111" s="719">
        <f>'Long Term Debt'!E89</f>
        <v>5194647</v>
      </c>
      <c r="AZ111" s="719">
        <f>'Long Term Debt'!F89</f>
        <v>5355121</v>
      </c>
      <c r="BA111" s="719">
        <f>'Long Term Debt'!G89</f>
        <v>5407430</v>
      </c>
      <c r="BB111" s="553">
        <f t="shared" si="23"/>
        <v>4.1153282930177185E-2</v>
      </c>
      <c r="BC111" s="553">
        <f t="shared" si="24"/>
        <v>4.4911464893394565E-2</v>
      </c>
      <c r="BD111" s="553">
        <f t="shared" si="25"/>
        <v>5.6195047764776122E-2</v>
      </c>
      <c r="BE111" s="538">
        <f t="shared" si="26"/>
        <v>5.1553301076223274E-2</v>
      </c>
      <c r="BF111" s="538">
        <f t="shared" si="27"/>
        <v>5.1824898656809781E-2</v>
      </c>
      <c r="BG111" s="455">
        <f t="shared" si="28"/>
        <v>6.4783078963107657E-2</v>
      </c>
    </row>
    <row r="112" spans="1:59" ht="15" customHeight="1">
      <c r="A112" s="535">
        <v>2018</v>
      </c>
      <c r="B112" s="676"/>
      <c r="C112" s="411" t="s">
        <v>435</v>
      </c>
      <c r="D112" s="536"/>
      <c r="E112" s="536"/>
      <c r="F112" s="536"/>
      <c r="G112" s="536"/>
      <c r="H112" s="536"/>
      <c r="I112" s="536" t="s">
        <v>203</v>
      </c>
      <c r="J112" s="524" t="s">
        <v>655</v>
      </c>
      <c r="K112" s="534">
        <f>'More Comp Group'!W108</f>
        <v>228344.664022326</v>
      </c>
      <c r="L112" s="534">
        <f>'More Comp Group'!X108</f>
        <v>242438.44634294501</v>
      </c>
      <c r="M112" s="534">
        <f>'More Comp Group'!Y108</f>
        <v>238838.26605230599</v>
      </c>
      <c r="N112" s="534">
        <f>'More Comp Group'!Z108</f>
        <v>218181.817889214</v>
      </c>
      <c r="O112" s="534">
        <f>'More Comp Group'!AA108</f>
        <v>215590.743944049</v>
      </c>
      <c r="P112" s="534">
        <f>'More Comp Group'!W112</f>
        <v>260204.073451459</v>
      </c>
      <c r="Q112" s="534">
        <f>'More Comp Group'!X112</f>
        <v>204220.39338946299</v>
      </c>
      <c r="R112" s="534">
        <f>'More Comp Group'!Y112</f>
        <v>234851.933524013</v>
      </c>
      <c r="S112" s="534">
        <f>'More Comp Group'!Z112</f>
        <v>177445.33923268301</v>
      </c>
      <c r="T112" s="534">
        <f>'More Comp Group'!AA112</f>
        <v>175395.859479904</v>
      </c>
      <c r="U112" s="534">
        <f>'More Comp Group'!W111</f>
        <v>11624376.051746311</v>
      </c>
      <c r="V112" s="534">
        <f>'More Comp Group'!X111</f>
        <v>11990152.09776167</v>
      </c>
      <c r="W112" s="534">
        <f>'More Comp Group'!Y111</f>
        <v>11087926.979839759</v>
      </c>
      <c r="X112" s="534">
        <f>'More Comp Group'!Z111</f>
        <v>10713233.58747367</v>
      </c>
      <c r="Y112" s="534">
        <f>'More Comp Group'!AA111</f>
        <v>10339464.113660149</v>
      </c>
      <c r="Z112" s="534">
        <f>'More Comp Group'!W106</f>
        <v>13512471.2304771</v>
      </c>
      <c r="AA112" s="534">
        <f>'More Comp Group'!X106</f>
        <v>13751230.5991948</v>
      </c>
      <c r="AB112" s="534">
        <f>'More Comp Group'!Y106</f>
        <v>12702049.968153199</v>
      </c>
      <c r="AC112" s="534">
        <f>'More Comp Group'!Z106</f>
        <v>12215880.305826699</v>
      </c>
      <c r="AD112" s="534">
        <f>'More Comp Group'!AA106</f>
        <v>11837515.277370799</v>
      </c>
      <c r="AE112" s="61">
        <f t="shared" si="21"/>
        <v>1.9256586675616676E-2</v>
      </c>
      <c r="AF112" s="61">
        <f t="shared" si="21"/>
        <v>1.4851063104230181E-2</v>
      </c>
      <c r="AG112" s="61">
        <f t="shared" si="21"/>
        <v>1.8489293784297641E-2</v>
      </c>
      <c r="AH112" s="61">
        <f t="shared" si="21"/>
        <v>1.4525792230302518E-2</v>
      </c>
      <c r="AI112" s="61">
        <f t="shared" si="29"/>
        <v>1.4816948943263433E-2</v>
      </c>
      <c r="AJ112" s="61">
        <f t="shared" si="22"/>
        <v>0.14701083911799515</v>
      </c>
      <c r="AK112" s="61">
        <f t="shared" si="22"/>
        <v>0.12711175971063243</v>
      </c>
      <c r="AL112" s="61">
        <f t="shared" si="22"/>
        <v>0.14601590052752123</v>
      </c>
      <c r="AM112" s="61">
        <f t="shared" si="22"/>
        <v>0.11468731591410272</v>
      </c>
      <c r="AN112" s="61">
        <f t="shared" si="30"/>
        <v>0.12528797783461629</v>
      </c>
      <c r="AO112" s="843"/>
      <c r="AP112" s="437"/>
      <c r="AQ112" s="534">
        <f>'More Comp Group'!W116*BP8</f>
        <v>1938059.487</v>
      </c>
      <c r="AR112" s="534">
        <f>'More Comp Group'!X116*BQ8</f>
        <v>1601870.97</v>
      </c>
      <c r="AS112" s="534">
        <f>'More Comp Group'!Y116*BR8</f>
        <v>1611370.5719999999</v>
      </c>
      <c r="AT112" s="534">
        <f>'More Comp Group'!Z116*BS8</f>
        <v>1605428.868</v>
      </c>
      <c r="AU112" s="534">
        <f>'More Comp Group'!AA116*BT8</f>
        <v>1488990.7340000002</v>
      </c>
      <c r="AV112" s="827">
        <f>'Shareholder funds'!F112</f>
        <v>1310892.5830000001</v>
      </c>
      <c r="AW112" s="719">
        <f>'Long Term Debt'!C90</f>
        <v>2549206</v>
      </c>
      <c r="AX112" s="719">
        <f>'Long Term Debt'!D90</f>
        <v>2890973</v>
      </c>
      <c r="AY112" s="719">
        <f>'Long Term Debt'!E90</f>
        <v>2942597</v>
      </c>
      <c r="AZ112" s="719">
        <f>'Long Term Debt'!F90</f>
        <v>3030495</v>
      </c>
      <c r="BA112" s="719">
        <f>'Long Term Debt'!G90</f>
        <v>2339829</v>
      </c>
      <c r="BB112" s="553">
        <f t="shared" si="23"/>
        <v>7.4960973421520971E-2</v>
      </c>
      <c r="BC112" s="553">
        <f t="shared" si="24"/>
        <v>5.8553252598233296E-2</v>
      </c>
      <c r="BD112" s="553">
        <f t="shared" si="25"/>
        <v>7.9811110228146437E-2</v>
      </c>
      <c r="BE112" s="538">
        <f t="shared" si="26"/>
        <v>8.403076180805874E-2</v>
      </c>
      <c r="BF112" s="538">
        <f t="shared" si="27"/>
        <v>6.7488135493439363E-2</v>
      </c>
      <c r="BG112" s="455">
        <f t="shared" si="28"/>
        <v>8.8211610364344037E-2</v>
      </c>
    </row>
    <row r="113" spans="1:59" ht="15" customHeight="1">
      <c r="A113" s="535">
        <v>2012</v>
      </c>
      <c r="B113" s="676"/>
      <c r="C113" s="411" t="s">
        <v>487</v>
      </c>
      <c r="D113" s="536"/>
      <c r="E113" s="536"/>
      <c r="F113" s="536"/>
      <c r="G113" s="536"/>
      <c r="H113" s="536"/>
      <c r="I113" s="536" t="s">
        <v>1029</v>
      </c>
      <c r="J113" s="524" t="s">
        <v>1082</v>
      </c>
      <c r="K113" s="534">
        <f>'More Comp Group'!D1057*BV8</f>
        <v>92829.369212000005</v>
      </c>
      <c r="L113" s="534">
        <f>'More Comp Group'!E1057*BW8</f>
        <v>116791.978995</v>
      </c>
      <c r="M113" s="534">
        <f>'More Comp Group'!F1057*BX8</f>
        <v>121262.45473</v>
      </c>
      <c r="N113" s="534">
        <f>'More Comp Group'!G1057*BY8</f>
        <v>1777.0064639999998</v>
      </c>
      <c r="O113" s="534">
        <f>'More Comp Group'!H1057*BZ8</f>
        <v>1886.509548</v>
      </c>
      <c r="P113" s="534">
        <f>'More Comp Group'!D1061*BV8</f>
        <v>-2169.1101859999999</v>
      </c>
      <c r="Q113" s="534">
        <f>'More Comp Group'!E1061*BW8</f>
        <v>-3781.1996400000003</v>
      </c>
      <c r="R113" s="534">
        <f>'More Comp Group'!F1061*BX8</f>
        <v>2253.483745</v>
      </c>
      <c r="S113" s="534">
        <f>'More Comp Group'!G1061*BY8</f>
        <v>-3448.2796679999997</v>
      </c>
      <c r="T113" s="534">
        <f>'More Comp Group'!H1061*BZ8</f>
        <v>-7564.6121760000005</v>
      </c>
      <c r="U113" s="534">
        <f>'More Comp Group'!D1060*BV8</f>
        <v>140892.03593400001</v>
      </c>
      <c r="V113" s="534">
        <f>'More Comp Group'!E1060*BW8</f>
        <v>168682.54441500001</v>
      </c>
      <c r="W113" s="534">
        <f>'More Comp Group'!F1060*BX8</f>
        <v>168229.24454400002</v>
      </c>
      <c r="X113" s="534">
        <f>'More Comp Group'!G1060*BY8</f>
        <v>46742.697119999997</v>
      </c>
      <c r="Y113" s="534">
        <f>'More Comp Group'!H1060*BZ8</f>
        <v>45844.700219999999</v>
      </c>
      <c r="Z113" s="534">
        <f>'More Comp Group'!D1055*BV8</f>
        <v>201131.58362799999</v>
      </c>
      <c r="AA113" s="534">
        <f>'More Comp Group'!E1055*BW8</f>
        <v>244160.87379000001</v>
      </c>
      <c r="AB113" s="534">
        <f>'More Comp Group'!F1055*BX8</f>
        <v>248765.365277</v>
      </c>
      <c r="AC113" s="534">
        <f>'More Comp Group'!G1055*BY8</f>
        <v>91051.81001999999</v>
      </c>
      <c r="AD113" s="534">
        <f>'More Comp Group'!H1055*BZ8</f>
        <v>96258.064716000008</v>
      </c>
      <c r="AE113" s="61">
        <f t="shared" si="21"/>
        <v>-1.078453292552922E-2</v>
      </c>
      <c r="AF113" s="61">
        <f t="shared" si="21"/>
        <v>-1.5486509289167137E-2</v>
      </c>
      <c r="AG113" s="61">
        <f t="shared" si="21"/>
        <v>9.0586715819171524E-3</v>
      </c>
      <c r="AH113" s="61">
        <f t="shared" si="21"/>
        <v>-3.7871621302668974E-2</v>
      </c>
      <c r="AI113" s="61">
        <f t="shared" si="29"/>
        <v>-7.8586788528510809E-2</v>
      </c>
      <c r="AJ113" s="61">
        <f t="shared" si="22"/>
        <v>-3.1964988442859416E-2</v>
      </c>
      <c r="AK113" s="61">
        <f t="shared" si="22"/>
        <v>-4.8472428513929175E-2</v>
      </c>
      <c r="AL113" s="61">
        <f t="shared" si="22"/>
        <v>3.6100436987837763E-2</v>
      </c>
      <c r="AM113" s="61">
        <f t="shared" si="22"/>
        <v>-7.2808054915709283E-2</v>
      </c>
      <c r="AN113" s="61">
        <f t="shared" si="30"/>
        <v>-0.13899642423501263</v>
      </c>
      <c r="AO113" s="843"/>
      <c r="AP113" s="437"/>
      <c r="AQ113" s="534">
        <f>'More Comp Group'!D1065*BV8</f>
        <v>60239.547694000001</v>
      </c>
      <c r="AR113" s="534">
        <f>'More Comp Group'!E1065*BW8</f>
        <v>75478.329375000001</v>
      </c>
      <c r="AS113" s="534">
        <f>'More Comp Group'!F1065*BX8</f>
        <v>80536.120733000003</v>
      </c>
      <c r="AT113" s="534">
        <f>'More Comp Group'!G1065*BY8</f>
        <v>44309.1129</v>
      </c>
      <c r="AU113" s="534">
        <f>'More Comp Group'!H1065*BZ8</f>
        <v>50413.364496000002</v>
      </c>
      <c r="AV113" s="827">
        <f>'Shareholder funds'!F113</f>
        <v>58432.776225000001</v>
      </c>
      <c r="AW113" s="719">
        <f>'More Comp Group'!D1063</f>
        <v>366322</v>
      </c>
      <c r="AX113" s="719">
        <f>'More Comp Group'!E1063</f>
        <v>827959</v>
      </c>
      <c r="AY113" s="719">
        <f>'More Comp Group'!F1063</f>
        <v>622526</v>
      </c>
      <c r="AZ113" s="719">
        <f>'More Comp Group'!G1063</f>
        <v>221087</v>
      </c>
      <c r="BA113" s="719">
        <f>'More Comp Group'!H1063</f>
        <v>149905</v>
      </c>
      <c r="BB113" s="553">
        <f t="shared" si="23"/>
        <v>-5.04627075547847E-2</v>
      </c>
      <c r="BC113" s="553">
        <f t="shared" si="24"/>
        <v>-1.5596935450750155E-2</v>
      </c>
      <c r="BD113" s="553">
        <f t="shared" si="25"/>
        <v>3.6199030160989258E-3</v>
      </c>
      <c r="BE113" s="538">
        <f t="shared" si="26"/>
        <v>-4.0774872476389348E-2</v>
      </c>
      <c r="BF113" s="538">
        <f t="shared" si="27"/>
        <v>-3.1595342659344883E-2</v>
      </c>
      <c r="BG113" s="455">
        <f t="shared" si="28"/>
        <v>1.4135258328955735E-2</v>
      </c>
    </row>
    <row r="114" spans="1:59" ht="15" customHeight="1">
      <c r="A114" s="535">
        <v>2012</v>
      </c>
      <c r="B114" s="676"/>
      <c r="C114" s="411" t="s">
        <v>487</v>
      </c>
      <c r="D114" s="536"/>
      <c r="E114" s="536"/>
      <c r="F114" s="536"/>
      <c r="G114" s="536"/>
      <c r="H114" s="536"/>
      <c r="I114" s="536" t="s">
        <v>1029</v>
      </c>
      <c r="J114" s="524" t="s">
        <v>919</v>
      </c>
      <c r="K114" s="534">
        <f>'More Comp Group'!D1072*BV8</f>
        <v>177064.03838800002</v>
      </c>
      <c r="L114" s="534">
        <f>'More Comp Group'!E1072*BW8</f>
        <v>198366.362505</v>
      </c>
      <c r="M114" s="534">
        <f>'More Comp Group'!F1072*BX8</f>
        <v>156419.18489</v>
      </c>
      <c r="N114" s="534">
        <f>'More Comp Group'!G1072*BY8</f>
        <v>142959.96372</v>
      </c>
      <c r="O114" s="534">
        <f>'More Comp Group'!H1072*BZ8</f>
        <v>159584.81299199999</v>
      </c>
      <c r="P114" s="534">
        <f>'More Comp Group'!D1076*BV8</f>
        <v>7059.515128</v>
      </c>
      <c r="Q114" s="534">
        <f>'More Comp Group'!E1076*BW8</f>
        <v>8676.1275000000005</v>
      </c>
      <c r="R114" s="534">
        <f>'More Comp Group'!F1076*BX8</f>
        <v>404.55439200000001</v>
      </c>
      <c r="S114" s="534">
        <f>'More Comp Group'!G1076*BY8</f>
        <v>1766.347176</v>
      </c>
      <c r="T114" s="534">
        <f>'More Comp Group'!H1076*BZ8</f>
        <v>2051.3536560000002</v>
      </c>
      <c r="U114" s="534">
        <f>'More Comp Group'!D1075*BV8</f>
        <v>81330.141069999998</v>
      </c>
      <c r="V114" s="534">
        <f>'More Comp Group'!E1075*BW8</f>
        <v>81916.811954999997</v>
      </c>
      <c r="W114" s="534">
        <f>'More Comp Group'!F1075*BX8</f>
        <v>65233.374108000004</v>
      </c>
      <c r="X114" s="534">
        <f>'More Comp Group'!G1075*BY8</f>
        <v>59709.377123999999</v>
      </c>
      <c r="Y114" s="534">
        <f>'More Comp Group'!H1075*BZ8</f>
        <v>71062.276824</v>
      </c>
      <c r="Z114" s="534">
        <f>'More Comp Group'!D1070*BV8</f>
        <v>134552.534702</v>
      </c>
      <c r="AA114" s="534">
        <f>'More Comp Group'!E1070*BW8</f>
        <v>143883.94329</v>
      </c>
      <c r="AB114" s="534">
        <f>'More Comp Group'!F1070*BX8</f>
        <v>122929.36866000001</v>
      </c>
      <c r="AC114" s="534">
        <f>'More Comp Group'!G1070*BY8</f>
        <v>115631.95622399999</v>
      </c>
      <c r="AD114" s="534">
        <f>'More Comp Group'!H1070*BZ8</f>
        <v>128885.94655200001</v>
      </c>
      <c r="AE114" s="61">
        <f t="shared" si="21"/>
        <v>5.2466608255541593E-2</v>
      </c>
      <c r="AF114" s="61">
        <f t="shared" si="21"/>
        <v>6.029948374790612E-2</v>
      </c>
      <c r="AG114" s="61">
        <f t="shared" si="21"/>
        <v>3.2909498878085264E-3</v>
      </c>
      <c r="AH114" s="61">
        <f t="shared" si="21"/>
        <v>1.5275597107241412E-2</v>
      </c>
      <c r="AI114" s="61">
        <f t="shared" si="29"/>
        <v>1.5916038256136529E-2</v>
      </c>
      <c r="AJ114" s="61">
        <f t="shared" si="22"/>
        <v>0.12257217190577772</v>
      </c>
      <c r="AK114" s="61">
        <f t="shared" si="22"/>
        <v>0.14500920706672865</v>
      </c>
      <c r="AL114" s="61">
        <f t="shared" si="22"/>
        <v>7.1212829233154411E-3</v>
      </c>
      <c r="AM114" s="61">
        <f t="shared" si="22"/>
        <v>3.1057627257294655E-2</v>
      </c>
      <c r="AN114" s="61">
        <f t="shared" si="30"/>
        <v>4.2950387278535604E-2</v>
      </c>
      <c r="AO114" s="843"/>
      <c r="AP114" s="437"/>
      <c r="AQ114" s="534">
        <f>'More Comp Group'!D1080*BV8</f>
        <v>53222.393631999999</v>
      </c>
      <c r="AR114" s="534">
        <f>'More Comp Group'!E1080*BW8</f>
        <v>61967.131334999998</v>
      </c>
      <c r="AS114" s="534">
        <f>'More Comp Group'!F1080*BX8</f>
        <v>57695.994552000004</v>
      </c>
      <c r="AT114" s="534">
        <f>'More Comp Group'!G1080*BY8</f>
        <v>55922.407176000001</v>
      </c>
      <c r="AU114" s="534">
        <f>'More Comp Group'!H1080*BZ8</f>
        <v>57824.026920000004</v>
      </c>
      <c r="AV114" s="827">
        <f>'Shareholder funds'!F114</f>
        <v>37697.982820999998</v>
      </c>
      <c r="AW114" s="719">
        <f>'More Comp Group'!D1078</f>
        <v>221977</v>
      </c>
      <c r="AX114" s="719">
        <f>'More Comp Group'!E1078</f>
        <v>131344</v>
      </c>
      <c r="AY114" s="719">
        <f>'More Comp Group'!F1078</f>
        <v>55933</v>
      </c>
      <c r="AZ114" s="719">
        <f>'More Comp Group'!G1078</f>
        <v>69764</v>
      </c>
      <c r="BA114" s="719">
        <f>'More Comp Group'!H1078</f>
        <v>112209</v>
      </c>
      <c r="BB114" s="553">
        <f t="shared" si="23"/>
        <v>1.8281542977836004E-2</v>
      </c>
      <c r="BC114" s="553">
        <f t="shared" si="24"/>
        <v>2.5318891921334786E-2</v>
      </c>
      <c r="BD114" s="553">
        <f t="shared" si="25"/>
        <v>7.2328391468363933E-3</v>
      </c>
      <c r="BE114" s="538">
        <f t="shared" si="26"/>
        <v>6.5070875586916807E-2</v>
      </c>
      <c r="BF114" s="538">
        <f t="shared" si="27"/>
        <v>8.3204105568292885E-2</v>
      </c>
      <c r="BG114" s="455">
        <f t="shared" si="28"/>
        <v>7.1804810542612299E-3</v>
      </c>
    </row>
    <row r="115" spans="1:59" ht="15" customHeight="1">
      <c r="A115" s="535">
        <v>2013</v>
      </c>
      <c r="B115" s="676"/>
      <c r="C115" s="411" t="s">
        <v>487</v>
      </c>
      <c r="D115" s="536"/>
      <c r="E115" s="536"/>
      <c r="F115" s="536"/>
      <c r="G115" s="536"/>
      <c r="H115" s="536"/>
      <c r="I115" s="536" t="s">
        <v>1030</v>
      </c>
      <c r="J115" s="524" t="s">
        <v>650</v>
      </c>
      <c r="K115" s="534">
        <f>'More Comp Group'!M139*BU8</f>
        <v>198650.52621700001</v>
      </c>
      <c r="L115" s="534">
        <f>'More Comp Group'!N139*BV8</f>
        <v>302969.82235999999</v>
      </c>
      <c r="M115" s="534">
        <f>'More Comp Group'!O139*BW8</f>
        <v>469829.17879500001</v>
      </c>
      <c r="N115" s="534">
        <f>'More Comp Group'!P139*BX8</f>
        <v>457295.44658500003</v>
      </c>
      <c r="O115" s="534">
        <f>'More Comp Group'!Q139*BY8</f>
        <v>538329.80419199995</v>
      </c>
      <c r="P115" s="534">
        <f>'More Comp Group'!M143*BU8</f>
        <v>-6125.1577970000008</v>
      </c>
      <c r="Q115" s="534">
        <f>'More Comp Group'!N143*BV8</f>
        <v>-10304.546700000001</v>
      </c>
      <c r="R115" s="534">
        <f>'More Comp Group'!O143*BW8</f>
        <v>-3370.79493</v>
      </c>
      <c r="S115" s="534">
        <f>'More Comp Group'!P143*BX8</f>
        <v>10154.894147000001</v>
      </c>
      <c r="T115" s="534">
        <f>'More Comp Group'!Q143*BY8</f>
        <v>23248.250975999999</v>
      </c>
      <c r="U115" s="534">
        <f>'More Comp Group'!M142*BU8</f>
        <v>113732.75953600001</v>
      </c>
      <c r="V115" s="534">
        <f>'More Comp Group'!N142*BV8</f>
        <v>97896.299299999999</v>
      </c>
      <c r="W115" s="534">
        <f>'More Comp Group'!O142*BW8</f>
        <v>139403.08162499999</v>
      </c>
      <c r="X115" s="534">
        <f>'More Comp Group'!P142*BX8</f>
        <v>137114.65296400001</v>
      </c>
      <c r="Y115" s="534">
        <f>'More Comp Group'!Q142*BY8</f>
        <v>210642.14442</v>
      </c>
      <c r="Z115" s="534">
        <f>'More Comp Group'!M137*BU8</f>
        <v>133756.64076500002</v>
      </c>
      <c r="AA115" s="534">
        <f>'More Comp Group'!N137*BV8</f>
        <v>117110.458946</v>
      </c>
      <c r="AB115" s="534">
        <f>'More Comp Group'!O137*BW8</f>
        <v>169000.13844000001</v>
      </c>
      <c r="AC115" s="534">
        <f>'More Comp Group'!P137*BX8</f>
        <v>171367.94642200001</v>
      </c>
      <c r="AD115" s="534">
        <f>'More Comp Group'!Q137*BY8</f>
        <v>263444.818692</v>
      </c>
      <c r="AE115" s="61">
        <f t="shared" si="21"/>
        <v>-4.5793298650206274E-2</v>
      </c>
      <c r="AF115" s="61">
        <f t="shared" si="21"/>
        <v>-8.7989977946815665E-2</v>
      </c>
      <c r="AG115" s="61">
        <f t="shared" si="21"/>
        <v>-1.9945515791377478E-2</v>
      </c>
      <c r="AH115" s="61">
        <f t="shared" si="21"/>
        <v>5.9257838814227207E-2</v>
      </c>
      <c r="AI115" s="61">
        <f t="shared" si="29"/>
        <v>8.8247136882126792E-2</v>
      </c>
      <c r="AJ115" s="61">
        <f t="shared" si="22"/>
        <v>-0.31220408911750552</v>
      </c>
      <c r="AK115" s="61">
        <f t="shared" si="22"/>
        <v>-0.42221936767020318</v>
      </c>
      <c r="AL115" s="61">
        <f t="shared" si="22"/>
        <v>-0.10558422672977526</v>
      </c>
      <c r="AM115" s="61">
        <f t="shared" si="22"/>
        <v>0.23329576160694526</v>
      </c>
      <c r="AN115" s="61">
        <f t="shared" si="30"/>
        <v>0.31512866854208549</v>
      </c>
      <c r="AO115" s="843"/>
      <c r="AP115" s="437"/>
      <c r="AQ115" s="534">
        <f>'More Comp Group'!M147*BU8</f>
        <v>20023.881229000002</v>
      </c>
      <c r="AR115" s="534">
        <f>'More Comp Group'!N147*BV8</f>
        <v>19214.283872</v>
      </c>
      <c r="AS115" s="534">
        <f>'More Comp Group'!O147*BW8</f>
        <v>29597.056815</v>
      </c>
      <c r="AT115" s="534">
        <f>'More Comp Group'!P147*BX8</f>
        <v>34253.293458</v>
      </c>
      <c r="AU115" s="534">
        <f>'More Comp Group'!Q147*BY8</f>
        <v>52802.674271999997</v>
      </c>
      <c r="AV115" s="827">
        <f>'Shareholder funds'!F115</f>
        <v>94744.999404000002</v>
      </c>
      <c r="AW115" s="719">
        <f>'Long Term Debt'!C93*BU8</f>
        <v>31527.139248000003</v>
      </c>
      <c r="AX115" s="719">
        <f>'Long Term Debt'!D93*BV8</f>
        <v>40297.547914000002</v>
      </c>
      <c r="AY115" s="719">
        <f>'Long Term Debt'!E93*BW8</f>
        <v>17499.191985000001</v>
      </c>
      <c r="AZ115" s="719">
        <f>'Long Term Debt'!F93*BX8</f>
        <v>17625.358772</v>
      </c>
      <c r="BA115" s="719">
        <f>'Long Term Debt'!G93*BY8</f>
        <v>17929.09434</v>
      </c>
      <c r="BB115" s="553">
        <f t="shared" ref="BB115:BB146" si="31">T115/BA115</f>
        <v>1.296677374502565</v>
      </c>
      <c r="BC115" s="553">
        <f t="shared" ref="BC115:BC149" si="32">S115/AZ115</f>
        <v>0.57615247884385024</v>
      </c>
      <c r="BD115" s="553">
        <f t="shared" ref="BD115:BD149" si="33">R115/AY115</f>
        <v>-0.1926257471138888</v>
      </c>
      <c r="BE115" s="538">
        <f t="shared" ref="BE115:BE149" si="34">((AU115/(AU115+Y115))*AJ115)+(Y115/(AU115+Y115))*BB115</f>
        <v>0.97420664120979827</v>
      </c>
      <c r="BF115" s="538">
        <f t="shared" ref="BF115:BF149" si="35">((AT115/(AT115+X115))*AK115)+(X115/(AT115+X115))*BC115</f>
        <v>0.37659635091641092</v>
      </c>
      <c r="BG115" s="455">
        <f t="shared" ref="BG115:BG149" si="36">((AS115/(AS115+W115))*AL115)+(W115/(AS115+W115))*BD115</f>
        <v>-0.17738213342307987</v>
      </c>
    </row>
    <row r="116" spans="1:59" ht="15" customHeight="1">
      <c r="A116" s="535">
        <v>2010</v>
      </c>
      <c r="B116" s="676"/>
      <c r="C116" s="411" t="s">
        <v>487</v>
      </c>
      <c r="D116" s="536"/>
      <c r="E116" s="536"/>
      <c r="F116" s="536"/>
      <c r="G116" s="536"/>
      <c r="H116" s="536"/>
      <c r="I116" s="536" t="s">
        <v>260</v>
      </c>
      <c r="J116" s="524" t="s">
        <v>702</v>
      </c>
      <c r="K116" s="534">
        <f>'More Comp Group'!M320*BX8</f>
        <v>11.91869</v>
      </c>
      <c r="L116" s="534">
        <f>'More Comp Group'!N320*BY8</f>
        <v>1350.4630199999999</v>
      </c>
      <c r="M116" s="534">
        <f>'More Comp Group'!O320*BZ8</f>
        <v>1752.02676</v>
      </c>
      <c r="N116" s="534">
        <f>'More Comp Group'!P320*CA8</f>
        <v>1997.209016</v>
      </c>
      <c r="O116" s="534">
        <f>'More Comp Group'!Q320*CB8</f>
        <v>1434.41506</v>
      </c>
      <c r="P116" s="534">
        <f>'More Comp Group'!M324*BX8</f>
        <v>-4054.7383380000001</v>
      </c>
      <c r="Q116" s="534">
        <f>'More Comp Group'!N324*BY8</f>
        <v>-3663.3565919999996</v>
      </c>
      <c r="R116" s="534">
        <f>'More Comp Group'!O324*BZ8</f>
        <v>-5221.2540600000002</v>
      </c>
      <c r="S116" s="534">
        <f>'More Comp Group'!P324*CA8</f>
        <v>-3463.1432049999999</v>
      </c>
      <c r="T116" s="534">
        <f>'More Comp Group'!Q324*CB8</f>
        <v>-2033.8721</v>
      </c>
      <c r="U116" s="534">
        <f>'More Comp Group'!M323*BX8</f>
        <v>11013.039827000001</v>
      </c>
      <c r="V116" s="534">
        <f>'More Comp Group'!N323*BY8</f>
        <v>7074.5006759999997</v>
      </c>
      <c r="W116" s="534">
        <f>'More Comp Group'!O323*BZ8</f>
        <v>7574.7921480000005</v>
      </c>
      <c r="X116" s="534">
        <f>'More Comp Group'!P323*CA8</f>
        <v>4359.8661979999997</v>
      </c>
      <c r="Y116" s="534">
        <f>'More Comp Group'!Q323*CB8</f>
        <v>3114.0770699999998</v>
      </c>
      <c r="Z116" s="534">
        <f>'More Comp Group'!M318*BX8</f>
        <v>28316.934503</v>
      </c>
      <c r="AA116" s="534">
        <f>'More Comp Group'!N318*BY8</f>
        <v>28918.992191999998</v>
      </c>
      <c r="AB116" s="534">
        <f>'More Comp Group'!O318*BZ8</f>
        <v>33742.499472000003</v>
      </c>
      <c r="AC116" s="534">
        <f>'More Comp Group'!P318*CA8</f>
        <v>34524.415044000001</v>
      </c>
      <c r="AD116" s="534">
        <f>'More Comp Group'!Q318*CB8</f>
        <v>35153.713790000002</v>
      </c>
      <c r="AE116" s="61">
        <f t="shared" ref="AE116:AH149" si="37">P116/Z116</f>
        <v>-0.14319128850513202</v>
      </c>
      <c r="AF116" s="61">
        <f t="shared" si="37"/>
        <v>-0.12667649576714543</v>
      </c>
      <c r="AG116" s="61">
        <f t="shared" si="37"/>
        <v>-0.1547382126902801</v>
      </c>
      <c r="AH116" s="61">
        <f t="shared" si="37"/>
        <v>-0.10030997485652866</v>
      </c>
      <c r="AI116" s="61">
        <f t="shared" si="29"/>
        <v>-5.7856535788789555E-2</v>
      </c>
      <c r="AJ116" s="61">
        <f t="shared" ref="AJ116:AM149" si="38">P116/(AVERAGE(AQ116:AR116))</f>
        <v>-0.20714715125746813</v>
      </c>
      <c r="AK116" s="61">
        <f t="shared" si="38"/>
        <v>-0.1526010755811491</v>
      </c>
      <c r="AL116" s="61">
        <f t="shared" si="38"/>
        <v>-0.18537296605723844</v>
      </c>
      <c r="AM116" s="61">
        <f t="shared" si="38"/>
        <v>-0.11134729763074232</v>
      </c>
      <c r="AN116" s="61">
        <f t="shared" si="30"/>
        <v>-5.7959081281376931E-2</v>
      </c>
      <c r="AO116" s="843"/>
      <c r="AP116" s="437"/>
      <c r="AQ116" s="534">
        <f>'More Comp Group'!M328*BX8</f>
        <v>17303.894676</v>
      </c>
      <c r="AR116" s="534">
        <f>'More Comp Group'!N328*BY8</f>
        <v>21844.491515999998</v>
      </c>
      <c r="AS116" s="534">
        <f>'More Comp Group'!O328*BZ8</f>
        <v>26167.707323999999</v>
      </c>
      <c r="AT116" s="534">
        <f>'More Comp Group'!P328*CA8</f>
        <v>30164.714507000001</v>
      </c>
      <c r="AU116" s="534">
        <f>'More Comp Group'!Q328*CB8</f>
        <v>32039.636719999999</v>
      </c>
      <c r="AV116" s="827">
        <f>'Shareholder funds'!F116</f>
        <v>38143.39776</v>
      </c>
      <c r="AW116" s="719">
        <f>'Long Term Debt'!C94*BX8</f>
        <v>9180.7966400000005</v>
      </c>
      <c r="AX116" s="719">
        <f>'Long Term Debt'!D94*BY8</f>
        <v>4126.1759999999995</v>
      </c>
      <c r="AY116" s="719">
        <f>'Long Term Debt'!E94*BZ8</f>
        <v>4828.164264</v>
      </c>
      <c r="AZ116" s="719">
        <f>'Long Term Debt'!F94*CA8</f>
        <v>2984.3829150000001</v>
      </c>
      <c r="BA116" s="719">
        <f>'Long Term Debt'!G94*CB8</f>
        <v>2213.6133500000001</v>
      </c>
      <c r="BB116" s="553">
        <f t="shared" si="31"/>
        <v>-0.91880187657885237</v>
      </c>
      <c r="BC116" s="553">
        <f t="shared" si="32"/>
        <v>-1.160421870663336</v>
      </c>
      <c r="BD116" s="553">
        <f t="shared" si="33"/>
        <v>-1.0814159946733743</v>
      </c>
      <c r="BE116" s="538">
        <f t="shared" si="34"/>
        <v>-0.27018878819856673</v>
      </c>
      <c r="BF116" s="538">
        <f t="shared" si="35"/>
        <v>-0.27987166738543878</v>
      </c>
      <c r="BG116" s="455">
        <f t="shared" si="36"/>
        <v>-0.38652403084613696</v>
      </c>
    </row>
    <row r="117" spans="1:59" ht="15" customHeight="1">
      <c r="A117" s="535">
        <v>2010</v>
      </c>
      <c r="B117" s="676"/>
      <c r="C117" s="411" t="s">
        <v>487</v>
      </c>
      <c r="D117" s="536"/>
      <c r="E117" s="536"/>
      <c r="F117" s="536"/>
      <c r="G117" s="536"/>
      <c r="H117" s="536"/>
      <c r="I117" s="536" t="s">
        <v>309</v>
      </c>
      <c r="J117" s="524" t="s">
        <v>704</v>
      </c>
      <c r="K117" s="534">
        <f>'More Comp Group'!AE336*BX8</f>
        <v>218460.56354900001</v>
      </c>
      <c r="L117" s="534">
        <f>'More Comp Group'!AF336*BY8</f>
        <v>177594.74121599999</v>
      </c>
      <c r="M117" s="534">
        <f>'More Comp Group'!AG336*BZ8</f>
        <v>177129.905436</v>
      </c>
      <c r="N117" s="534">
        <f>'More Comp Group'!AH336*CA8</f>
        <v>140144.89881400001</v>
      </c>
      <c r="O117" s="534">
        <f>'More Comp Group'!AI336*CB8</f>
        <v>138607.18534</v>
      </c>
      <c r="P117" s="534">
        <f>'More Comp Group'!AE340*BX8</f>
        <v>15263.244681</v>
      </c>
      <c r="Q117" s="534">
        <f>'More Comp Group'!AF340*BY8</f>
        <v>936.29810399999997</v>
      </c>
      <c r="R117" s="534">
        <f>'More Comp Group'!AG340*BZ8</f>
        <v>3404.754144</v>
      </c>
      <c r="S117" s="534">
        <f>'More Comp Group'!AH340*CA8</f>
        <v>3031.0993170000002</v>
      </c>
      <c r="T117" s="534">
        <f>'More Comp Group'!AI340*CB8</f>
        <v>9816.1090299999996</v>
      </c>
      <c r="U117" s="534">
        <f>'More Comp Group'!AE339*BX8</f>
        <v>135935.383722</v>
      </c>
      <c r="V117" s="534">
        <f>'More Comp Group'!AF339*BY8</f>
        <v>108051.65514</v>
      </c>
      <c r="W117" s="534">
        <f>'More Comp Group'!AG339*BZ8</f>
        <v>94960.92196800001</v>
      </c>
      <c r="X117" s="534">
        <f>'More Comp Group'!AH339*CA8</f>
        <v>108428.43772</v>
      </c>
      <c r="Y117" s="534">
        <f>'More Comp Group'!AI339*CB8</f>
        <v>80004.507960000003</v>
      </c>
      <c r="Z117" s="534">
        <f>'More Comp Group'!AE334*BX8</f>
        <v>195284.33030999999</v>
      </c>
      <c r="AA117" s="534">
        <f>'More Comp Group'!AF334*BY8</f>
        <v>152663.69812799999</v>
      </c>
      <c r="AB117" s="534">
        <f>'More Comp Group'!AG334*BZ8</f>
        <v>142270.823772</v>
      </c>
      <c r="AC117" s="534">
        <f>'More Comp Group'!AH334*CA8</f>
        <v>150436.257117</v>
      </c>
      <c r="AD117" s="534">
        <f>'More Comp Group'!AI334*CB8</f>
        <v>121208.87142</v>
      </c>
      <c r="AE117" s="61">
        <f t="shared" si="37"/>
        <v>7.8159085558839686E-2</v>
      </c>
      <c r="AF117" s="61">
        <f t="shared" si="37"/>
        <v>6.133076268170618E-3</v>
      </c>
      <c r="AG117" s="61">
        <f t="shared" si="37"/>
        <v>2.3931499472136197E-2</v>
      </c>
      <c r="AH117" s="61">
        <f t="shared" si="37"/>
        <v>2.0148728604983828E-2</v>
      </c>
      <c r="AI117" s="61">
        <f t="shared" si="29"/>
        <v>8.098507077082065E-2</v>
      </c>
      <c r="AJ117" s="61">
        <f t="shared" si="38"/>
        <v>0.29363504021283404</v>
      </c>
      <c r="AK117" s="61">
        <f t="shared" si="38"/>
        <v>2.0371629979423593E-2</v>
      </c>
      <c r="AL117" s="61">
        <f t="shared" si="38"/>
        <v>7.6239173845799757E-2</v>
      </c>
      <c r="AM117" s="61">
        <f t="shared" si="38"/>
        <v>7.2852011779510617E-2</v>
      </c>
      <c r="AN117" s="61">
        <f t="shared" si="30"/>
        <v>0.25391596474156475</v>
      </c>
      <c r="AO117" s="843"/>
      <c r="AP117" s="437"/>
      <c r="AQ117" s="534">
        <f>'More Comp Group'!AE344*BX8</f>
        <v>59348.606054000003</v>
      </c>
      <c r="AR117" s="534">
        <f>'More Comp Group'!AF344*BY8</f>
        <v>44612.042988000001</v>
      </c>
      <c r="AS117" s="534">
        <f>'More Comp Group'!AG344*BZ8</f>
        <v>47309.723208000003</v>
      </c>
      <c r="AT117" s="534">
        <f>'More Comp Group'!AH344*CA8</f>
        <v>42007.985057999998</v>
      </c>
      <c r="AU117" s="534">
        <f>'More Comp Group'!AI344*CB8</f>
        <v>41204.523229999999</v>
      </c>
      <c r="AV117" s="827">
        <f>'Shareholder funds'!F117</f>
        <v>36113.254247999997</v>
      </c>
      <c r="AW117" s="719">
        <f>'Long Term Debt'!C97*BX8</f>
        <v>79842.282707999999</v>
      </c>
      <c r="AX117" s="719">
        <f>'Long Term Debt'!D97*BY8</f>
        <v>60159.989927999995</v>
      </c>
      <c r="AY117" s="719">
        <f>'Long Term Debt'!E97*BZ8</f>
        <v>57390.574428</v>
      </c>
      <c r="AZ117" s="719">
        <f>'Long Term Debt'!F97*CA8</f>
        <v>53908.077332000001</v>
      </c>
      <c r="BA117" s="719">
        <f>'Long Term Debt'!G97*CB8</f>
        <v>53354.712189999998</v>
      </c>
      <c r="BB117" s="553">
        <f t="shared" si="31"/>
        <v>0.18397829595714291</v>
      </c>
      <c r="BC117" s="553">
        <f t="shared" si="32"/>
        <v>5.6227182771379051E-2</v>
      </c>
      <c r="BD117" s="553">
        <f t="shared" si="33"/>
        <v>5.9326016126070899E-2</v>
      </c>
      <c r="BE117" s="538">
        <f t="shared" si="34"/>
        <v>0.22125566565187377</v>
      </c>
      <c r="BF117" s="538">
        <f t="shared" si="35"/>
        <v>4.6214849999058796E-2</v>
      </c>
      <c r="BG117" s="455">
        <f t="shared" si="36"/>
        <v>6.4950203809368209E-2</v>
      </c>
    </row>
    <row r="118" spans="1:59" ht="15" customHeight="1">
      <c r="A118" s="535">
        <v>2016</v>
      </c>
      <c r="B118" s="676"/>
      <c r="C118" s="411" t="s">
        <v>487</v>
      </c>
      <c r="D118" s="536"/>
      <c r="E118" s="536"/>
      <c r="F118" s="536"/>
      <c r="G118" s="536"/>
      <c r="H118" s="536"/>
      <c r="I118" s="536" t="s">
        <v>1031</v>
      </c>
      <c r="J118" s="524" t="s">
        <v>1070</v>
      </c>
      <c r="K118" s="534">
        <f>'More Comp Group'!D951*BR8</f>
        <v>56122.586197999997</v>
      </c>
      <c r="L118" s="534">
        <f>'More Comp Group'!E951*BS8</f>
        <v>27516.913098000001</v>
      </c>
      <c r="M118" s="534">
        <f>'More Comp Group'!F951*BT8</f>
        <v>32942.300732000003</v>
      </c>
      <c r="N118" s="534">
        <f>'More Comp Group'!G951*BU8</f>
        <v>29300.848148000001</v>
      </c>
      <c r="O118" s="534">
        <f>'More Comp Group'!H951*BV8</f>
        <v>25838.511096000002</v>
      </c>
      <c r="P118" s="534">
        <f>'More Comp Group'!D955*BR8</f>
        <v>-1093.4625169999999</v>
      </c>
      <c r="Q118" s="534">
        <f>'More Comp Group'!E955*BS8</f>
        <v>-8244.021084</v>
      </c>
      <c r="R118" s="534">
        <f>'More Comp Group'!F955*BT8</f>
        <v>-1414.777276</v>
      </c>
      <c r="S118" s="534">
        <f>'More Comp Group'!G955*BU8</f>
        <v>-892.89750000000004</v>
      </c>
      <c r="T118" s="534">
        <f>'More Comp Group'!H955*BV8</f>
        <v>-12656.641783999999</v>
      </c>
      <c r="U118" s="534">
        <f>'More Comp Group'!D954*BR8</f>
        <v>25230.934106000001</v>
      </c>
      <c r="V118" s="534">
        <f>'More Comp Group'!E954*BS8</f>
        <v>14255.711646</v>
      </c>
      <c r="W118" s="534">
        <f>'More Comp Group'!F954*BT8</f>
        <v>8935.8814600000005</v>
      </c>
      <c r="X118" s="534">
        <f>'More Comp Group'!G954*BU8</f>
        <v>14862.695573000001</v>
      </c>
      <c r="Y118" s="534">
        <f>'More Comp Group'!H954*BV8</f>
        <v>55355.105600000003</v>
      </c>
      <c r="Z118" s="534">
        <f>'More Comp Group'!D949*BR8</f>
        <v>37908.936709000001</v>
      </c>
      <c r="AA118" s="534">
        <f>'More Comp Group'!E949*BS8</f>
        <v>29743.956942000001</v>
      </c>
      <c r="AB118" s="534">
        <f>'More Comp Group'!F949*BT8</f>
        <v>32599.683952000003</v>
      </c>
      <c r="AC118" s="534">
        <f>'More Comp Group'!G949*BU8</f>
        <v>35753.520748000003</v>
      </c>
      <c r="AD118" s="534">
        <f>'More Comp Group'!H949*BV8</f>
        <v>65389.833427999998</v>
      </c>
      <c r="AE118" s="61">
        <f t="shared" si="37"/>
        <v>-2.884445230932578E-2</v>
      </c>
      <c r="AF118" s="61">
        <f t="shared" si="37"/>
        <v>-0.27716625262992556</v>
      </c>
      <c r="AG118" s="61">
        <f t="shared" si="37"/>
        <v>-4.3398496687364445E-2</v>
      </c>
      <c r="AH118" s="61">
        <f t="shared" si="37"/>
        <v>-2.4973694375258062E-2</v>
      </c>
      <c r="AI118" s="61">
        <f t="shared" si="29"/>
        <v>-0.19355672159550741</v>
      </c>
      <c r="AJ118" s="61">
        <f t="shared" si="38"/>
        <v>-7.7642158596134186E-2</v>
      </c>
      <c r="AK118" s="61">
        <f t="shared" si="38"/>
        <v>-0.42112452769428471</v>
      </c>
      <c r="AL118" s="61">
        <f t="shared" si="38"/>
        <v>-6.3507192201546617E-2</v>
      </c>
      <c r="AM118" s="61">
        <f t="shared" si="38"/>
        <v>-5.7744743485809921E-2</v>
      </c>
      <c r="AN118" s="61">
        <f t="shared" si="30"/>
        <v>-0.64276784513876939</v>
      </c>
      <c r="AO118" s="843"/>
      <c r="AP118" s="437"/>
      <c r="AQ118" s="534">
        <f>'More Comp Group'!D959*BR8</f>
        <v>12678.230004999999</v>
      </c>
      <c r="AR118" s="534">
        <f>'More Comp Group'!E959*BS8</f>
        <v>15488.491188</v>
      </c>
      <c r="AS118" s="534">
        <f>'More Comp Group'!F959*BT8</f>
        <v>23663.923558000002</v>
      </c>
      <c r="AT118" s="534">
        <f>'More Comp Group'!G959*BU8</f>
        <v>20890.944228</v>
      </c>
      <c r="AU118" s="534">
        <f>'More Comp Group'!H959*BV8</f>
        <v>10034.727828000001</v>
      </c>
      <c r="AV118" s="827">
        <f>'Shareholder funds'!F118</f>
        <v>29346.961470000002</v>
      </c>
      <c r="AW118" s="719">
        <f>'More Comp Group'!D957*BR8</f>
        <v>4253.0996059999998</v>
      </c>
      <c r="AX118" s="719">
        <f>'More Comp Group'!E957*BS8</f>
        <v>4236.5962140000001</v>
      </c>
      <c r="AY118" s="719">
        <f>'More Comp Group'!F957*BT8</f>
        <v>2398.9227900000001</v>
      </c>
      <c r="AZ118" s="719">
        <f>'More Comp Group'!G957*BU8</f>
        <v>440.257994</v>
      </c>
      <c r="BA118" s="719">
        <f>'More Comp Group'!H957*BV8</f>
        <v>470.69231400000001</v>
      </c>
      <c r="BB118" s="553">
        <f t="shared" si="31"/>
        <v>-26.889416732647135</v>
      </c>
      <c r="BC118" s="553">
        <f t="shared" si="32"/>
        <v>-2.028123309897242</v>
      </c>
      <c r="BD118" s="553">
        <f t="shared" si="33"/>
        <v>-0.58975523593237444</v>
      </c>
      <c r="BE118" s="538">
        <f t="shared" si="34"/>
        <v>-22.774880170437676</v>
      </c>
      <c r="BF118" s="538">
        <f t="shared" si="35"/>
        <v>-1.0891497642576475</v>
      </c>
      <c r="BG118" s="455">
        <f t="shared" si="36"/>
        <v>-0.20775621868311886</v>
      </c>
    </row>
    <row r="119" spans="1:59" ht="15" customHeight="1">
      <c r="A119" s="535">
        <v>2016</v>
      </c>
      <c r="B119" s="676"/>
      <c r="C119" s="411" t="s">
        <v>487</v>
      </c>
      <c r="D119" s="536"/>
      <c r="E119" s="536"/>
      <c r="F119" s="536"/>
      <c r="G119" s="536"/>
      <c r="H119" s="536"/>
      <c r="I119" s="536" t="s">
        <v>1031</v>
      </c>
      <c r="J119" s="524" t="s">
        <v>657</v>
      </c>
      <c r="K119" s="534">
        <f>'More Comp Group'!D981*BR8</f>
        <v>30314.278414</v>
      </c>
      <c r="L119" s="534">
        <f>'More Comp Group'!E981*BS8</f>
        <v>27086.233260000001</v>
      </c>
      <c r="M119" s="534">
        <f>'More Comp Group'!F981*BT8</f>
        <v>25549.526508000003</v>
      </c>
      <c r="N119" s="534">
        <f>'More Comp Group'!G981*BU8</f>
        <v>367481.60941800004</v>
      </c>
      <c r="O119" s="534">
        <f>'More Comp Group'!H981*BV8</f>
        <v>379043.712918</v>
      </c>
      <c r="P119" s="534">
        <f>'More Comp Group'!D985*BR8</f>
        <v>5568.6201759999994</v>
      </c>
      <c r="Q119" s="534">
        <f>'More Comp Group'!E985*BS8</f>
        <v>1452.60699</v>
      </c>
      <c r="R119" s="534">
        <f>'More Comp Group'!F985*BT8</f>
        <v>992.49906800000008</v>
      </c>
      <c r="S119" s="534">
        <f>'More Comp Group'!G985*BU8</f>
        <v>-15128.302816000001</v>
      </c>
      <c r="T119" s="534">
        <f>'More Comp Group'!H985*BV8</f>
        <v>-4989.2888380000004</v>
      </c>
      <c r="U119" s="534">
        <f>'More Comp Group'!D984*BR8</f>
        <v>20750.091397</v>
      </c>
      <c r="V119" s="534">
        <f>'More Comp Group'!E984*BS8</f>
        <v>233819.31753</v>
      </c>
      <c r="W119" s="534">
        <f>'More Comp Group'!F984*BT8</f>
        <v>208357.24945200002</v>
      </c>
      <c r="X119" s="534">
        <f>'More Comp Group'!G984*BU8</f>
        <v>185579.81640000001</v>
      </c>
      <c r="Y119" s="534">
        <f>'More Comp Group'!H984*BV8</f>
        <v>269686.819762</v>
      </c>
      <c r="Z119" s="534">
        <f>'More Comp Group'!D979*BR8</f>
        <v>47304.277740999998</v>
      </c>
      <c r="AA119" s="534">
        <f>'More Comp Group'!E979*BS8</f>
        <v>297041.83911</v>
      </c>
      <c r="AB119" s="534">
        <f>'More Comp Group'!F979*BT8</f>
        <v>281900.12287800002</v>
      </c>
      <c r="AC119" s="534">
        <f>'More Comp Group'!G979*BU8</f>
        <v>258967.06192500002</v>
      </c>
      <c r="AD119" s="534">
        <f>'More Comp Group'!H979*BV8</f>
        <v>375846.13567799999</v>
      </c>
      <c r="AE119" s="61">
        <f t="shared" si="37"/>
        <v>0.11771916710131933</v>
      </c>
      <c r="AF119" s="61">
        <f t="shared" si="37"/>
        <v>4.8902437257738402E-3</v>
      </c>
      <c r="AG119" s="61">
        <f t="shared" si="37"/>
        <v>3.5207471989273701E-3</v>
      </c>
      <c r="AH119" s="61">
        <f t="shared" si="37"/>
        <v>-5.8417864818581987E-2</v>
      </c>
      <c r="AI119" s="61">
        <f t="shared" si="29"/>
        <v>-1.3274817443578805E-2</v>
      </c>
      <c r="AJ119" s="61">
        <f t="shared" si="38"/>
        <v>0.12405457108413981</v>
      </c>
      <c r="AK119" s="61">
        <f t="shared" si="38"/>
        <v>2.1242298669315395E-2</v>
      </c>
      <c r="AL119" s="61">
        <f t="shared" si="38"/>
        <v>1.3509789098449833E-2</v>
      </c>
      <c r="AM119" s="61">
        <f t="shared" si="38"/>
        <v>-0.16851654113767547</v>
      </c>
      <c r="AN119" s="61">
        <f t="shared" si="30"/>
        <v>-4.9076729196121334E-2</v>
      </c>
      <c r="AO119" s="843"/>
      <c r="AP119" s="437"/>
      <c r="AQ119" s="534">
        <f>'More Comp Group'!D989*BR8</f>
        <v>26554.300045</v>
      </c>
      <c r="AR119" s="534">
        <f>'More Comp Group'!E989*BS8</f>
        <v>63222.644525999996</v>
      </c>
      <c r="AS119" s="534">
        <f>'More Comp Group'!F989*BT8</f>
        <v>73542.873426000006</v>
      </c>
      <c r="AT119" s="534">
        <f>'More Comp Group'!G989*BU8</f>
        <v>73387.48363100001</v>
      </c>
      <c r="AU119" s="534">
        <f>'More Comp Group'!H989*BV8</f>
        <v>106159.31591600001</v>
      </c>
      <c r="AV119" s="827">
        <f>'Shareholder funds'!F119</f>
        <v>97166.737785000005</v>
      </c>
      <c r="AW119" s="719">
        <f>'More Comp Group'!D987*BR8</f>
        <v>76.748175000000003</v>
      </c>
      <c r="AX119" s="719">
        <f>'More Comp Group'!E987*BS8</f>
        <v>0</v>
      </c>
      <c r="AY119" s="719">
        <f>'More Comp Group'!F987*BT8</f>
        <v>0</v>
      </c>
      <c r="AZ119" s="719">
        <f>'More Comp Group'!G987*BU8</f>
        <v>37870.759300000005</v>
      </c>
      <c r="BA119" s="719">
        <f>'More Comp Group'!H987*BV8</f>
        <v>6407.7013059999999</v>
      </c>
      <c r="BB119" s="553">
        <f t="shared" si="31"/>
        <v>-0.77863942149241006</v>
      </c>
      <c r="BC119" s="553">
        <f t="shared" si="32"/>
        <v>-0.39947186419364977</v>
      </c>
      <c r="BD119" s="553" t="e">
        <f t="shared" si="33"/>
        <v>#DIV/0!</v>
      </c>
      <c r="BE119" s="538">
        <f t="shared" si="34"/>
        <v>-0.52366972076490392</v>
      </c>
      <c r="BF119" s="538">
        <f t="shared" si="35"/>
        <v>-0.28024772378387686</v>
      </c>
      <c r="BG119" s="455" t="e">
        <f t="shared" si="36"/>
        <v>#DIV/0!</v>
      </c>
    </row>
    <row r="120" spans="1:59" ht="15" customHeight="1">
      <c r="A120" s="535">
        <v>2016</v>
      </c>
      <c r="B120" s="676"/>
      <c r="C120" s="411" t="s">
        <v>487</v>
      </c>
      <c r="D120" s="536"/>
      <c r="E120" s="536"/>
      <c r="F120" s="536"/>
      <c r="G120" s="536"/>
      <c r="H120" s="536"/>
      <c r="I120" s="536" t="s">
        <v>1031</v>
      </c>
      <c r="J120" s="524" t="s">
        <v>1079</v>
      </c>
      <c r="K120" s="534">
        <f>'More Comp Group'!D997*BR8</f>
        <v>128716.240359</v>
      </c>
      <c r="L120" s="534">
        <f>'More Comp Group'!E997*BS8</f>
        <v>130828.559844</v>
      </c>
      <c r="M120" s="534">
        <f>'More Comp Group'!F997*BT8</f>
        <v>95578.338218000004</v>
      </c>
      <c r="N120" s="534">
        <f>'More Comp Group'!G997*BU8</f>
        <v>68276.657394000009</v>
      </c>
      <c r="O120" s="534">
        <f>'More Comp Group'!H997*BV8</f>
        <v>7007.5886600000003</v>
      </c>
      <c r="P120" s="534">
        <f>'More Comp Group'!D1001*BR8</f>
        <v>-7314.4990309999994</v>
      </c>
      <c r="Q120" s="534">
        <f>'More Comp Group'!E1001*BS8</f>
        <v>2622.4381800000001</v>
      </c>
      <c r="R120" s="534">
        <f>'More Comp Group'!F1001*BT8</f>
        <v>-5771.9426160000003</v>
      </c>
      <c r="S120" s="534">
        <f>'More Comp Group'!G1001*BU8</f>
        <v>-5321.6691000000001</v>
      </c>
      <c r="T120" s="534">
        <f>'More Comp Group'!H1001*BV8</f>
        <v>-6950.5689259999999</v>
      </c>
      <c r="U120" s="534">
        <f>'More Comp Group'!D1000*BR8</f>
        <v>41071.188921000001</v>
      </c>
      <c r="V120" s="534">
        <f>'More Comp Group'!E1000*BS8</f>
        <v>33708.842495999997</v>
      </c>
      <c r="W120" s="534">
        <f>'More Comp Group'!F1000*BT8</f>
        <v>38180.100156</v>
      </c>
      <c r="X120" s="534">
        <f>'More Comp Group'!G1000*BU8</f>
        <v>29538.716042</v>
      </c>
      <c r="Y120" s="534">
        <f>'More Comp Group'!H1000*BV8</f>
        <v>1469.3451279999999</v>
      </c>
      <c r="Z120" s="534">
        <f>'More Comp Group'!D995*BR8</f>
        <v>92915.433890999993</v>
      </c>
      <c r="AA120" s="534">
        <f>'More Comp Group'!E995*BS8</f>
        <v>96875.792484000005</v>
      </c>
      <c r="AB120" s="534">
        <f>'More Comp Group'!F995*BT8</f>
        <v>92673.238482000001</v>
      </c>
      <c r="AC120" s="534">
        <f>'More Comp Group'!G995*BU8</f>
        <v>60527.616677000005</v>
      </c>
      <c r="AD120" s="534">
        <f>'More Comp Group'!H995*BV8</f>
        <v>4566.5477600000004</v>
      </c>
      <c r="AE120" s="61">
        <f t="shared" si="37"/>
        <v>-7.8722110253294522E-2</v>
      </c>
      <c r="AF120" s="61">
        <f t="shared" si="37"/>
        <v>2.7070108153521653E-2</v>
      </c>
      <c r="AG120" s="61">
        <f t="shared" si="37"/>
        <v>-6.2282733511261609E-2</v>
      </c>
      <c r="AH120" s="61">
        <f t="shared" si="37"/>
        <v>-8.7921338922009637E-2</v>
      </c>
      <c r="AI120" s="61">
        <f t="shared" si="29"/>
        <v>-1.5220620239390641</v>
      </c>
      <c r="AJ120" s="61">
        <f t="shared" si="38"/>
        <v>-0.12719628633901747</v>
      </c>
      <c r="AK120" s="61">
        <f t="shared" si="38"/>
        <v>4.4576511469200449E-2</v>
      </c>
      <c r="AL120" s="61">
        <f t="shared" si="38"/>
        <v>-0.13504476170246554</v>
      </c>
      <c r="AM120" s="61">
        <f t="shared" si="38"/>
        <v>-0.312248605146491</v>
      </c>
      <c r="AN120" s="61">
        <f>T120/(AVERAGE(AU120:AV120))</f>
        <v>-1.021944120972041</v>
      </c>
      <c r="AO120" s="843"/>
      <c r="AP120" s="437"/>
      <c r="AQ120" s="534">
        <f>'More Comp Group'!D1005*BR8</f>
        <v>51844.131268999998</v>
      </c>
      <c r="AR120" s="534">
        <f>'More Comp Group'!E1005*BS8</f>
        <v>63167.072934000003</v>
      </c>
      <c r="AS120" s="534">
        <f>'More Comp Group'!F1005*BT8</f>
        <v>54493.017260000001</v>
      </c>
      <c r="AT120" s="534">
        <f>'More Comp Group'!G1005*BU8</f>
        <v>30988.900635000002</v>
      </c>
      <c r="AU120" s="534">
        <f>'More Comp Group'!H1005*BV8</f>
        <v>3097.202632</v>
      </c>
      <c r="AV120" s="827">
        <f>'Shareholder funds'!F120</f>
        <v>10505.437245000001</v>
      </c>
      <c r="AW120" s="719">
        <f>'More Comp Group'!D1003*BR8</f>
        <v>393.40546000000001</v>
      </c>
      <c r="AX120" s="719">
        <f>'More Comp Group'!E1003*BS8</f>
        <v>416.41810199999998</v>
      </c>
      <c r="AY120" s="719">
        <f>'More Comp Group'!F1003*BT8</f>
        <v>468.52542000000005</v>
      </c>
      <c r="AZ120" s="719">
        <f>'More Comp Group'!G1003*BU8</f>
        <v>519.42823900000008</v>
      </c>
      <c r="BA120" s="719">
        <f>'More Comp Group'!H1003*BV8</f>
        <v>975.422552</v>
      </c>
      <c r="BB120" s="553">
        <f t="shared" si="31"/>
        <v>-7.1257004584819157</v>
      </c>
      <c r="BC120" s="553">
        <f t="shared" si="32"/>
        <v>-10.245244098097638</v>
      </c>
      <c r="BD120" s="553">
        <f t="shared" si="33"/>
        <v>-12.31937984496124</v>
      </c>
      <c r="BE120" s="538">
        <f t="shared" si="34"/>
        <v>-2.3790544840568146</v>
      </c>
      <c r="BF120" s="538">
        <f t="shared" si="35"/>
        <v>-4.9770665961903156</v>
      </c>
      <c r="BG120" s="455">
        <f t="shared" si="36"/>
        <v>-5.1548298599511195</v>
      </c>
    </row>
    <row r="121" spans="1:59" ht="15" customHeight="1">
      <c r="A121" s="535">
        <v>2016</v>
      </c>
      <c r="B121" s="676"/>
      <c r="C121" s="411" t="s">
        <v>487</v>
      </c>
      <c r="D121" s="536"/>
      <c r="E121" s="536"/>
      <c r="F121" s="536"/>
      <c r="G121" s="536"/>
      <c r="H121" s="536"/>
      <c r="I121" s="536" t="s">
        <v>1031</v>
      </c>
      <c r="J121" s="524" t="s">
        <v>736</v>
      </c>
      <c r="K121" s="534">
        <f>'More Comp Group'!M353*BR8</f>
        <v>41401.490325999999</v>
      </c>
      <c r="L121" s="534">
        <f>'More Comp Group'!N353*BS8</f>
        <v>37296.652668000002</v>
      </c>
      <c r="M121" s="534">
        <f>'More Comp Group'!O353*BT8</f>
        <v>78652.100758</v>
      </c>
      <c r="N121" s="534">
        <f>'More Comp Group'!P353*BU8</f>
        <v>85515.293688000005</v>
      </c>
      <c r="O121" s="534">
        <f>'More Comp Group'!Q353*BV8</f>
        <v>145590.76015799999</v>
      </c>
      <c r="P121" s="534">
        <f>'More Comp Group'!M357*BR8</f>
        <v>1053.7808680000001</v>
      </c>
      <c r="Q121" s="534">
        <f>'More Comp Group'!N357*BS8</f>
        <v>-17750.574642</v>
      </c>
      <c r="R121" s="534">
        <f>'More Comp Group'!O357*BT8</f>
        <v>-4096.7523740000006</v>
      </c>
      <c r="S121" s="534">
        <f>'More Comp Group'!P357*BU8</f>
        <v>3388.9626980000003</v>
      </c>
      <c r="T121" s="534">
        <f>'More Comp Group'!Q357*BV8</f>
        <v>-8984.5212240000001</v>
      </c>
      <c r="U121" s="534">
        <f>'More Comp Group'!M356*BR8</f>
        <v>23103.474695000001</v>
      </c>
      <c r="V121" s="534">
        <f>'More Comp Group'!N356*BS8</f>
        <v>33626.960460000002</v>
      </c>
      <c r="W121" s="534">
        <f>'More Comp Group'!O356*BT8</f>
        <v>49849.046566000005</v>
      </c>
      <c r="X121" s="534">
        <f>'More Comp Group'!P356*BU8</f>
        <v>56702.205680999999</v>
      </c>
      <c r="Y121" s="534">
        <f>'More Comp Group'!Q356*BV8</f>
        <v>89464.45955</v>
      </c>
      <c r="Z121" s="534">
        <f>'More Comp Group'!M351*BR8</f>
        <v>25666.408936</v>
      </c>
      <c r="AA121" s="534">
        <f>'More Comp Group'!N351*BS8</f>
        <v>35193.784284000001</v>
      </c>
      <c r="AB121" s="534">
        <f>'More Comp Group'!O351*BT8</f>
        <v>71126.638198000001</v>
      </c>
      <c r="AC121" s="534">
        <f>'More Comp Group'!P351*BU8</f>
        <v>82115.140008000002</v>
      </c>
      <c r="AD121" s="534">
        <f>'More Comp Group'!Q351*BV8</f>
        <v>112109.368638</v>
      </c>
      <c r="AE121" s="61">
        <f t="shared" si="37"/>
        <v>4.1056809724634089E-2</v>
      </c>
      <c r="AF121" s="61">
        <f t="shared" si="37"/>
        <v>-0.50436675120697005</v>
      </c>
      <c r="AG121" s="61">
        <f t="shared" si="37"/>
        <v>-5.7598003754874449E-2</v>
      </c>
      <c r="AH121" s="61">
        <f t="shared" si="37"/>
        <v>4.1270863054849977E-2</v>
      </c>
      <c r="AI121" s="61">
        <f t="shared" si="29"/>
        <v>-8.0140681667835695E-2</v>
      </c>
      <c r="AJ121" s="61">
        <f t="shared" si="38"/>
        <v>0.5103354004830789</v>
      </c>
      <c r="AK121" s="61">
        <f t="shared" si="38"/>
        <v>-1.5540406079716851</v>
      </c>
      <c r="AL121" s="61">
        <f t="shared" si="38"/>
        <v>-0.17548538123547591</v>
      </c>
      <c r="AM121" s="61">
        <f t="shared" si="38"/>
        <v>0.14103681968143514</v>
      </c>
      <c r="AN121" s="61">
        <f t="shared" si="30"/>
        <v>-0.38107453738082786</v>
      </c>
      <c r="AO121" s="843"/>
      <c r="AP121" s="437"/>
      <c r="AQ121" s="534">
        <f>'More Comp Group'!M361*BR8</f>
        <v>2562.9342409999999</v>
      </c>
      <c r="AR121" s="534">
        <f>'More Comp Group'!N361*BS8</f>
        <v>1566.8238240000001</v>
      </c>
      <c r="AS121" s="534">
        <f>'More Comp Group'!O361*BT8</f>
        <v>21277.591632</v>
      </c>
      <c r="AT121" s="534">
        <f>'More Comp Group'!P361*BU8</f>
        <v>25412.934327000003</v>
      </c>
      <c r="AU121" s="534">
        <f>'More Comp Group'!Q361*BV8</f>
        <v>22644.909088</v>
      </c>
      <c r="AV121" s="827">
        <f>'Shareholder funds'!F121</f>
        <v>24508.707030000001</v>
      </c>
      <c r="AW121" s="719">
        <f>'Long Term Debt'!C98*BR8</f>
        <v>1284.9350010000001</v>
      </c>
      <c r="AX121" s="719">
        <f>'Long Term Debt'!D98*BS8</f>
        <v>463.26052800000002</v>
      </c>
      <c r="AY121" s="719">
        <f>'Long Term Debt'!E98*BT8</f>
        <v>14638.937522</v>
      </c>
      <c r="AZ121" s="719">
        <f>'Long Term Debt'!F98*BU8</f>
        <v>22606.140799000001</v>
      </c>
      <c r="BA121" s="719">
        <f>'Long Term Debt'!G98*BV8</f>
        <v>35546.151866</v>
      </c>
      <c r="BB121" s="553">
        <f t="shared" si="31"/>
        <v>-0.25275650815507039</v>
      </c>
      <c r="BC121" s="553">
        <f t="shared" si="32"/>
        <v>0.14991336770537647</v>
      </c>
      <c r="BD121" s="553">
        <f t="shared" si="33"/>
        <v>-0.27985312238973847</v>
      </c>
      <c r="BE121" s="538">
        <f t="shared" si="34"/>
        <v>-9.8619997470609136E-2</v>
      </c>
      <c r="BF121" s="538">
        <f t="shared" si="35"/>
        <v>-0.37742508018490312</v>
      </c>
      <c r="BG121" s="455">
        <f t="shared" si="36"/>
        <v>-0.2486314277884446</v>
      </c>
    </row>
    <row r="122" spans="1:59" ht="15" customHeight="1">
      <c r="A122" s="535">
        <v>2016</v>
      </c>
      <c r="B122" s="676"/>
      <c r="C122" s="411" t="s">
        <v>487</v>
      </c>
      <c r="D122" s="536"/>
      <c r="E122" s="536"/>
      <c r="F122" s="536"/>
      <c r="G122" s="536"/>
      <c r="H122" s="536"/>
      <c r="I122" s="536" t="s">
        <v>1031</v>
      </c>
      <c r="J122" s="524" t="s">
        <v>730</v>
      </c>
      <c r="K122" s="534">
        <f>'More Comp Group'!V352*BR8</f>
        <v>5002161.7939999998</v>
      </c>
      <c r="L122" s="534">
        <f>'More Comp Group'!W352*BS8</f>
        <v>5020745.8020000001</v>
      </c>
      <c r="M122" s="534">
        <f>'More Comp Group'!X352*BT8</f>
        <v>4789492.0260000005</v>
      </c>
      <c r="N122" s="534">
        <f>'More Comp Group'!Y352*BU8</f>
        <v>4495203.1740000006</v>
      </c>
      <c r="O122" s="534">
        <f>'More Comp Group'!Z352*BV8</f>
        <v>4124054.7480000001</v>
      </c>
      <c r="P122" s="534">
        <f>'More Comp Group'!V356*BR8</f>
        <v>443206.49799999996</v>
      </c>
      <c r="Q122" s="534">
        <f>'More Comp Group'!W356*BS8</f>
        <v>412360.88400000002</v>
      </c>
      <c r="R122" s="534">
        <f>'More Comp Group'!X356*BT8</f>
        <v>1048068.3620000001</v>
      </c>
      <c r="S122" s="534">
        <f>'More Comp Group'!Y356*BU8</f>
        <v>520856.875</v>
      </c>
      <c r="T122" s="534">
        <f>'More Comp Group'!Z356*BV8</f>
        <v>416281.326</v>
      </c>
      <c r="U122" s="534">
        <f>'More Comp Group'!V355*BR8</f>
        <v>2558386.2009999999</v>
      </c>
      <c r="V122" s="534">
        <f>'More Comp Group'!W355*BS8</f>
        <v>2265771.8339999998</v>
      </c>
      <c r="W122" s="534">
        <f>'More Comp Group'!X355*BT8</f>
        <v>2248195.62</v>
      </c>
      <c r="X122" s="534">
        <f>'More Comp Group'!Y355*BU8</f>
        <v>2586783.5840000003</v>
      </c>
      <c r="Y122" s="534">
        <f>'More Comp Group'!Z355*BV8</f>
        <v>2545639.1920000003</v>
      </c>
      <c r="Z122" s="534">
        <f>'More Comp Group'!V350*BR8</f>
        <v>6527915.5129999993</v>
      </c>
      <c r="AA122" s="534">
        <f>'More Comp Group'!W350*BS8</f>
        <v>6455771.5140000004</v>
      </c>
      <c r="AB122" s="534">
        <f>'More Comp Group'!X350*BT8</f>
        <v>6465892.9280000003</v>
      </c>
      <c r="AC122" s="534">
        <f>'More Comp Group'!Y350*BU8</f>
        <v>6619823.0120000001</v>
      </c>
      <c r="AD122" s="534">
        <f>'More Comp Group'!Z350*BV8</f>
        <v>6737769.7879999997</v>
      </c>
      <c r="AE122" s="61">
        <f t="shared" si="37"/>
        <v>6.7894030968595961E-2</v>
      </c>
      <c r="AF122" s="61">
        <f t="shared" si="37"/>
        <v>6.3874764326115524E-2</v>
      </c>
      <c r="AG122" s="61">
        <f t="shared" si="37"/>
        <v>0.16209182144997006</v>
      </c>
      <c r="AH122" s="61">
        <f t="shared" si="37"/>
        <v>7.8681389828069923E-2</v>
      </c>
      <c r="AI122" s="61">
        <f t="shared" si="29"/>
        <v>6.178325159482282E-2</v>
      </c>
      <c r="AJ122" s="61">
        <f t="shared" si="38"/>
        <v>0.10863531422819656</v>
      </c>
      <c r="AK122" s="61">
        <f t="shared" si="38"/>
        <v>9.8091281022269883E-2</v>
      </c>
      <c r="AL122" s="61">
        <f t="shared" si="38"/>
        <v>0.25405449126185764</v>
      </c>
      <c r="AM122" s="61">
        <f t="shared" si="38"/>
        <v>0.12664950961018578</v>
      </c>
      <c r="AN122" s="61">
        <f t="shared" si="30"/>
        <v>9.0736877656047002E-2</v>
      </c>
      <c r="AO122" s="843"/>
      <c r="AP122" s="437"/>
      <c r="AQ122" s="534">
        <f>'More Comp Group'!V360*BR8</f>
        <v>3969529.3119999999</v>
      </c>
      <c r="AR122" s="534">
        <f>'More Comp Group'!W360*BS8</f>
        <v>4189999.68</v>
      </c>
      <c r="AS122" s="534">
        <f>'More Comp Group'!X360*BT8</f>
        <v>4217697.3080000002</v>
      </c>
      <c r="AT122" s="534">
        <f>'More Comp Group'!Y360*BU8</f>
        <v>4033039.4280000003</v>
      </c>
      <c r="AU122" s="534">
        <f>'More Comp Group'!Z360*BV8</f>
        <v>4192130.5959999999</v>
      </c>
      <c r="AV122" s="827">
        <f>'Shareholder funds'!F122</f>
        <v>4983440.28</v>
      </c>
      <c r="AW122" s="719">
        <f>'Long Term Debt'!C99*BR8</f>
        <v>1430699.683</v>
      </c>
      <c r="AX122" s="719">
        <f>'Long Term Debt'!D99*BS8</f>
        <v>1155815.3459999999</v>
      </c>
      <c r="AY122" s="719">
        <f>'Long Term Debt'!E99*BT8</f>
        <v>1156664.564</v>
      </c>
      <c r="AZ122" s="719">
        <f>'Long Term Debt'!F99*BU8</f>
        <v>1347441.8540000001</v>
      </c>
      <c r="BA122" s="719">
        <f>'Long Term Debt'!G99*BV8</f>
        <v>1604130.338</v>
      </c>
      <c r="BB122" s="553">
        <f t="shared" si="31"/>
        <v>0.25950592426237123</v>
      </c>
      <c r="BC122" s="553">
        <f t="shared" si="32"/>
        <v>0.38655239441597455</v>
      </c>
      <c r="BD122" s="553">
        <f t="shared" si="33"/>
        <v>0.90611262298513717</v>
      </c>
      <c r="BE122" s="538">
        <f t="shared" si="34"/>
        <v>0.16563668855653291</v>
      </c>
      <c r="BF122" s="538">
        <f t="shared" si="35"/>
        <v>0.21081128447199321</v>
      </c>
      <c r="BG122" s="455">
        <f t="shared" si="36"/>
        <v>0.48077557248754105</v>
      </c>
    </row>
    <row r="123" spans="1:59" ht="15" customHeight="1">
      <c r="A123" s="535">
        <v>2008</v>
      </c>
      <c r="B123" s="676"/>
      <c r="C123" s="411" t="s">
        <v>487</v>
      </c>
      <c r="D123" s="536"/>
      <c r="E123" s="536"/>
      <c r="F123" s="536"/>
      <c r="G123" s="724"/>
      <c r="H123" s="536"/>
      <c r="I123" s="536" t="s">
        <v>291</v>
      </c>
      <c r="J123" s="524" t="s">
        <v>762</v>
      </c>
      <c r="K123" s="534">
        <f>'More Comp Group'!M367</f>
        <v>228</v>
      </c>
      <c r="L123" s="534">
        <f>'More Comp Group'!N367</f>
        <v>38640</v>
      </c>
      <c r="M123" s="534">
        <f>'More Comp Group'!O367*CB8</f>
        <v>40011.04133</v>
      </c>
      <c r="N123" s="534">
        <f>'More Comp Group'!P367*CC8</f>
        <v>42076.216509999998</v>
      </c>
      <c r="O123" s="534">
        <f>'More Comp Group'!Q367*CD8</f>
        <v>35998.542559999994</v>
      </c>
      <c r="P123" s="534">
        <f>'More Comp Group'!M371</f>
        <v>-12124</v>
      </c>
      <c r="Q123" s="534">
        <f>'More Comp Group'!N371</f>
        <v>-3110</v>
      </c>
      <c r="R123" s="534">
        <f>'More Comp Group'!O371*CB8</f>
        <v>-3263.9413300000001</v>
      </c>
      <c r="S123" s="534">
        <f>'More Comp Group'!P371*CC8</f>
        <v>-10350.819378</v>
      </c>
      <c r="T123" s="534">
        <f>'More Comp Group'!Q371*CD8</f>
        <v>-23702.605351999999</v>
      </c>
      <c r="U123" s="534">
        <f>'More Comp Group'!M370</f>
        <v>2417</v>
      </c>
      <c r="V123" s="534">
        <f>'More Comp Group'!N370</f>
        <v>15261</v>
      </c>
      <c r="W123" s="534">
        <f>'More Comp Group'!O370*CB8</f>
        <v>11631.89508</v>
      </c>
      <c r="X123" s="534">
        <f>'More Comp Group'!P370*CC8</f>
        <v>18013.65827</v>
      </c>
      <c r="Y123" s="534">
        <f>'More Comp Group'!Q370*CD8</f>
        <v>17329.538912</v>
      </c>
      <c r="Z123" s="534">
        <f>'More Comp Group'!M365</f>
        <v>53793</v>
      </c>
      <c r="AA123" s="534">
        <f>'More Comp Group'!N365</f>
        <v>33392</v>
      </c>
      <c r="AB123" s="534">
        <f>'More Comp Group'!O365*CB8</f>
        <v>31032.925950000001</v>
      </c>
      <c r="AC123" s="534">
        <f>'More Comp Group'!P365*CC8</f>
        <v>44062.85181</v>
      </c>
      <c r="AD123" s="534">
        <f>'More Comp Group'!Q365*CD8</f>
        <v>37899.596879999997</v>
      </c>
      <c r="AE123" s="61">
        <f t="shared" si="37"/>
        <v>-0.22538248470990649</v>
      </c>
      <c r="AF123" s="61">
        <f t="shared" si="37"/>
        <v>-9.3136080498322948E-2</v>
      </c>
      <c r="AG123" s="61">
        <f t="shared" si="37"/>
        <v>-0.10517671892295416</v>
      </c>
      <c r="AH123" s="61">
        <f t="shared" si="37"/>
        <v>-0.23491033722994065</v>
      </c>
      <c r="AI123" s="61">
        <f t="shared" si="29"/>
        <v>-0.62540521016750195</v>
      </c>
      <c r="AJ123" s="61">
        <f t="shared" si="38"/>
        <v>-0.34885694965974651</v>
      </c>
      <c r="AK123" s="61">
        <f t="shared" si="38"/>
        <v>-0.16572511147995866</v>
      </c>
      <c r="AL123" s="61">
        <f t="shared" si="38"/>
        <v>-0.14362707213748607</v>
      </c>
      <c r="AM123" s="61">
        <f t="shared" si="38"/>
        <v>-0.44405772478881472</v>
      </c>
      <c r="AN123" s="61">
        <f t="shared" si="30"/>
        <v>-0.96054382393556981</v>
      </c>
      <c r="AO123" s="843"/>
      <c r="AP123" s="437"/>
      <c r="AQ123" s="534">
        <f>'More Comp Group'!M375</f>
        <v>51376</v>
      </c>
      <c r="AR123" s="534">
        <f>'More Comp Group'!N375</f>
        <v>18131</v>
      </c>
      <c r="AS123" s="534">
        <f>'More Comp Group'!O375*CB8</f>
        <v>19401.030869999999</v>
      </c>
      <c r="AT123" s="534">
        <f>'More Comp Group'!P375*CC8</f>
        <v>26049.19354</v>
      </c>
      <c r="AU123" s="534">
        <f>'More Comp Group'!Q375*CD8</f>
        <v>20570.057967999997</v>
      </c>
      <c r="AV123" s="827">
        <f>'Shareholder funds'!F123</f>
        <v>28782.412499999999</v>
      </c>
      <c r="AW123" s="719">
        <f>'Long Term Debt'!C100</f>
        <v>0</v>
      </c>
      <c r="AX123" s="719">
        <f>'Long Term Debt'!D100</f>
        <v>6428</v>
      </c>
      <c r="AY123" s="719">
        <f>'Long Term Debt'!E100*CB8</f>
        <v>4541.6220199999998</v>
      </c>
      <c r="AZ123" s="719">
        <f>'Long Term Debt'!F100*CC8</f>
        <v>1792.6462060000001</v>
      </c>
      <c r="BA123" s="719">
        <f>'Long Term Debt'!G100*CD8</f>
        <v>6214.2745039999991</v>
      </c>
      <c r="BB123" s="553">
        <f t="shared" si="31"/>
        <v>-3.814219236170389</v>
      </c>
      <c r="BC123" s="553">
        <f t="shared" si="32"/>
        <v>-5.7740447297161763</v>
      </c>
      <c r="BD123" s="553">
        <f t="shared" si="33"/>
        <v>-0.71867304580313807</v>
      </c>
      <c r="BE123" s="538">
        <f t="shared" si="34"/>
        <v>-1.9333891223476867</v>
      </c>
      <c r="BF123" s="538">
        <f t="shared" si="35"/>
        <v>-2.4585034706173103</v>
      </c>
      <c r="BG123" s="455">
        <f t="shared" si="36"/>
        <v>-0.3591682828706399</v>
      </c>
    </row>
    <row r="124" spans="1:59" ht="15" customHeight="1">
      <c r="A124" s="535">
        <v>2008</v>
      </c>
      <c r="B124" s="676"/>
      <c r="C124" s="411" t="s">
        <v>435</v>
      </c>
      <c r="D124" s="536"/>
      <c r="E124" s="536"/>
      <c r="F124" s="536"/>
      <c r="G124" s="724"/>
      <c r="H124" s="536"/>
      <c r="I124" s="536" t="s">
        <v>313</v>
      </c>
      <c r="J124" s="524" t="s">
        <v>1069</v>
      </c>
      <c r="K124" s="534">
        <f>'More Comp Group'!D936</f>
        <v>83866</v>
      </c>
      <c r="L124" s="534">
        <f>'More Comp Group'!E936</f>
        <v>68318</v>
      </c>
      <c r="M124" s="534">
        <f>'More Comp Group'!F936</f>
        <v>54363</v>
      </c>
      <c r="N124" s="534">
        <f>'More Comp Group'!G936</f>
        <v>33341</v>
      </c>
      <c r="O124" s="534">
        <f>'More Comp Group'!H936</f>
        <v>12698</v>
      </c>
      <c r="P124" s="534">
        <f>'More Comp Group'!D940</f>
        <v>-7464</v>
      </c>
      <c r="Q124" s="534">
        <f>'More Comp Group'!E940</f>
        <v>-20534</v>
      </c>
      <c r="R124" s="534">
        <f>'More Comp Group'!F940</f>
        <v>-1306</v>
      </c>
      <c r="S124" s="534">
        <f>'More Comp Group'!G940</f>
        <v>-74720</v>
      </c>
      <c r="T124" s="534">
        <f>'More Comp Group'!H940</f>
        <v>-35925</v>
      </c>
      <c r="U124" s="534">
        <f>'More Comp Group'!D939</f>
        <v>986891</v>
      </c>
      <c r="V124" s="534">
        <f>'More Comp Group'!E939</f>
        <v>949878</v>
      </c>
      <c r="W124" s="534">
        <f>'More Comp Group'!F939</f>
        <v>787509</v>
      </c>
      <c r="X124" s="534">
        <f>'More Comp Group'!G939</f>
        <v>613059</v>
      </c>
      <c r="Y124" s="534">
        <f>'More Comp Group'!H939</f>
        <v>417237</v>
      </c>
      <c r="Z124" s="534">
        <f>'More Comp Group'!D934</f>
        <v>1037660</v>
      </c>
      <c r="AA124" s="534">
        <f>'More Comp Group'!E934</f>
        <v>1008111</v>
      </c>
      <c r="AB124" s="534">
        <f>'More Comp Group'!F934</f>
        <v>866276</v>
      </c>
      <c r="AC124" s="534">
        <f>'More Comp Group'!G934</f>
        <v>714073</v>
      </c>
      <c r="AD124" s="534">
        <f>'More Comp Group'!H934</f>
        <v>572971</v>
      </c>
      <c r="AE124" s="61">
        <f t="shared" si="37"/>
        <v>-7.193107568953222E-3</v>
      </c>
      <c r="AF124" s="61">
        <f t="shared" si="37"/>
        <v>-2.0368788754412958E-2</v>
      </c>
      <c r="AG124" s="61">
        <f t="shared" si="37"/>
        <v>-1.5076026578134452E-3</v>
      </c>
      <c r="AH124" s="61">
        <f t="shared" si="37"/>
        <v>-0.1046391615423073</v>
      </c>
      <c r="AI124" s="61">
        <f t="shared" si="29"/>
        <v>-6.2699508352080643E-2</v>
      </c>
      <c r="AJ124" s="61">
        <f t="shared" si="38"/>
        <v>-0.13695161556668686</v>
      </c>
      <c r="AK124" s="61">
        <f t="shared" si="38"/>
        <v>-0.29976642335766424</v>
      </c>
      <c r="AL124" s="61">
        <f t="shared" si="38"/>
        <v>-1.4528787802938019E-2</v>
      </c>
      <c r="AM124" s="61">
        <f t="shared" si="38"/>
        <v>-0.58204932462959791</v>
      </c>
      <c r="AN124" s="61">
        <f t="shared" si="30"/>
        <v>-0.20682686993367722</v>
      </c>
      <c r="AO124" s="843"/>
      <c r="AP124" s="437"/>
      <c r="AQ124" s="534">
        <f>'More Comp Group'!D944</f>
        <v>50769</v>
      </c>
      <c r="AR124" s="534">
        <f>'More Comp Group'!E944</f>
        <v>58233</v>
      </c>
      <c r="AS124" s="534">
        <f>'More Comp Group'!F944</f>
        <v>78767</v>
      </c>
      <c r="AT124" s="534">
        <f>'More Comp Group'!G944</f>
        <v>101014</v>
      </c>
      <c r="AU124" s="534">
        <f>'More Comp Group'!H944</f>
        <v>155734</v>
      </c>
      <c r="AV124" s="827">
        <f>'Shareholder funds'!F124</f>
        <v>191658</v>
      </c>
      <c r="AW124" s="719">
        <f>'More Comp Group'!D942</f>
        <v>919849</v>
      </c>
      <c r="AX124" s="719">
        <f>'More Comp Group'!E942</f>
        <v>800980</v>
      </c>
      <c r="AY124" s="719">
        <f>'More Comp Group'!F942</f>
        <v>673936</v>
      </c>
      <c r="AZ124" s="719">
        <f>'More Comp Group'!G942</f>
        <v>0</v>
      </c>
      <c r="BA124" s="719">
        <f>'More Comp Group'!H942</f>
        <v>363852</v>
      </c>
      <c r="BB124" s="553">
        <f t="shared" si="31"/>
        <v>-9.8735200026384348E-2</v>
      </c>
      <c r="BC124" s="553" t="e">
        <f t="shared" si="32"/>
        <v>#DIV/0!</v>
      </c>
      <c r="BD124" s="553">
        <f t="shared" si="33"/>
        <v>-1.9378694712851071E-3</v>
      </c>
      <c r="BE124" s="538">
        <f t="shared" si="34"/>
        <v>-0.10912245393234726</v>
      </c>
      <c r="BF124" s="538" t="e">
        <f t="shared" si="35"/>
        <v>#DIV/0!</v>
      </c>
      <c r="BG124" s="455">
        <f t="shared" si="36"/>
        <v>-3.0827111432572092E-3</v>
      </c>
    </row>
    <row r="125" spans="1:59" ht="15" customHeight="1">
      <c r="A125" s="535">
        <v>2008</v>
      </c>
      <c r="B125" s="676"/>
      <c r="C125" s="411" t="s">
        <v>487</v>
      </c>
      <c r="D125" s="536"/>
      <c r="E125" s="536"/>
      <c r="F125" s="536"/>
      <c r="G125" s="536"/>
      <c r="H125" s="536"/>
      <c r="I125" s="536" t="s">
        <v>313</v>
      </c>
      <c r="J125" s="524" t="s">
        <v>785</v>
      </c>
      <c r="K125" s="534">
        <f>'More Comp Group'!M382*BZ8</f>
        <v>11565.519768</v>
      </c>
      <c r="L125" s="534">
        <f>'More Comp Group'!N382*CA8</f>
        <v>1332.742745</v>
      </c>
      <c r="M125" s="534">
        <f>'More Comp Group'!O382*CB8</f>
        <v>-3111.3609799999999</v>
      </c>
      <c r="N125" s="534">
        <f>'More Comp Group'!P382*CC8</f>
        <v>94.747221999999994</v>
      </c>
      <c r="O125" s="534">
        <f>'More Comp Group'!Q382*CD8</f>
        <v>9456.675792</v>
      </c>
      <c r="P125" s="534">
        <f>'More Comp Group'!M386*BZ8</f>
        <v>-4025.1966480000001</v>
      </c>
      <c r="Q125" s="534">
        <f>'More Comp Group'!N386*CA8</f>
        <v>2292.9139009999999</v>
      </c>
      <c r="R125" s="534">
        <f>'More Comp Group'!O386*CB8</f>
        <v>25611.450539999998</v>
      </c>
      <c r="S125" s="534">
        <f>'More Comp Group'!P386*CC8</f>
        <v>-27255.737386000001</v>
      </c>
      <c r="T125" s="534">
        <f>'More Comp Group'!Q386*CD8</f>
        <v>8097.019839999999</v>
      </c>
      <c r="U125" s="534">
        <f>'More Comp Group'!M385*BZ8</f>
        <v>12115.595448</v>
      </c>
      <c r="V125" s="534">
        <f>'More Comp Group'!N385*CA8</f>
        <v>22657.289309</v>
      </c>
      <c r="W125" s="534">
        <f>'More Comp Group'!O385*CB8</f>
        <v>12667.68399</v>
      </c>
      <c r="X125" s="534">
        <f>'More Comp Group'!P385*CC8</f>
        <v>36762.101922000002</v>
      </c>
      <c r="Y125" s="534">
        <f>'More Comp Group'!Q385*CD8</f>
        <v>10216.584183999999</v>
      </c>
      <c r="Z125" s="534">
        <f>'More Comp Group'!M380*BZ8</f>
        <v>101182.13503200001</v>
      </c>
      <c r="AA125" s="534">
        <f>'More Comp Group'!N380*CA8</f>
        <v>109625.83542800001</v>
      </c>
      <c r="AB125" s="534">
        <f>'More Comp Group'!O380*CB8</f>
        <v>99751.920190000004</v>
      </c>
      <c r="AC125" s="534">
        <f>'More Comp Group'!P380*CC8</f>
        <v>117546.42401800001</v>
      </c>
      <c r="AD125" s="534">
        <f>'More Comp Group'!Q380*CD8</f>
        <v>115502.99556799998</v>
      </c>
      <c r="AE125" s="61">
        <f t="shared" si="37"/>
        <v>-3.9781693148963355E-2</v>
      </c>
      <c r="AF125" s="61">
        <f t="shared" si="37"/>
        <v>2.0915816897066557E-2</v>
      </c>
      <c r="AG125" s="61">
        <f t="shared" si="37"/>
        <v>0.25675145391905457</v>
      </c>
      <c r="AH125" s="61">
        <f t="shared" si="37"/>
        <v>-0.23187211022111825</v>
      </c>
      <c r="AI125" s="61">
        <f t="shared" si="29"/>
        <v>7.0102249731116686E-2</v>
      </c>
      <c r="AJ125" s="61">
        <f t="shared" si="38"/>
        <v>-4.5731800745102774E-2</v>
      </c>
      <c r="AK125" s="61">
        <f t="shared" si="38"/>
        <v>2.6347339817844442E-2</v>
      </c>
      <c r="AL125" s="61">
        <f t="shared" si="38"/>
        <v>0.30513695715238975</v>
      </c>
      <c r="AM125" s="61">
        <f t="shared" si="38"/>
        <v>-0.29296103558305814</v>
      </c>
      <c r="AN125" s="61">
        <f t="shared" si="30"/>
        <v>8.2266017544575618E-2</v>
      </c>
      <c r="AO125" s="843"/>
      <c r="AP125" s="437"/>
      <c r="AQ125" s="534">
        <f>'More Comp Group'!M390*BZ8</f>
        <v>89066.360988</v>
      </c>
      <c r="AR125" s="534">
        <f>'More Comp Group'!N390*CA8</f>
        <v>86968.546119000006</v>
      </c>
      <c r="AS125" s="534">
        <f>'More Comp Group'!O390*CB8</f>
        <v>87084.236199999999</v>
      </c>
      <c r="AT125" s="534">
        <f>'More Comp Group'!P390*CC8</f>
        <v>80784.322096000004</v>
      </c>
      <c r="AU125" s="534">
        <f>'More Comp Group'!Q390*CD8</f>
        <v>105286.41138399999</v>
      </c>
      <c r="AV125" s="827">
        <f>'Shareholder funds'!F125</f>
        <v>91563.274103999996</v>
      </c>
      <c r="AW125" s="719">
        <f>'Long Term Debt'!C101*BZ8</f>
        <v>9187.6926239999993</v>
      </c>
      <c r="AX125" s="719">
        <f>'Long Term Debt'!D101*CA8</f>
        <v>8969.7148450000004</v>
      </c>
      <c r="AY125" s="719">
        <f>'Long Term Debt'!E101*CB8</f>
        <v>8321.4606800000001</v>
      </c>
      <c r="AZ125" s="719">
        <f>'Long Term Debt'!F101*CC8</f>
        <v>23633.768629999999</v>
      </c>
      <c r="BA125" s="719">
        <f>'Long Term Debt'!G101*CD8</f>
        <v>7491.1122479999995</v>
      </c>
      <c r="BB125" s="553">
        <f t="shared" si="31"/>
        <v>1.0808835286324492</v>
      </c>
      <c r="BC125" s="553">
        <f t="shared" si="32"/>
        <v>-1.1532539652352518</v>
      </c>
      <c r="BD125" s="553">
        <f t="shared" si="33"/>
        <v>3.0777590046847396</v>
      </c>
      <c r="BE125" s="538">
        <f t="shared" si="34"/>
        <v>5.3920682716196537E-2</v>
      </c>
      <c r="BF125" s="538">
        <f t="shared" si="35"/>
        <v>-0.34256752735876717</v>
      </c>
      <c r="BG125" s="455">
        <f t="shared" si="36"/>
        <v>0.65723744659607641</v>
      </c>
    </row>
    <row r="126" spans="1:59" ht="15" customHeight="1">
      <c r="A126" s="680">
        <v>2008</v>
      </c>
      <c r="B126" s="681"/>
      <c r="C126" s="53" t="s">
        <v>487</v>
      </c>
      <c r="D126" s="751"/>
      <c r="E126" s="751"/>
      <c r="F126" s="751"/>
      <c r="G126" s="751"/>
      <c r="H126" s="751"/>
      <c r="I126" s="751" t="s">
        <v>1032</v>
      </c>
      <c r="J126" s="740" t="s">
        <v>524</v>
      </c>
      <c r="K126" s="756">
        <f>'More Comp Group'!V396*BZ8</f>
        <v>160268.29988400001</v>
      </c>
      <c r="L126" s="756">
        <f>'More Comp Group'!W396*CA8</f>
        <v>114677.004979</v>
      </c>
      <c r="M126" s="756">
        <f>'More Comp Group'!X396*CB8</f>
        <v>97897.150259999995</v>
      </c>
      <c r="N126" s="756">
        <f>'More Comp Group'!Y396*CC8</f>
        <v>89372.699315999998</v>
      </c>
      <c r="O126" s="756">
        <f>'More Comp Group'!Z396*CD8</f>
        <v>53980.018191999996</v>
      </c>
      <c r="P126" s="756">
        <f>'More Comp Group'!V400*BZ8</f>
        <v>25332.413832000002</v>
      </c>
      <c r="Q126" s="756">
        <f>'More Comp Group'!W400*CA8</f>
        <v>4276.3730539999997</v>
      </c>
      <c r="R126" s="756">
        <f>'More Comp Group'!X400*CB8</f>
        <v>4546.5748899999999</v>
      </c>
      <c r="S126" s="756">
        <f>'More Comp Group'!Y400*CC8</f>
        <v>15767.951344000001</v>
      </c>
      <c r="T126" s="756">
        <f>'More Comp Group'!Z400*CD8</f>
        <v>2133.4244159999998</v>
      </c>
      <c r="U126" s="756">
        <f>'More Comp Group'!V399*BZ8</f>
        <v>52182.179280000004</v>
      </c>
      <c r="V126" s="756">
        <f>'More Comp Group'!W399*CA8</f>
        <v>55103.652769</v>
      </c>
      <c r="W126" s="756">
        <f>'More Comp Group'!X399*CB8</f>
        <v>34955.758759999997</v>
      </c>
      <c r="X126" s="756">
        <f>'More Comp Group'!Y399*CC8</f>
        <v>36870.692666000003</v>
      </c>
      <c r="Y126" s="756">
        <f>'More Comp Group'!Z399*CD8</f>
        <v>13956.236943999998</v>
      </c>
      <c r="Z126" s="756">
        <f>'More Comp Group'!V394*BZ8</f>
        <v>177101.33007600001</v>
      </c>
      <c r="AA126" s="756">
        <f>'More Comp Group'!W394*CA8</f>
        <v>158068.425048</v>
      </c>
      <c r="AB126" s="756">
        <f>'More Comp Group'!X394*CB8</f>
        <v>131285.56531999999</v>
      </c>
      <c r="AC126" s="756">
        <f>'More Comp Group'!Y394*CC8</f>
        <v>144421.01508400001</v>
      </c>
      <c r="AD126" s="756">
        <f>'More Comp Group'!Z394*CD8</f>
        <v>105016.56775999999</v>
      </c>
      <c r="AE126" s="61">
        <f t="shared" si="37"/>
        <v>0.14303909417918562</v>
      </c>
      <c r="AF126" s="61">
        <f t="shared" si="37"/>
        <v>2.7053935994499918E-2</v>
      </c>
      <c r="AG126" s="61">
        <f t="shared" si="37"/>
        <v>3.463118644397821E-2</v>
      </c>
      <c r="AH126" s="61">
        <f t="shared" si="37"/>
        <v>0.10918044949918709</v>
      </c>
      <c r="AI126" s="61">
        <f t="shared" si="29"/>
        <v>2.0315122285043914E-2</v>
      </c>
      <c r="AJ126" s="61">
        <f t="shared" si="38"/>
        <v>0.22232751958606195</v>
      </c>
      <c r="AK126" s="61">
        <f t="shared" si="38"/>
        <v>4.2915131030532551E-2</v>
      </c>
      <c r="AL126" s="61">
        <f t="shared" si="38"/>
        <v>4.4600505951239842E-2</v>
      </c>
      <c r="AM126" s="61">
        <f t="shared" si="38"/>
        <v>0.15878253343663742</v>
      </c>
      <c r="AN126" s="61">
        <f t="shared" si="30"/>
        <v>2.5242907208832172E-2</v>
      </c>
      <c r="AO126" s="843"/>
      <c r="AP126" s="437"/>
      <c r="AQ126" s="756">
        <f>'More Comp Group'!V404*BZ8</f>
        <v>124918.9722</v>
      </c>
      <c r="AR126" s="756">
        <f>'More Comp Group'!W404*CA8</f>
        <v>102964.772279</v>
      </c>
      <c r="AS126" s="756">
        <f>'More Comp Group'!X404*CB8</f>
        <v>96329.646789999999</v>
      </c>
      <c r="AT126" s="756">
        <f>'More Comp Group'!Y404*CC8</f>
        <v>107550.322418</v>
      </c>
      <c r="AU126" s="756">
        <f>'More Comp Group'!Z404*CD8</f>
        <v>91060.330815999987</v>
      </c>
      <c r="AV126" s="827">
        <f>'Shareholder funds'!F126</f>
        <v>77971.262759999998</v>
      </c>
      <c r="AW126" s="771">
        <f>'Long Term Debt'!C103*BZ8</f>
        <v>1976.1647400000002</v>
      </c>
      <c r="AX126" s="771">
        <f>'Long Term Debt'!D103*CA8</f>
        <v>6534.0011620000005</v>
      </c>
      <c r="AY126" s="771">
        <f>'Long Term Debt'!E103*CB8</f>
        <v>0</v>
      </c>
      <c r="AZ126" s="771">
        <f>'Long Term Debt'!F103*CC8</f>
        <v>0</v>
      </c>
      <c r="BA126" s="771">
        <f>'Long Term Debt'!G103*CD8</f>
        <v>0</v>
      </c>
      <c r="BB126" s="743" t="e">
        <f t="shared" si="31"/>
        <v>#DIV/0!</v>
      </c>
      <c r="BC126" s="743" t="e">
        <f t="shared" si="32"/>
        <v>#DIV/0!</v>
      </c>
      <c r="BD126" s="743" t="e">
        <f t="shared" si="33"/>
        <v>#DIV/0!</v>
      </c>
      <c r="BE126" s="766" t="e">
        <f t="shared" si="34"/>
        <v>#DIV/0!</v>
      </c>
      <c r="BF126" s="766" t="e">
        <f t="shared" si="35"/>
        <v>#DIV/0!</v>
      </c>
      <c r="BG126" s="760" t="e">
        <f t="shared" si="36"/>
        <v>#DIV/0!</v>
      </c>
    </row>
    <row r="127" spans="1:59" s="800" customFormat="1" ht="15" customHeight="1">
      <c r="A127" s="535">
        <v>2008</v>
      </c>
      <c r="B127" s="792"/>
      <c r="C127" s="411" t="s">
        <v>487</v>
      </c>
      <c r="D127" s="794"/>
      <c r="E127" s="794"/>
      <c r="F127" s="794"/>
      <c r="G127" s="794"/>
      <c r="H127" s="794"/>
      <c r="I127" s="536" t="s">
        <v>1033</v>
      </c>
      <c r="J127" s="524" t="s">
        <v>537</v>
      </c>
      <c r="K127" s="795">
        <f>'More Comp Group'!D906*BZ8</f>
        <v>305319.68478000001</v>
      </c>
      <c r="L127" s="795">
        <f>'More Comp Group'!E906*CA8</f>
        <v>278034.15745200001</v>
      </c>
      <c r="M127" s="795">
        <f>'More Comp Group'!F906*CB8</f>
        <v>278174.74815</v>
      </c>
      <c r="N127" s="795">
        <f>'More Comp Group'!G906*CC8</f>
        <v>319679.64403199998</v>
      </c>
      <c r="O127" s="795">
        <f>'More Comp Group'!H906*CD8</f>
        <v>317554.95407199999</v>
      </c>
      <c r="P127" s="795">
        <f>'More Comp Group'!D910*BZ8</f>
        <v>3356.5332240000002</v>
      </c>
      <c r="Q127" s="795">
        <f>'More Comp Group'!E910*CA8</f>
        <v>5165.641302</v>
      </c>
      <c r="R127" s="795">
        <f>'More Comp Group'!F910*CB8</f>
        <v>6026.5244000000002</v>
      </c>
      <c r="S127" s="795">
        <f>'More Comp Group'!G910*CC8</f>
        <v>1690.7075440000001</v>
      </c>
      <c r="T127" s="795">
        <f>'More Comp Group'!H910*CD8</f>
        <v>1546.3391439999998</v>
      </c>
      <c r="U127" s="795">
        <f>'More Comp Group'!D909*BZ8</f>
        <v>167847.19974000001</v>
      </c>
      <c r="V127" s="795">
        <f>'More Comp Group'!E909*CA8</f>
        <v>146169.32673999999</v>
      </c>
      <c r="W127" s="795">
        <f>'More Comp Group'!F909*CB8</f>
        <v>154261.29016999999</v>
      </c>
      <c r="X127" s="795">
        <f>'More Comp Group'!G909*CC8</f>
        <v>189880.08497</v>
      </c>
      <c r="Y127" s="795">
        <f>'More Comp Group'!H909*CD8</f>
        <v>189521.08451999997</v>
      </c>
      <c r="Z127" s="795">
        <f>'More Comp Group'!D904*BZ8</f>
        <v>269755.86330000003</v>
      </c>
      <c r="AA127" s="795">
        <f>'More Comp Group'!E904*CA8</f>
        <v>250883.147857</v>
      </c>
      <c r="AB127" s="795">
        <f>'More Comp Group'!F904*CB8</f>
        <v>252848.80659999998</v>
      </c>
      <c r="AC127" s="795">
        <f>'More Comp Group'!G904*CC8</f>
        <v>295677.49388800003</v>
      </c>
      <c r="AD127" s="795">
        <f>'More Comp Group'!H904*CD8</f>
        <v>290362.34836799995</v>
      </c>
      <c r="AE127" s="61">
        <f t="shared" si="37"/>
        <v>1.244285548769386E-2</v>
      </c>
      <c r="AF127" s="61">
        <f t="shared" si="37"/>
        <v>2.0589829751914406E-2</v>
      </c>
      <c r="AG127" s="61">
        <f t="shared" si="37"/>
        <v>2.3834498098042441E-2</v>
      </c>
      <c r="AH127" s="61">
        <f t="shared" si="37"/>
        <v>5.7180799315095145E-3</v>
      </c>
      <c r="AI127" s="61">
        <f t="shared" si="29"/>
        <v>5.3255497921521067E-3</v>
      </c>
      <c r="AJ127" s="61">
        <f t="shared" si="38"/>
        <v>3.2489553404598755E-2</v>
      </c>
      <c r="AK127" s="61">
        <f t="shared" si="38"/>
        <v>5.0817583045225038E-2</v>
      </c>
      <c r="AL127" s="61">
        <f t="shared" si="38"/>
        <v>5.8972350244914505E-2</v>
      </c>
      <c r="AM127" s="61">
        <f t="shared" si="38"/>
        <v>1.6363916709009677E-2</v>
      </c>
      <c r="AN127" s="61">
        <f t="shared" si="30"/>
        <v>1.6063992014230592E-2</v>
      </c>
      <c r="AO127" s="843"/>
      <c r="AP127" s="437"/>
      <c r="AQ127" s="795">
        <f>'More Comp Group'!D914*BZ8</f>
        <v>101908.484964</v>
      </c>
      <c r="AR127" s="795">
        <f>'More Comp Group'!E914*CA8</f>
        <v>104713.821117</v>
      </c>
      <c r="AS127" s="795">
        <f>'More Comp Group'!F914*CB8</f>
        <v>98587.516430000003</v>
      </c>
      <c r="AT127" s="795">
        <f>'More Comp Group'!G914*CC8</f>
        <v>105797.22913200001</v>
      </c>
      <c r="AU127" s="795">
        <f>'More Comp Group'!H914*CD8</f>
        <v>100841.26384799999</v>
      </c>
      <c r="AV127" s="827">
        <f>'Shareholder funds'!F127</f>
        <v>91681.135643999994</v>
      </c>
      <c r="AW127" s="797">
        <f>'More Comp Group'!D912*BZ8</f>
        <v>72798.051348000008</v>
      </c>
      <c r="AX127" s="797">
        <f>'More Comp Group'!E912*CA8</f>
        <v>62845.985265000003</v>
      </c>
      <c r="AY127" s="797">
        <f>'More Comp Group'!F912*CB8</f>
        <v>79325.804999999993</v>
      </c>
      <c r="AZ127" s="797">
        <f>'More Comp Group'!G912*CC8</f>
        <v>70946.611961999995</v>
      </c>
      <c r="BA127" s="797">
        <f>'More Comp Group'!H912*CD8</f>
        <v>71334.197231999991</v>
      </c>
      <c r="BB127" s="798">
        <f t="shared" si="31"/>
        <v>2.16773890224186E-2</v>
      </c>
      <c r="BC127" s="798">
        <f t="shared" si="32"/>
        <v>2.383070166769298E-2</v>
      </c>
      <c r="BD127" s="798">
        <f t="shared" si="33"/>
        <v>7.597180261832831E-2</v>
      </c>
      <c r="BE127" s="796">
        <f t="shared" si="34"/>
        <v>2.5432394887881345E-2</v>
      </c>
      <c r="BF127" s="796">
        <f t="shared" si="35"/>
        <v>3.3486962518574241E-2</v>
      </c>
      <c r="BG127" s="799">
        <f t="shared" si="36"/>
        <v>6.9343597357244283E-2</v>
      </c>
    </row>
    <row r="128" spans="1:59" s="800" customFormat="1" ht="15" customHeight="1">
      <c r="A128" s="535">
        <v>2008</v>
      </c>
      <c r="B128" s="792"/>
      <c r="C128" s="411" t="s">
        <v>487</v>
      </c>
      <c r="D128" s="794"/>
      <c r="E128" s="794"/>
      <c r="F128" s="794"/>
      <c r="G128" s="794"/>
      <c r="H128" s="794"/>
      <c r="I128" s="536" t="s">
        <v>1033</v>
      </c>
      <c r="J128" s="524" t="s">
        <v>522</v>
      </c>
      <c r="K128" s="795">
        <f>'More Comp Group'!D921*BZ8</f>
        <v>95943.557159999997</v>
      </c>
      <c r="L128" s="795">
        <f>'More Comp Group'!E921*CA8</f>
        <v>73102.223436</v>
      </c>
      <c r="M128" s="795">
        <f>'More Comp Group'!F921*CB8</f>
        <v>90366.071769999995</v>
      </c>
      <c r="N128" s="795">
        <f>'More Comp Group'!G921*CC8</f>
        <v>99473.256582000002</v>
      </c>
      <c r="O128" s="795">
        <f>'More Comp Group'!H921*CD8</f>
        <v>79202.953664000001</v>
      </c>
      <c r="P128" s="795">
        <f>'More Comp Group'!D925*BZ8</f>
        <v>-10296.595188000001</v>
      </c>
      <c r="Q128" s="795">
        <f>'More Comp Group'!E925*CA8</f>
        <v>-33998.110047000002</v>
      </c>
      <c r="R128" s="795">
        <f>'More Comp Group'!F925*CB8</f>
        <v>-1384.72659</v>
      </c>
      <c r="S128" s="795">
        <f>'More Comp Group'!G925*CC8</f>
        <v>2396.7271660000001</v>
      </c>
      <c r="T128" s="795">
        <f>'More Comp Group'!H925*CD8</f>
        <v>6116.3984399999999</v>
      </c>
      <c r="U128" s="795">
        <f>'More Comp Group'!D924*BZ8</f>
        <v>41775.568956000003</v>
      </c>
      <c r="V128" s="795">
        <f>'More Comp Group'!E924*CA8</f>
        <v>57164.806930999999</v>
      </c>
      <c r="W128" s="795">
        <f>'More Comp Group'!F924*CB8</f>
        <v>58931.643810000001</v>
      </c>
      <c r="X128" s="795">
        <f>'More Comp Group'!G924*CC8</f>
        <v>80449.560563999999</v>
      </c>
      <c r="Y128" s="795">
        <f>'More Comp Group'!H924*CD8</f>
        <v>40233.222335999999</v>
      </c>
      <c r="Z128" s="795">
        <f>'More Comp Group'!D919*BZ8</f>
        <v>79347.702455999999</v>
      </c>
      <c r="AA128" s="795">
        <f>'More Comp Group'!E919*CA8</f>
        <v>90837.890096000003</v>
      </c>
      <c r="AB128" s="795">
        <f>'More Comp Group'!F919*CB8</f>
        <v>117111.09045999999</v>
      </c>
      <c r="AC128" s="795">
        <f>'More Comp Group'!G919*CC8</f>
        <v>156195.02043800001</v>
      </c>
      <c r="AD128" s="795">
        <f>'More Comp Group'!H919*CD8</f>
        <v>60849.993879999995</v>
      </c>
      <c r="AE128" s="61">
        <f t="shared" si="37"/>
        <v>-0.12976551140481582</v>
      </c>
      <c r="AF128" s="61">
        <f t="shared" si="37"/>
        <v>-0.37427234396428466</v>
      </c>
      <c r="AG128" s="61">
        <f t="shared" si="37"/>
        <v>-1.1824043176106894E-2</v>
      </c>
      <c r="AH128" s="61">
        <f t="shared" si="37"/>
        <v>1.5344453102788614E-2</v>
      </c>
      <c r="AI128" s="61">
        <f t="shared" si="29"/>
        <v>0.10051600747999945</v>
      </c>
      <c r="AJ128" s="61">
        <f t="shared" si="38"/>
        <v>-0.28904932677282202</v>
      </c>
      <c r="AK128" s="61">
        <f t="shared" si="38"/>
        <v>-0.74028130497784994</v>
      </c>
      <c r="AL128" s="61">
        <f t="shared" si="38"/>
        <v>-2.0679094100248471E-2</v>
      </c>
      <c r="AM128" s="61">
        <f t="shared" si="38"/>
        <v>4.9743933644306425E-2</v>
      </c>
      <c r="AN128" s="61">
        <f t="shared" si="30"/>
        <v>0.35331004041814518</v>
      </c>
      <c r="AO128" s="843"/>
      <c r="AP128" s="437"/>
      <c r="AQ128" s="795">
        <f>'More Comp Group'!D929*BZ8</f>
        <v>37572.133500000004</v>
      </c>
      <c r="AR128" s="795">
        <f>'More Comp Group'!E929*CA8</f>
        <v>33672.420521</v>
      </c>
      <c r="AS128" s="795">
        <f>'More Comp Group'!F929*CB8</f>
        <v>58179.446649999998</v>
      </c>
      <c r="AT128" s="795">
        <f>'More Comp Group'!G929*CC8</f>
        <v>75745.819445999994</v>
      </c>
      <c r="AU128" s="795">
        <f>'More Comp Group'!H929*CD8</f>
        <v>20616.771543999999</v>
      </c>
      <c r="AV128" s="827">
        <f>'Shareholder funds'!F128</f>
        <v>14006.634192</v>
      </c>
      <c r="AW128" s="797">
        <f>'More Comp Group'!D927*BZ8</f>
        <v>10104.604488000001</v>
      </c>
      <c r="AX128" s="797">
        <f>'More Comp Group'!E927*CA8</f>
        <v>264.22929499999998</v>
      </c>
      <c r="AY128" s="797">
        <f>'More Comp Group'!F927*CB8</f>
        <v>15668.484129999999</v>
      </c>
      <c r="AZ128" s="797">
        <f>'More Comp Group'!G927*CC8</f>
        <v>22688.813414</v>
      </c>
      <c r="BA128" s="797">
        <f>'More Comp Group'!H927*CD8</f>
        <v>17163.389159999999</v>
      </c>
      <c r="BB128" s="798">
        <f t="shared" si="31"/>
        <v>0.35636309256766863</v>
      </c>
      <c r="BC128" s="798">
        <f t="shared" si="32"/>
        <v>0.10563475146395772</v>
      </c>
      <c r="BD128" s="798">
        <f t="shared" si="33"/>
        <v>-8.8376551203744311E-2</v>
      </c>
      <c r="BE128" s="796">
        <f t="shared" si="34"/>
        <v>0.13768894730079942</v>
      </c>
      <c r="BF128" s="796">
        <f t="shared" si="35"/>
        <v>-0.30458611981668643</v>
      </c>
      <c r="BG128" s="799">
        <f t="shared" si="36"/>
        <v>-5.4745230904163014E-2</v>
      </c>
    </row>
    <row r="129" spans="1:59" ht="15" customHeight="1">
      <c r="A129" s="680">
        <v>2008</v>
      </c>
      <c r="B129" s="681"/>
      <c r="C129" s="53" t="s">
        <v>487</v>
      </c>
      <c r="D129" s="751"/>
      <c r="E129" s="751"/>
      <c r="F129" s="751"/>
      <c r="G129" s="751"/>
      <c r="H129" s="751"/>
      <c r="I129" s="751" t="s">
        <v>1033</v>
      </c>
      <c r="J129" s="740" t="s">
        <v>524</v>
      </c>
      <c r="K129" s="756">
        <f t="shared" ref="K129:AD129" si="39">K126</f>
        <v>160268.29988400001</v>
      </c>
      <c r="L129" s="756">
        <f t="shared" si="39"/>
        <v>114677.004979</v>
      </c>
      <c r="M129" s="756">
        <f t="shared" si="39"/>
        <v>97897.150259999995</v>
      </c>
      <c r="N129" s="756">
        <f t="shared" si="39"/>
        <v>89372.699315999998</v>
      </c>
      <c r="O129" s="756">
        <f t="shared" si="39"/>
        <v>53980.018191999996</v>
      </c>
      <c r="P129" s="756">
        <f t="shared" si="39"/>
        <v>25332.413832000002</v>
      </c>
      <c r="Q129" s="756">
        <f t="shared" si="39"/>
        <v>4276.3730539999997</v>
      </c>
      <c r="R129" s="756">
        <f t="shared" si="39"/>
        <v>4546.5748899999999</v>
      </c>
      <c r="S129" s="756">
        <f t="shared" si="39"/>
        <v>15767.951344000001</v>
      </c>
      <c r="T129" s="756">
        <f t="shared" si="39"/>
        <v>2133.4244159999998</v>
      </c>
      <c r="U129" s="756">
        <f t="shared" si="39"/>
        <v>52182.179280000004</v>
      </c>
      <c r="V129" s="756">
        <f t="shared" si="39"/>
        <v>55103.652769</v>
      </c>
      <c r="W129" s="756">
        <f t="shared" si="39"/>
        <v>34955.758759999997</v>
      </c>
      <c r="X129" s="756">
        <f t="shared" si="39"/>
        <v>36870.692666000003</v>
      </c>
      <c r="Y129" s="756">
        <f t="shared" si="39"/>
        <v>13956.236943999998</v>
      </c>
      <c r="Z129" s="756">
        <f t="shared" si="39"/>
        <v>177101.33007600001</v>
      </c>
      <c r="AA129" s="756">
        <f t="shared" si="39"/>
        <v>158068.425048</v>
      </c>
      <c r="AB129" s="756">
        <f t="shared" si="39"/>
        <v>131285.56531999999</v>
      </c>
      <c r="AC129" s="756">
        <f t="shared" si="39"/>
        <v>144421.01508400001</v>
      </c>
      <c r="AD129" s="756">
        <f t="shared" si="39"/>
        <v>105016.56775999999</v>
      </c>
      <c r="AE129" s="61">
        <f t="shared" si="37"/>
        <v>0.14303909417918562</v>
      </c>
      <c r="AF129" s="61">
        <f t="shared" si="37"/>
        <v>2.7053935994499918E-2</v>
      </c>
      <c r="AG129" s="61">
        <f t="shared" si="37"/>
        <v>3.463118644397821E-2</v>
      </c>
      <c r="AH129" s="61">
        <f t="shared" si="37"/>
        <v>0.10918044949918709</v>
      </c>
      <c r="AI129" s="61">
        <f t="shared" si="29"/>
        <v>2.0315122285043914E-2</v>
      </c>
      <c r="AJ129" s="61">
        <f t="shared" si="38"/>
        <v>0.22232751958606195</v>
      </c>
      <c r="AK129" s="61">
        <f t="shared" si="38"/>
        <v>4.2915131030532551E-2</v>
      </c>
      <c r="AL129" s="61">
        <f t="shared" si="38"/>
        <v>4.4600505951239842E-2</v>
      </c>
      <c r="AM129" s="61">
        <f t="shared" si="38"/>
        <v>0.15878253343663742</v>
      </c>
      <c r="AN129" s="61">
        <f t="shared" si="30"/>
        <v>2.5242907208832172E-2</v>
      </c>
      <c r="AO129" s="843"/>
      <c r="AP129" s="437"/>
      <c r="AQ129" s="756">
        <f>AQ126</f>
        <v>124918.9722</v>
      </c>
      <c r="AR129" s="756">
        <f>AR126</f>
        <v>102964.772279</v>
      </c>
      <c r="AS129" s="756">
        <f>AS126</f>
        <v>96329.646789999999</v>
      </c>
      <c r="AT129" s="756">
        <f>AT126</f>
        <v>107550.322418</v>
      </c>
      <c r="AU129" s="756">
        <f>AU126</f>
        <v>91060.330815999987</v>
      </c>
      <c r="AV129" s="827">
        <f>'Shareholder funds'!F129</f>
        <v>77971.262759999998</v>
      </c>
      <c r="AW129" s="771">
        <f>'Long Term Debt'!C105*BZ8</f>
        <v>1976.1647400000002</v>
      </c>
      <c r="AX129" s="771">
        <f>'Long Term Debt'!D105*CA8</f>
        <v>6534.0011620000005</v>
      </c>
      <c r="AY129" s="771">
        <f>'Long Term Debt'!E105*CB8</f>
        <v>0</v>
      </c>
      <c r="AZ129" s="771">
        <f>'Long Term Debt'!F105*CC8</f>
        <v>0</v>
      </c>
      <c r="BA129" s="771">
        <f>'Long Term Debt'!G105*CD8</f>
        <v>0</v>
      </c>
      <c r="BB129" s="743" t="e">
        <f t="shared" si="31"/>
        <v>#DIV/0!</v>
      </c>
      <c r="BC129" s="743" t="e">
        <f t="shared" si="32"/>
        <v>#DIV/0!</v>
      </c>
      <c r="BD129" s="743" t="e">
        <f t="shared" si="33"/>
        <v>#DIV/0!</v>
      </c>
      <c r="BE129" s="766" t="e">
        <f t="shared" si="34"/>
        <v>#DIV/0!</v>
      </c>
      <c r="BF129" s="766" t="e">
        <f t="shared" si="35"/>
        <v>#DIV/0!</v>
      </c>
      <c r="BG129" s="760" t="e">
        <f t="shared" si="36"/>
        <v>#DIV/0!</v>
      </c>
    </row>
    <row r="130" spans="1:59" ht="15" customHeight="1">
      <c r="A130" s="535">
        <v>2006</v>
      </c>
      <c r="B130" s="676"/>
      <c r="C130" s="411" t="s">
        <v>487</v>
      </c>
      <c r="D130" s="536"/>
      <c r="E130" s="536"/>
      <c r="F130" s="536"/>
      <c r="G130" s="536"/>
      <c r="H130" s="536"/>
      <c r="I130" s="536" t="s">
        <v>1034</v>
      </c>
      <c r="J130" s="524" t="s">
        <v>861</v>
      </c>
      <c r="K130" s="534">
        <f>'More Comp Group'!M426*CB8</f>
        <v>15601540.5</v>
      </c>
      <c r="L130" s="534">
        <f>'More Comp Group'!N426*CC8</f>
        <v>17474120.484000001</v>
      </c>
      <c r="M130" s="534">
        <f>'More Comp Group'!O426*CD8</f>
        <v>15823239.975999998</v>
      </c>
      <c r="N130" s="534">
        <f>'More Comp Group'!P426*CE8</f>
        <v>14217848.316</v>
      </c>
      <c r="O130" s="534">
        <f>'More Comp Group'!Q426*CF8</f>
        <v>10717390.302999999</v>
      </c>
      <c r="P130" s="534">
        <f>'More Comp Group'!M430*CB8</f>
        <v>1382489.81</v>
      </c>
      <c r="Q130" s="534">
        <f>'More Comp Group'!N430*CC8</f>
        <v>2348904.09</v>
      </c>
      <c r="R130" s="534">
        <f>'More Comp Group'!O430*CD8</f>
        <v>3082753.7919999999</v>
      </c>
      <c r="S130" s="534">
        <f>'More Comp Group'!P430*CE8</f>
        <v>2485239.36</v>
      </c>
      <c r="T130" s="534">
        <f>'More Comp Group'!Q430*CF8</f>
        <v>1188868.8939999999</v>
      </c>
      <c r="U130" s="534">
        <f>'More Comp Group'!M429*CB8</f>
        <v>12935937.82</v>
      </c>
      <c r="V130" s="534">
        <f>'More Comp Group'!N429*CC8</f>
        <v>17727618.743999999</v>
      </c>
      <c r="W130" s="534">
        <f>'More Comp Group'!O429*CD8</f>
        <v>14745918.823999999</v>
      </c>
      <c r="X130" s="534">
        <f>'More Comp Group'!P429*CE8</f>
        <v>13370337.983999999</v>
      </c>
      <c r="Y130" s="534">
        <f>'More Comp Group'!Q429*CF8</f>
        <v>11018261.517999999</v>
      </c>
      <c r="Z130" s="534">
        <f>'More Comp Group'!M424*CB8</f>
        <v>26526772.870000001</v>
      </c>
      <c r="AA130" s="534">
        <f>'More Comp Group'!N424*CC8</f>
        <v>33650905.192000002</v>
      </c>
      <c r="AB130" s="534">
        <f>'More Comp Group'!O424*CD8</f>
        <v>27520285.183999997</v>
      </c>
      <c r="AC130" s="534">
        <f>'More Comp Group'!P424*CE8</f>
        <v>23162680.607999999</v>
      </c>
      <c r="AD130" s="534">
        <f>'More Comp Group'!Q424*CF8</f>
        <v>19342054.154999997</v>
      </c>
      <c r="AE130" s="61">
        <f t="shared" si="37"/>
        <v>5.2116773373647091E-2</v>
      </c>
      <c r="AF130" s="61">
        <f t="shared" si="37"/>
        <v>6.980210715277925E-2</v>
      </c>
      <c r="AG130" s="61">
        <f t="shared" si="37"/>
        <v>0.1120175089534421</v>
      </c>
      <c r="AH130" s="61">
        <f t="shared" si="37"/>
        <v>0.10729498032026742</v>
      </c>
      <c r="AI130" s="61">
        <f t="shared" si="29"/>
        <v>6.1465492986052493E-2</v>
      </c>
      <c r="AJ130" s="61">
        <f t="shared" si="38"/>
        <v>9.3683277009866839E-2</v>
      </c>
      <c r="AK130" s="61">
        <f t="shared" si="38"/>
        <v>0.16370008416473697</v>
      </c>
      <c r="AL130" s="61">
        <f t="shared" si="38"/>
        <v>0.27321252684081676</v>
      </c>
      <c r="AM130" s="61">
        <f t="shared" si="38"/>
        <v>0.27436749882853506</v>
      </c>
      <c r="AN130" s="61">
        <f t="shared" si="30"/>
        <v>0.16377588800702891</v>
      </c>
      <c r="AO130" s="843"/>
      <c r="AP130" s="437"/>
      <c r="AQ130" s="534">
        <f>'More Comp Group'!M434*CB8</f>
        <v>13590835.049999999</v>
      </c>
      <c r="AR130" s="534">
        <f>'More Comp Group'!N434*CC8</f>
        <v>15923286.448000001</v>
      </c>
      <c r="AS130" s="534">
        <f>'More Comp Group'!O434*CD8</f>
        <v>12774366.359999999</v>
      </c>
      <c r="AT130" s="534">
        <f>'More Comp Group'!P434*CE8</f>
        <v>9792342.6239999998</v>
      </c>
      <c r="AU130" s="534">
        <f>'More Comp Group'!Q434*CF8</f>
        <v>8323792.6369999992</v>
      </c>
      <c r="AV130" s="827">
        <f>'Shareholder funds'!F130</f>
        <v>6194448.2159999991</v>
      </c>
      <c r="AW130" s="719">
        <f>'Long Term Debt'!C106*CB8</f>
        <v>6624543.5099999998</v>
      </c>
      <c r="AX130" s="719">
        <f>'Long Term Debt'!D106*CC8</f>
        <v>9062472.9020000007</v>
      </c>
      <c r="AY130" s="719">
        <f>'Long Term Debt'!E106*CD8</f>
        <v>8191644.7759999996</v>
      </c>
      <c r="AZ130" s="719">
        <f>'Long Term Debt'!F106*CE8</f>
        <v>7470548.3399999999</v>
      </c>
      <c r="BA130" s="719">
        <f>'Long Term Debt'!G106*CF8</f>
        <v>5248686.6839999994</v>
      </c>
      <c r="BB130" s="553">
        <f t="shared" si="31"/>
        <v>0.22650788008057826</v>
      </c>
      <c r="BC130" s="553">
        <f t="shared" si="32"/>
        <v>0.33267161216173857</v>
      </c>
      <c r="BD130" s="553">
        <f t="shared" si="33"/>
        <v>0.37632903724437577</v>
      </c>
      <c r="BE130" s="538">
        <f t="shared" si="34"/>
        <v>0.16934722670878363</v>
      </c>
      <c r="BF130" s="538">
        <f t="shared" si="35"/>
        <v>0.26123656870325529</v>
      </c>
      <c r="BG130" s="455">
        <f t="shared" si="36"/>
        <v>0.3284644140090886</v>
      </c>
    </row>
    <row r="131" spans="1:59" ht="15" customHeight="1">
      <c r="A131" s="535">
        <v>2006</v>
      </c>
      <c r="B131" s="676"/>
      <c r="C131" s="411" t="s">
        <v>487</v>
      </c>
      <c r="D131" s="536"/>
      <c r="E131" s="536"/>
      <c r="F131" s="536"/>
      <c r="G131" s="536"/>
      <c r="H131" s="536"/>
      <c r="I131" s="536" t="s">
        <v>1034</v>
      </c>
      <c r="J131" s="524" t="s">
        <v>862</v>
      </c>
      <c r="K131" s="534">
        <f>'More Comp Group'!V426*CB8</f>
        <v>10090.27435</v>
      </c>
      <c r="L131" s="534">
        <f>'More Comp Group'!W426*CC8</f>
        <v>7486.109254</v>
      </c>
      <c r="M131" s="534">
        <f>'More Comp Group'!X426*CD8</f>
        <v>4265.8221599999997</v>
      </c>
      <c r="N131" s="534">
        <f>'More Comp Group'!Y426*CE8</f>
        <v>1646.7832920000001</v>
      </c>
      <c r="O131" s="534">
        <f>'More Comp Group'!Z426*CF8</f>
        <v>439.10093599999999</v>
      </c>
      <c r="P131" s="534">
        <f>'More Comp Group'!V430*CB8</f>
        <v>1208.18074</v>
      </c>
      <c r="Q131" s="534">
        <f>'More Comp Group'!W430*CC8</f>
        <v>317.68186200000002</v>
      </c>
      <c r="R131" s="534">
        <f>'More Comp Group'!X430*CD8</f>
        <v>167.860872</v>
      </c>
      <c r="S131" s="534">
        <f>'More Comp Group'!Y430*CE8</f>
        <v>47.769047999999998</v>
      </c>
      <c r="T131" s="534">
        <f>'More Comp Group'!Z430*CF8</f>
        <v>-75.878631999999996</v>
      </c>
      <c r="U131" s="534">
        <f>'More Comp Group'!V429*CB8</f>
        <v>2614.95559</v>
      </c>
      <c r="V131" s="534">
        <f>'More Comp Group'!W429*CC8</f>
        <v>1947.6217380000001</v>
      </c>
      <c r="W131" s="534">
        <f>'More Comp Group'!X429*CD8</f>
        <v>833.14432799999997</v>
      </c>
      <c r="X131" s="534">
        <f>'More Comp Group'!Y429*CE8</f>
        <v>553.090644</v>
      </c>
      <c r="Y131" s="534">
        <f>'More Comp Group'!Z429*CF8</f>
        <v>297.91692399999999</v>
      </c>
      <c r="Z131" s="534">
        <f>'More Comp Group'!V424*CB8</f>
        <v>3498.6434599999998</v>
      </c>
      <c r="AA131" s="534">
        <f>'More Comp Group'!W424*CC8</f>
        <v>2589.0981860000002</v>
      </c>
      <c r="AB131" s="534">
        <f>'More Comp Group'!X424*CD8</f>
        <v>1286.9333519999998</v>
      </c>
      <c r="AC131" s="534">
        <f>'More Comp Group'!Y424*CE8</f>
        <v>696.71000400000003</v>
      </c>
      <c r="AD131" s="534">
        <f>'More Comp Group'!Z424*CF8</f>
        <v>393.54265899999996</v>
      </c>
      <c r="AE131" s="61">
        <f t="shared" si="37"/>
        <v>0.34532834048771582</v>
      </c>
      <c r="AF131" s="61">
        <f t="shared" si="37"/>
        <v>0.12269981251301992</v>
      </c>
      <c r="AG131" s="61">
        <f t="shared" si="37"/>
        <v>0.13043478260869568</v>
      </c>
      <c r="AH131" s="61">
        <f t="shared" si="37"/>
        <v>6.8563746358951377E-2</v>
      </c>
      <c r="AI131" s="61">
        <f t="shared" si="29"/>
        <v>-0.19280916633741604</v>
      </c>
      <c r="AJ131" s="61">
        <f t="shared" si="38"/>
        <v>1.5841418822568838</v>
      </c>
      <c r="AK131" s="61">
        <f t="shared" si="38"/>
        <v>0.58000499738344757</v>
      </c>
      <c r="AL131" s="61">
        <f t="shared" si="38"/>
        <v>0.56196356293519978</v>
      </c>
      <c r="AM131" s="61">
        <f t="shared" si="38"/>
        <v>0.39959117252466425</v>
      </c>
      <c r="AN131" s="61">
        <f t="shared" si="30"/>
        <v>-1.3717083310096005</v>
      </c>
      <c r="AO131" s="843"/>
      <c r="AP131" s="437"/>
      <c r="AQ131" s="534">
        <f>'More Comp Group'!V434*CB8</f>
        <v>883.68786999999998</v>
      </c>
      <c r="AR131" s="534">
        <f>'More Comp Group'!W434*CC8</f>
        <v>641.65623400000004</v>
      </c>
      <c r="AS131" s="534">
        <f>'More Comp Group'!X434*CD8</f>
        <v>453.78902399999998</v>
      </c>
      <c r="AT131" s="534">
        <f>'More Comp Group'!Y434*CE8</f>
        <v>143.61936</v>
      </c>
      <c r="AU131" s="534">
        <f>'More Comp Group'!Z434*CF8</f>
        <v>95.470245999999989</v>
      </c>
      <c r="AV131" s="827">
        <f>'Shareholder funds'!F131</f>
        <v>15.163523999999999</v>
      </c>
      <c r="AW131" s="719">
        <f>'Long Term Debt'!C107*CB8</f>
        <v>90.270049999999998</v>
      </c>
      <c r="AX131" s="719">
        <f>'Long Term Debt'!D107*CC8</f>
        <v>438.13848200000001</v>
      </c>
      <c r="AY131" s="719">
        <f>'Long Term Debt'!E107*CD8</f>
        <v>70.498143999999996</v>
      </c>
      <c r="AZ131" s="719">
        <f>'Long Term Debt'!F107*CE8</f>
        <v>73.370760000000004</v>
      </c>
      <c r="BA131" s="719">
        <f>'Long Term Debt'!G107*CF8</f>
        <v>0</v>
      </c>
      <c r="BB131" s="553" t="e">
        <f t="shared" si="31"/>
        <v>#DIV/0!</v>
      </c>
      <c r="BC131" s="553">
        <f t="shared" si="32"/>
        <v>0.65106382978723398</v>
      </c>
      <c r="BD131" s="553">
        <f t="shared" si="33"/>
        <v>2.3810679611650487</v>
      </c>
      <c r="BE131" s="538" t="e">
        <f t="shared" si="34"/>
        <v>#DIV/0!</v>
      </c>
      <c r="BF131" s="538">
        <f t="shared" si="35"/>
        <v>0.63641580697489164</v>
      </c>
      <c r="BG131" s="455">
        <f t="shared" si="36"/>
        <v>1.7396286759495772</v>
      </c>
    </row>
    <row r="132" spans="1:59" ht="15" customHeight="1">
      <c r="A132" s="535">
        <v>2005</v>
      </c>
      <c r="B132" s="676"/>
      <c r="C132" s="411" t="s">
        <v>487</v>
      </c>
      <c r="D132" s="536"/>
      <c r="E132" s="536"/>
      <c r="F132" s="536"/>
      <c r="G132" s="411"/>
      <c r="H132" s="536"/>
      <c r="I132" s="536" t="s">
        <v>305</v>
      </c>
      <c r="J132" s="524" t="s">
        <v>888</v>
      </c>
      <c r="K132" s="534">
        <f>'More Comp Group'!M453*CC8</f>
        <v>406960.89280999999</v>
      </c>
      <c r="L132" s="534">
        <f>'More Comp Group'!N453*CD8</f>
        <v>714082.20283199998</v>
      </c>
      <c r="M132" s="534">
        <f>'More Comp Group'!O453*CE8</f>
        <v>428456.51452799997</v>
      </c>
      <c r="N132" s="534">
        <f>'More Comp Group'!P453*CF8</f>
        <v>365272.73744299996</v>
      </c>
      <c r="O132" s="534">
        <f>'More Comp Group'!Q453*CG8</f>
        <v>121426.22962799999</v>
      </c>
      <c r="P132" s="534">
        <f>'More Comp Group'!M457*CC8</f>
        <v>-22575.728019999999</v>
      </c>
      <c r="Q132" s="534">
        <f>'More Comp Group'!N457*CD8</f>
        <v>322857.37272799999</v>
      </c>
      <c r="R132" s="534">
        <f>'More Comp Group'!O457*CE8</f>
        <v>191270.23424399999</v>
      </c>
      <c r="S132" s="534">
        <f>'More Comp Group'!P457*CF8</f>
        <v>176188.31763599999</v>
      </c>
      <c r="T132" s="534">
        <f>'More Comp Group'!Q457*CG8</f>
        <v>37788.393779999999</v>
      </c>
      <c r="U132" s="534">
        <f>'More Comp Group'!M456*CC8</f>
        <v>1767386.452786</v>
      </c>
      <c r="V132" s="534">
        <f>'More Comp Group'!N456*CD8</f>
        <v>1513299.8123679999</v>
      </c>
      <c r="W132" s="534">
        <f>'More Comp Group'!O456*CE8</f>
        <v>1252450.269084</v>
      </c>
      <c r="X132" s="534">
        <f>'More Comp Group'!P456*CF8</f>
        <v>1038965.0588799999</v>
      </c>
      <c r="Y132" s="534">
        <f>'More Comp Group'!Q456*CG8</f>
        <v>753262.92089999991</v>
      </c>
      <c r="Z132" s="534">
        <f>'More Comp Group'!M451*CC8</f>
        <v>4575589.8369859997</v>
      </c>
      <c r="AA132" s="534">
        <f>'More Comp Group'!N451*CD8</f>
        <v>4250212.2966879997</v>
      </c>
      <c r="AB132" s="534">
        <f>'More Comp Group'!O451*CE8</f>
        <v>3030505.2466079998</v>
      </c>
      <c r="AC132" s="534">
        <f>'More Comp Group'!P451*CF8</f>
        <v>2653974.2587739998</v>
      </c>
      <c r="AD132" s="534">
        <f>'More Comp Group'!Q451*CG8</f>
        <v>843960.26914199989</v>
      </c>
      <c r="AE132" s="61">
        <f t="shared" si="37"/>
        <v>-4.9339492446444722E-3</v>
      </c>
      <c r="AF132" s="61">
        <f t="shared" si="37"/>
        <v>7.5962646143485177E-2</v>
      </c>
      <c r="AG132" s="61">
        <f t="shared" si="37"/>
        <v>6.3114965551729685E-2</v>
      </c>
      <c r="AH132" s="61">
        <f t="shared" si="37"/>
        <v>6.638659627293822E-2</v>
      </c>
      <c r="AI132" s="61">
        <f t="shared" si="29"/>
        <v>4.4775086176055454E-2</v>
      </c>
      <c r="AJ132" s="61">
        <f t="shared" si="38"/>
        <v>-1.4901926646291671E-2</v>
      </c>
      <c r="AK132" s="61">
        <f t="shared" si="38"/>
        <v>0.24529783599871713</v>
      </c>
      <c r="AL132" s="61">
        <f t="shared" si="38"/>
        <v>0.19598548400411464</v>
      </c>
      <c r="AM132" s="61">
        <f t="shared" si="38"/>
        <v>0.31825508690054555</v>
      </c>
      <c r="AN132" s="61">
        <f t="shared" si="30"/>
        <v>0.17488799927949855</v>
      </c>
      <c r="AO132" s="843"/>
      <c r="AP132" s="437"/>
      <c r="AQ132" s="534">
        <f>'More Comp Group'!M461*CC8</f>
        <v>1475690.1400820001</v>
      </c>
      <c r="AR132" s="534">
        <f>'More Comp Group'!N461*CD8</f>
        <v>1554217.1404799998</v>
      </c>
      <c r="AS132" s="534">
        <f>'More Comp Group'!O461*CE8</f>
        <v>1078153.1893559999</v>
      </c>
      <c r="AT132" s="534">
        <f>'More Comp Group'!P461*CF8</f>
        <v>873728.45346999995</v>
      </c>
      <c r="AU132" s="534">
        <f>'More Comp Group'!Q461*CG8</f>
        <v>233486.00994599998</v>
      </c>
      <c r="AV132" s="827">
        <f>'Shareholder funds'!F132</f>
        <v>198657.921435</v>
      </c>
      <c r="AW132" s="719">
        <f>'Long Term Debt'!C108*CC8</f>
        <v>2849812.15711</v>
      </c>
      <c r="AX132" s="719">
        <f>'Long Term Debt'!D108*CD8</f>
        <v>2533079.0787839997</v>
      </c>
      <c r="AY132" s="719">
        <f>'Long Term Debt'!E108*CE8</f>
        <v>1835068.1168519999</v>
      </c>
      <c r="AZ132" s="719">
        <f>'Long Term Debt'!F108*CF8</f>
        <v>1707182.3016489998</v>
      </c>
      <c r="BA132" s="719">
        <f>'Long Term Debt'!G108*CG8</f>
        <v>564957.52268399997</v>
      </c>
      <c r="BB132" s="553">
        <f t="shared" si="31"/>
        <v>6.6887141533180955E-2</v>
      </c>
      <c r="BC132" s="553">
        <f t="shared" si="32"/>
        <v>0.10320416130475131</v>
      </c>
      <c r="BD132" s="553">
        <f t="shared" si="33"/>
        <v>0.1042305909451023</v>
      </c>
      <c r="BE132" s="538">
        <f t="shared" si="34"/>
        <v>4.7534089718821518E-2</v>
      </c>
      <c r="BF132" s="538">
        <f t="shared" si="35"/>
        <v>0.16811329903988773</v>
      </c>
      <c r="BG132" s="455">
        <f t="shared" si="36"/>
        <v>0.1466770355482564</v>
      </c>
    </row>
    <row r="133" spans="1:59" ht="15" customHeight="1">
      <c r="A133" s="535">
        <v>2005</v>
      </c>
      <c r="B133" s="676"/>
      <c r="C133" s="411" t="s">
        <v>487</v>
      </c>
      <c r="D133" s="536"/>
      <c r="E133" s="536"/>
      <c r="F133" s="536"/>
      <c r="G133" s="536"/>
      <c r="H133" s="536"/>
      <c r="I133" s="536" t="s">
        <v>318</v>
      </c>
      <c r="J133" s="524" t="s">
        <v>914</v>
      </c>
      <c r="K133" s="534">
        <f>'More Comp Group'!M486*CC8</f>
        <v>10443.409168</v>
      </c>
      <c r="L133" s="534">
        <f>'More Comp Group'!N486*CD8</f>
        <v>10099.8858</v>
      </c>
      <c r="M133" s="534">
        <f>'More Comp Group'!O486*CE8</f>
        <v>8502.4222200000004</v>
      </c>
      <c r="N133" s="534">
        <f>'More Comp Group'!P486*CF8</f>
        <v>13653.022622999999</v>
      </c>
      <c r="O133" s="534">
        <f>'More Comp Group'!Q486*CG8</f>
        <v>7667.2426499999992</v>
      </c>
      <c r="P133" s="534">
        <f>'More Comp Group'!M490*CC8</f>
        <v>-503.76037200000002</v>
      </c>
      <c r="Q133" s="534">
        <f>'More Comp Group'!N490*CD8</f>
        <v>1611.1905919999999</v>
      </c>
      <c r="R133" s="534">
        <f>'More Comp Group'!O490*CE8</f>
        <v>1560.923892</v>
      </c>
      <c r="S133" s="534">
        <f>'More Comp Group'!P490*CF8</f>
        <v>1520.8379089999999</v>
      </c>
      <c r="T133" s="534">
        <f>'More Comp Group'!Q490*CG8</f>
        <v>1661.5951739999998</v>
      </c>
      <c r="U133" s="534">
        <f>'More Comp Group'!M489*CC8</f>
        <v>529559.84278599999</v>
      </c>
      <c r="V133" s="534">
        <f>'More Comp Group'!N489*CD8</f>
        <v>430346.85111199995</v>
      </c>
      <c r="W133" s="534">
        <f>'More Comp Group'!O489*CE8</f>
        <v>353819.874756</v>
      </c>
      <c r="X133" s="534">
        <f>'More Comp Group'!P489*CF8</f>
        <v>310942.23752999998</v>
      </c>
      <c r="Y133" s="534">
        <f>'More Comp Group'!Q489*CG8</f>
        <v>257467.56913799999</v>
      </c>
      <c r="Z133" s="534">
        <f>'More Comp Group'!M484*CC8</f>
        <v>562506.16664399998</v>
      </c>
      <c r="AA133" s="534">
        <f>'More Comp Group'!N484*CD8</f>
        <v>462304.24156799994</v>
      </c>
      <c r="AB133" s="534">
        <f>'More Comp Group'!O484*CE8</f>
        <v>382246.51712400001</v>
      </c>
      <c r="AC133" s="534">
        <f>'More Comp Group'!P484*CF8</f>
        <v>338393.35401299997</v>
      </c>
      <c r="AD133" s="534">
        <f>'More Comp Group'!Q484*CG8</f>
        <v>283022.7156</v>
      </c>
      <c r="AE133" s="61">
        <f t="shared" si="37"/>
        <v>-8.9556417666585486E-4</v>
      </c>
      <c r="AF133" s="61">
        <f t="shared" si="37"/>
        <v>3.4851304555098082E-3</v>
      </c>
      <c r="AG133" s="61">
        <f t="shared" si="37"/>
        <v>4.0835529483546334E-3</v>
      </c>
      <c r="AH133" s="61">
        <f t="shared" si="37"/>
        <v>4.4942901240949736E-3</v>
      </c>
      <c r="AI133" s="61">
        <f t="shared" si="29"/>
        <v>5.8708897993486704E-3</v>
      </c>
      <c r="AJ133" s="61">
        <f t="shared" si="38"/>
        <v>-1.5523314106888852E-2</v>
      </c>
      <c r="AK133" s="61">
        <f t="shared" si="38"/>
        <v>5.3364789221551384E-2</v>
      </c>
      <c r="AL133" s="61">
        <f t="shared" si="38"/>
        <v>5.586923756775064E-2</v>
      </c>
      <c r="AM133" s="61">
        <f t="shared" si="38"/>
        <v>5.7383328855989776E-2</v>
      </c>
      <c r="AN133" s="61">
        <f t="shared" si="30"/>
        <v>6.7813976470473686E-2</v>
      </c>
      <c r="AO133" s="843"/>
      <c r="AP133" s="437"/>
      <c r="AQ133" s="534">
        <f>'More Comp Group'!M494*CC8</f>
        <v>32946.323858000003</v>
      </c>
      <c r="AR133" s="534">
        <f>'More Comp Group'!N494*CD8</f>
        <v>31957.390455999997</v>
      </c>
      <c r="AS133" s="534">
        <f>'More Comp Group'!O494*CE8</f>
        <v>28426.642368000001</v>
      </c>
      <c r="AT133" s="534">
        <f>'More Comp Group'!P494*CF8</f>
        <v>27451.116482999998</v>
      </c>
      <c r="AU133" s="534">
        <f>'More Comp Group'!Q494*CG8</f>
        <v>25555.146461999997</v>
      </c>
      <c r="AV133" s="827">
        <f>'Shareholder funds'!F133</f>
        <v>23449.358522999999</v>
      </c>
      <c r="AW133" s="719">
        <f>'Long Term Debt'!C109*CC8</f>
        <v>16076.464120000001</v>
      </c>
      <c r="AX133" s="719">
        <f>'Long Term Debt'!D109*CD8</f>
        <v>15342.073031999998</v>
      </c>
      <c r="AY133" s="719">
        <f>'Long Term Debt'!E109*CE8</f>
        <v>13993.677228</v>
      </c>
      <c r="AZ133" s="719">
        <f>'Long Term Debt'!F109*CF8</f>
        <v>306721.02215799998</v>
      </c>
      <c r="BA133" s="719">
        <f>'Long Term Debt'!G109*CG8</f>
        <v>10498.956425999999</v>
      </c>
      <c r="BB133" s="553">
        <f t="shared" si="31"/>
        <v>0.1582628888605695</v>
      </c>
      <c r="BC133" s="553">
        <f t="shared" si="32"/>
        <v>4.9583751980866071E-3</v>
      </c>
      <c r="BD133" s="553">
        <f t="shared" si="33"/>
        <v>0.11154494037326669</v>
      </c>
      <c r="BE133" s="538">
        <f t="shared" si="34"/>
        <v>0.14257110291860656</v>
      </c>
      <c r="BF133" s="538">
        <f t="shared" si="35"/>
        <v>8.8851961421864949E-3</v>
      </c>
      <c r="BG133" s="455">
        <f t="shared" si="36"/>
        <v>0.10740448854090626</v>
      </c>
    </row>
    <row r="134" spans="1:59" ht="15" customHeight="1">
      <c r="A134" s="535">
        <v>2005</v>
      </c>
      <c r="B134" s="676"/>
      <c r="C134" s="411" t="s">
        <v>487</v>
      </c>
      <c r="D134" s="536"/>
      <c r="E134" s="536"/>
      <c r="F134" s="536"/>
      <c r="G134" s="536"/>
      <c r="H134" s="536"/>
      <c r="I134" s="536" t="s">
        <v>318</v>
      </c>
      <c r="J134" s="524" t="s">
        <v>915</v>
      </c>
      <c r="K134" s="534">
        <f>'More Comp Group'!V486*CC8</f>
        <v>23745.056164000001</v>
      </c>
      <c r="L134" s="534">
        <f>'More Comp Group'!W486*CD8</f>
        <v>19537.739271999999</v>
      </c>
      <c r="M134" s="534">
        <f>'More Comp Group'!X486*CE8</f>
        <v>17148.619908000001</v>
      </c>
      <c r="N134" s="534">
        <f>'More Comp Group'!Y486*CF8</f>
        <v>15678.577825999999</v>
      </c>
      <c r="O134" s="534">
        <f>'More Comp Group'!Z486*CG8</f>
        <v>13610.749409999999</v>
      </c>
      <c r="P134" s="534">
        <f>'More Comp Group'!V490*CC8</f>
        <v>5873.9681920000003</v>
      </c>
      <c r="Q134" s="534">
        <f>'More Comp Group'!W490*CD8</f>
        <v>5970.6110159999998</v>
      </c>
      <c r="R134" s="534">
        <f>'More Comp Group'!X490*CE8</f>
        <v>5940.8460479999994</v>
      </c>
      <c r="S134" s="534">
        <f>'More Comp Group'!Y490*CF8</f>
        <v>5365.4589229999992</v>
      </c>
      <c r="T134" s="534">
        <f>'More Comp Group'!Z490*CG8</f>
        <v>4717.9372319999993</v>
      </c>
      <c r="U134" s="534">
        <f>'More Comp Group'!V489*CC8</f>
        <v>987362.23875000002</v>
      </c>
      <c r="V134" s="534">
        <f>'More Comp Group'!W489*CD8</f>
        <v>857272.14667199994</v>
      </c>
      <c r="W134" s="534">
        <f>'More Comp Group'!X489*CE8</f>
        <v>685770.89200799994</v>
      </c>
      <c r="X134" s="534">
        <f>'More Comp Group'!Y489*CF8</f>
        <v>565713.45185399998</v>
      </c>
      <c r="Y134" s="534">
        <f>'More Comp Group'!Z489*CG8</f>
        <v>467649.76994999999</v>
      </c>
      <c r="Z134" s="534">
        <f>'More Comp Group'!V484*CC8</f>
        <v>1051878.4448500001</v>
      </c>
      <c r="AA134" s="534">
        <f>'More Comp Group'!W484*CD8</f>
        <v>913806.35368799989</v>
      </c>
      <c r="AB134" s="534">
        <f>'More Comp Group'!X484*CE8</f>
        <v>733213.36207199993</v>
      </c>
      <c r="AC134" s="534">
        <f>'More Comp Group'!Y484*CF8</f>
        <v>609187.39880899992</v>
      </c>
      <c r="AD134" s="534">
        <f>'More Comp Group'!Z484*CG8</f>
        <v>505666.80588599999</v>
      </c>
      <c r="AE134" s="61">
        <f t="shared" si="37"/>
        <v>5.5842651979028241E-3</v>
      </c>
      <c r="AF134" s="61">
        <f t="shared" si="37"/>
        <v>6.533781464643373E-3</v>
      </c>
      <c r="AG134" s="61">
        <f t="shared" si="37"/>
        <v>8.1024792445293994E-3</v>
      </c>
      <c r="AH134" s="61">
        <f t="shared" si="37"/>
        <v>8.8075671517332966E-3</v>
      </c>
      <c r="AI134" s="61">
        <f t="shared" si="29"/>
        <v>9.3301303883957815E-3</v>
      </c>
      <c r="AJ134" s="61">
        <f t="shared" si="38"/>
        <v>9.7051534275397935E-2</v>
      </c>
      <c r="AK134" s="61">
        <f t="shared" si="38"/>
        <v>0.11484519766689971</v>
      </c>
      <c r="AL134" s="61">
        <f t="shared" si="38"/>
        <v>0.13068808126828102</v>
      </c>
      <c r="AM134" s="61">
        <f t="shared" si="38"/>
        <v>0.13168227287617046</v>
      </c>
      <c r="AN134" s="61">
        <f t="shared" si="30"/>
        <v>0.13283821607227073</v>
      </c>
      <c r="AO134" s="843"/>
      <c r="AP134" s="437"/>
      <c r="AQ134" s="534">
        <f>'More Comp Group'!V494*CC8</f>
        <v>64514.228454000004</v>
      </c>
      <c r="AR134" s="534">
        <f>'More Comp Group'!W494*CD8</f>
        <v>56534.207015999993</v>
      </c>
      <c r="AS134" s="534">
        <f>'More Comp Group'!X494*CE8</f>
        <v>47442.470064000001</v>
      </c>
      <c r="AT134" s="534">
        <f>'More Comp Group'!Y494*CF8</f>
        <v>43473.946954999999</v>
      </c>
      <c r="AU134" s="534">
        <f>'More Comp Group'!Z494*CG8</f>
        <v>38017.035936</v>
      </c>
      <c r="AV134" s="827">
        <f>'Shareholder funds'!F134</f>
        <v>33015.794396999998</v>
      </c>
      <c r="AW134" s="719">
        <f>'Long Term Debt'!C110*CC8</f>
        <v>28092.641216</v>
      </c>
      <c r="AX134" s="719">
        <f>'Long Term Debt'!D110*CD8</f>
        <v>26621.091623999997</v>
      </c>
      <c r="AY134" s="719">
        <f>'Long Term Debt'!E110*CE8</f>
        <v>29038.897944</v>
      </c>
      <c r="AZ134" s="719">
        <f>'Long Term Debt'!F110*CF8</f>
        <v>15893.308134999999</v>
      </c>
      <c r="BA134" s="719">
        <f>'Long Term Debt'!G110*CG8</f>
        <v>15168.429845999999</v>
      </c>
      <c r="BB134" s="553">
        <f t="shared" si="31"/>
        <v>0.31103662540550603</v>
      </c>
      <c r="BC134" s="553">
        <f t="shared" si="32"/>
        <v>0.33759232989287286</v>
      </c>
      <c r="BD134" s="553">
        <f t="shared" si="33"/>
        <v>0.2045823522454816</v>
      </c>
      <c r="BE134" s="538">
        <f t="shared" si="34"/>
        <v>0.29494880076570645</v>
      </c>
      <c r="BF134" s="538">
        <f t="shared" si="35"/>
        <v>0.32169624105436012</v>
      </c>
      <c r="BG134" s="455">
        <f t="shared" si="36"/>
        <v>0.19980103357334225</v>
      </c>
    </row>
    <row r="135" spans="1:59" ht="15" customHeight="1">
      <c r="A135" s="535">
        <v>2007</v>
      </c>
      <c r="B135" s="676"/>
      <c r="C135" s="411" t="s">
        <v>487</v>
      </c>
      <c r="D135" s="536"/>
      <c r="E135" s="536"/>
      <c r="F135" s="536"/>
      <c r="G135" s="536"/>
      <c r="H135" s="536"/>
      <c r="I135" s="536" t="s">
        <v>327</v>
      </c>
      <c r="J135" s="524" t="s">
        <v>532</v>
      </c>
      <c r="K135" s="534">
        <f>'More Comp Group'!D876*CA8</f>
        <v>16761.082997000001</v>
      </c>
      <c r="L135" s="534">
        <f>'More Comp Group'!E876*CB8</f>
        <v>15442.72912</v>
      </c>
      <c r="M135" s="534">
        <f>'More Comp Group'!F876*CC8</f>
        <v>17710.898646000001</v>
      </c>
      <c r="N135" s="534">
        <f>'More Comp Group'!G876*CD8</f>
        <v>16.25564</v>
      </c>
      <c r="O135" s="534">
        <f>'More Comp Group'!H876*CE8</f>
        <v>13810.406435999999</v>
      </c>
      <c r="P135" s="534">
        <f>'More Comp Group'!D880*CA8</f>
        <v>5122.072459</v>
      </c>
      <c r="Q135" s="534">
        <f>'More Comp Group'!E880*CB8</f>
        <v>4005.9132099999997</v>
      </c>
      <c r="R135" s="534">
        <f>'More Comp Group'!F880*CC8</f>
        <v>3544.8405619999999</v>
      </c>
      <c r="S135" s="534">
        <f>'More Comp Group'!G880*CD8</f>
        <v>4.1066880000000001</v>
      </c>
      <c r="T135" s="534">
        <f>'More Comp Group'!H880*CE8</f>
        <v>4143.1063199999999</v>
      </c>
      <c r="U135" s="534">
        <f>'More Comp Group'!D879*CA8</f>
        <v>711745.58907800005</v>
      </c>
      <c r="V135" s="534">
        <f>'More Comp Group'!E879*CB8</f>
        <v>603926.60574999999</v>
      </c>
      <c r="W135" s="534">
        <f>'More Comp Group'!F879*CC8</f>
        <v>623683.20736600005</v>
      </c>
      <c r="X135" s="534">
        <f>'More Comp Group'!G879*CD8</f>
        <v>536.43611999999996</v>
      </c>
      <c r="Y135" s="534">
        <f>'More Comp Group'!H879*CE8</f>
        <v>458226.46623600001</v>
      </c>
      <c r="Z135" s="534">
        <f>'More Comp Group'!D874*CA8</f>
        <v>765834.23690000002</v>
      </c>
      <c r="AA135" s="534">
        <f>'More Comp Group'!E874*CB8</f>
        <v>652149.98485000001</v>
      </c>
      <c r="AB135" s="534">
        <f>'More Comp Group'!F874*CC8</f>
        <v>674845.80831600004</v>
      </c>
      <c r="AC135" s="534">
        <f>'More Comp Group'!G874*CD8</f>
        <v>584.17636799999991</v>
      </c>
      <c r="AD135" s="534">
        <f>'More Comp Group'!H874*CE8</f>
        <v>499555.59091199999</v>
      </c>
      <c r="AE135" s="61">
        <f t="shared" si="37"/>
        <v>6.6882260053213348E-3</v>
      </c>
      <c r="AF135" s="61">
        <f t="shared" si="37"/>
        <v>6.1426256276328724E-3</v>
      </c>
      <c r="AG135" s="61">
        <f t="shared" si="37"/>
        <v>5.2528155592249156E-3</v>
      </c>
      <c r="AH135" s="61">
        <f t="shared" si="37"/>
        <v>7.0298769771529011E-3</v>
      </c>
      <c r="AI135" s="61">
        <f t="shared" si="29"/>
        <v>8.2935841283174345E-3</v>
      </c>
      <c r="AJ135" s="61">
        <f t="shared" si="38"/>
        <v>0.10012649759944516</v>
      </c>
      <c r="AK135" s="61">
        <f t="shared" si="38"/>
        <v>8.0613245610390294E-2</v>
      </c>
      <c r="AL135" s="61">
        <f t="shared" si="38"/>
        <v>0.13844237234406251</v>
      </c>
      <c r="AM135" s="61">
        <f t="shared" si="38"/>
        <v>1.9850165098506437E-4</v>
      </c>
      <c r="AN135" s="61">
        <f t="shared" si="30"/>
        <v>0.10463844885249074</v>
      </c>
      <c r="AO135" s="843"/>
      <c r="AP135" s="437"/>
      <c r="AQ135" s="534">
        <f>'More Comp Group'!D884*CA8</f>
        <v>54088.647821999999</v>
      </c>
      <c r="AR135" s="534">
        <f>'More Comp Group'!E884*CB8</f>
        <v>48223.379099999998</v>
      </c>
      <c r="AS135" s="534">
        <f>'More Comp Group'!F884*CC8</f>
        <v>51162.60095</v>
      </c>
      <c r="AT135" s="534">
        <f>'More Comp Group'!G884*CD8</f>
        <v>47.740247999999994</v>
      </c>
      <c r="AU135" s="534">
        <f>'More Comp Group'!H884*CE8</f>
        <v>41329.124675999999</v>
      </c>
      <c r="AV135" s="827">
        <f>'Shareholder funds'!F135</f>
        <v>37859.861120999994</v>
      </c>
      <c r="AW135" s="719">
        <f>'More Comp Group'!D882*CA8</f>
        <v>19274.160367</v>
      </c>
      <c r="AX135" s="719">
        <f>'More Comp Group'!E882*CB8</f>
        <v>18857.6531</v>
      </c>
      <c r="AY135" s="719">
        <f>'More Comp Group'!F882*CC8</f>
        <v>21273.358236</v>
      </c>
      <c r="AZ135" s="719">
        <f>'More Comp Group'!G882*CD8</f>
        <v>20.191215999999997</v>
      </c>
      <c r="BA135" s="719">
        <f>'More Comp Group'!H882*CE8</f>
        <v>15206.168064</v>
      </c>
      <c r="BB135" s="553">
        <f t="shared" si="31"/>
        <v>0.27246222076215504</v>
      </c>
      <c r="BC135" s="553">
        <f t="shared" si="32"/>
        <v>0.20338983050847462</v>
      </c>
      <c r="BD135" s="553">
        <f t="shared" si="33"/>
        <v>0.16663286175481296</v>
      </c>
      <c r="BE135" s="538">
        <f t="shared" si="34"/>
        <v>0.25820457913368827</v>
      </c>
      <c r="BF135" s="538">
        <f t="shared" si="35"/>
        <v>0.1933562431661883</v>
      </c>
      <c r="BG135" s="455">
        <f t="shared" si="36"/>
        <v>0.1644956346393234</v>
      </c>
    </row>
    <row r="136" spans="1:59" ht="15" customHeight="1">
      <c r="A136" s="535">
        <v>2007</v>
      </c>
      <c r="B136" s="676"/>
      <c r="C136" s="411" t="s">
        <v>487</v>
      </c>
      <c r="D136" s="536"/>
      <c r="E136" s="536"/>
      <c r="F136" s="536"/>
      <c r="G136" s="536"/>
      <c r="H136" s="536"/>
      <c r="I136" s="536" t="s">
        <v>327</v>
      </c>
      <c r="J136" s="524" t="s">
        <v>531</v>
      </c>
      <c r="K136" s="534">
        <f>'More Comp Group'!D891*CA8</f>
        <v>26457.552649000001</v>
      </c>
      <c r="L136" s="534">
        <f>'More Comp Group'!E891*CB8</f>
        <v>22902.869729999999</v>
      </c>
      <c r="M136" s="534">
        <f>'More Comp Group'!F891*CC8</f>
        <v>23712.335112000001</v>
      </c>
      <c r="N136" s="534">
        <f>'More Comp Group'!G891*CD8</f>
        <v>20992.362384</v>
      </c>
      <c r="O136" s="534">
        <f>'More Comp Group'!H891*CE8</f>
        <v>18286.178904</v>
      </c>
      <c r="P136" s="534">
        <f>'More Comp Group'!D895*CA8</f>
        <v>9105.0598819999996</v>
      </c>
      <c r="Q136" s="534">
        <f>'More Comp Group'!E895*CB8</f>
        <v>5582.2040299999999</v>
      </c>
      <c r="R136" s="534">
        <f>'More Comp Group'!F895*CC8</f>
        <v>4267.4004960000002</v>
      </c>
      <c r="S136" s="534">
        <f>'More Comp Group'!G895*CD8</f>
        <v>5970.6110159999998</v>
      </c>
      <c r="T136" s="534">
        <f>'More Comp Group'!H895*CE8</f>
        <v>5980.8096960000003</v>
      </c>
      <c r="U136" s="534">
        <f>'More Comp Group'!D894*CA8</f>
        <v>1114476.757094</v>
      </c>
      <c r="V136" s="534">
        <f>'More Comp Group'!E894*CB8</f>
        <v>929959.17923999997</v>
      </c>
      <c r="W136" s="534">
        <f>'More Comp Group'!F894*CC8</f>
        <v>987576.00430400006</v>
      </c>
      <c r="X136" s="534">
        <f>'More Comp Group'!G894*CD8</f>
        <v>856644.33674399997</v>
      </c>
      <c r="Y136" s="534">
        <f>'More Comp Group'!H894*CE8</f>
        <v>684626.620368</v>
      </c>
      <c r="Z136" s="534">
        <f>'More Comp Group'!D889*CA8</f>
        <v>1184459.5839</v>
      </c>
      <c r="AA136" s="534">
        <f>'More Comp Group'!E889*CB8</f>
        <v>989925.17402999999</v>
      </c>
      <c r="AB136" s="534">
        <f>'More Comp Group'!F889*CC8</f>
        <v>1050480.6087</v>
      </c>
      <c r="AC136" s="534">
        <f>'More Comp Group'!G889*CD8</f>
        <v>913178.54375999991</v>
      </c>
      <c r="AD136" s="534">
        <f>'More Comp Group'!H889*CE8</f>
        <v>733219.91860800004</v>
      </c>
      <c r="AE136" s="61">
        <f t="shared" si="37"/>
        <v>7.6871005188883755E-3</v>
      </c>
      <c r="AF136" s="61">
        <f t="shared" si="37"/>
        <v>5.639016136214382E-3</v>
      </c>
      <c r="AG136" s="61">
        <f t="shared" si="37"/>
        <v>4.0623315277385566E-3</v>
      </c>
      <c r="AH136" s="61">
        <f t="shared" si="37"/>
        <v>6.5382734371047446E-3</v>
      </c>
      <c r="AI136" s="61">
        <f t="shared" si="29"/>
        <v>8.1569111043169971E-3</v>
      </c>
      <c r="AJ136" s="61">
        <f t="shared" si="38"/>
        <v>0.21421634772416007</v>
      </c>
      <c r="AK136" s="61">
        <f t="shared" si="38"/>
        <v>0.1432563236785602</v>
      </c>
      <c r="AL136" s="61">
        <f t="shared" si="38"/>
        <v>7.1455581734838111E-2</v>
      </c>
      <c r="AM136" s="61">
        <f t="shared" si="38"/>
        <v>0.11358815882619615</v>
      </c>
      <c r="AN136" s="61">
        <f t="shared" si="30"/>
        <v>0.12780392065713486</v>
      </c>
      <c r="AO136" s="843"/>
      <c r="AP136" s="437"/>
      <c r="AQ136" s="534">
        <f>'More Comp Group'!D899*CA8</f>
        <v>69982.826805999997</v>
      </c>
      <c r="AR136" s="534">
        <f>'More Comp Group'!E899*CB8</f>
        <v>15025.250109999999</v>
      </c>
      <c r="AS136" s="534">
        <f>'More Comp Group'!F899*CC8</f>
        <v>62907.840543999999</v>
      </c>
      <c r="AT136" s="534">
        <f>'More Comp Group'!G899*CD8</f>
        <v>56534.207015999993</v>
      </c>
      <c r="AU136" s="534">
        <f>'More Comp Group'!H899*CE8</f>
        <v>48593.142132000001</v>
      </c>
      <c r="AV136" s="827">
        <f>'Shareholder funds'!F136</f>
        <v>45000.382467999996</v>
      </c>
      <c r="AW136" s="719">
        <f>'More Comp Group'!D897*CA8</f>
        <v>35660.518182</v>
      </c>
      <c r="AX136" s="719">
        <f>'More Comp Group'!E897*CB8</f>
        <v>34677.599190000001</v>
      </c>
      <c r="AY136" s="719">
        <f>'More Comp Group'!F897*CC8</f>
        <v>28114.215536</v>
      </c>
      <c r="AZ136" s="719">
        <f>'More Comp Group'!G897*CD8</f>
        <v>26643.507295999996</v>
      </c>
      <c r="BA136" s="719">
        <f>'More Comp Group'!H897*CE8</f>
        <v>29184.858924</v>
      </c>
      <c r="BB136" s="553">
        <f t="shared" si="31"/>
        <v>0.2049285114440528</v>
      </c>
      <c r="BC136" s="553">
        <f t="shared" si="32"/>
        <v>0.22409253217561079</v>
      </c>
      <c r="BD136" s="553">
        <f t="shared" si="33"/>
        <v>0.15178799815828517</v>
      </c>
      <c r="BE136" s="538">
        <f t="shared" si="34"/>
        <v>0.20554405015637442</v>
      </c>
      <c r="BF136" s="538">
        <f t="shared" si="35"/>
        <v>0.21908802240390302</v>
      </c>
      <c r="BG136" s="455">
        <f t="shared" si="36"/>
        <v>0.14697732080454479</v>
      </c>
    </row>
    <row r="137" spans="1:59" ht="15" customHeight="1">
      <c r="A137" s="535">
        <v>2007</v>
      </c>
      <c r="B137" s="676"/>
      <c r="C137" s="411" t="s">
        <v>487</v>
      </c>
      <c r="D137" s="536"/>
      <c r="E137" s="536"/>
      <c r="F137" s="536"/>
      <c r="G137" s="536"/>
      <c r="H137" s="536"/>
      <c r="I137" s="536" t="s">
        <v>327</v>
      </c>
      <c r="J137" s="524" t="s">
        <v>916</v>
      </c>
      <c r="K137" s="534">
        <f>'More Comp Group'!M502*CA8</f>
        <v>193573.553212</v>
      </c>
      <c r="L137" s="534">
        <f>'More Comp Group'!N502*CB8</f>
        <v>155110.94702999998</v>
      </c>
      <c r="M137" s="534">
        <f>'More Comp Group'!O502*CC8</f>
        <v>219564.19185800001</v>
      </c>
      <c r="N137" s="534">
        <f>'More Comp Group'!P502*CD8</f>
        <v>359305.768736</v>
      </c>
      <c r="O137" s="534">
        <f>'More Comp Group'!Q502*CE8</f>
        <v>269353.89476399997</v>
      </c>
      <c r="P137" s="534">
        <f>'More Comp Group'!M506*CA8</f>
        <v>37049.751327999998</v>
      </c>
      <c r="Q137" s="534">
        <f>'More Comp Group'!N506*CB8</f>
        <v>31452.641739999999</v>
      </c>
      <c r="R137" s="534">
        <f>'More Comp Group'!O506*CC8</f>
        <v>44795.659546000003</v>
      </c>
      <c r="S137" s="534">
        <f>'More Comp Group'!P506*CD8</f>
        <v>100972.33563999999</v>
      </c>
      <c r="T137" s="534">
        <f>'More Comp Group'!Q506*CE8</f>
        <v>79924.017731999993</v>
      </c>
      <c r="U137" s="534">
        <f>'More Comp Group'!M505*CA8</f>
        <v>282902.10593700001</v>
      </c>
      <c r="V137" s="534">
        <f>'More Comp Group'!N505*CB8</f>
        <v>187651.4627</v>
      </c>
      <c r="W137" s="534">
        <f>'More Comp Group'!O505*CC8</f>
        <v>367362.84652399999</v>
      </c>
      <c r="X137" s="534">
        <f>'More Comp Group'!P505*CD8</f>
        <v>685576.654752</v>
      </c>
      <c r="Y137" s="534">
        <f>'More Comp Group'!Q505*CE8</f>
        <v>499370.44682399998</v>
      </c>
      <c r="Z137" s="534">
        <f>'More Comp Group'!M500*CA8</f>
        <v>437514.01422000001</v>
      </c>
      <c r="AA137" s="534">
        <f>'More Comp Group'!N500*CB8</f>
        <v>328935.27484999999</v>
      </c>
      <c r="AB137" s="534">
        <f>'More Comp Group'!O500*CC8</f>
        <v>512590.38160399999</v>
      </c>
      <c r="AC137" s="534">
        <f>'More Comp Group'!P500*CD8</f>
        <v>845226.03298399993</v>
      </c>
      <c r="AD137" s="534">
        <f>'More Comp Group'!Q500*CE8</f>
        <v>565098.93968399998</v>
      </c>
      <c r="AE137" s="61">
        <f t="shared" si="37"/>
        <v>8.4682433302284713E-2</v>
      </c>
      <c r="AF137" s="61">
        <f t="shared" si="37"/>
        <v>9.5619546290202334E-2</v>
      </c>
      <c r="AG137" s="61">
        <f t="shared" si="37"/>
        <v>8.7390753228387227E-2</v>
      </c>
      <c r="AH137" s="61">
        <f t="shared" si="37"/>
        <v>0.11946193290275926</v>
      </c>
      <c r="AI137" s="61">
        <f t="shared" si="29"/>
        <v>0.14143367137919785</v>
      </c>
      <c r="AJ137" s="61">
        <f t="shared" si="38"/>
        <v>0.25042451630557938</v>
      </c>
      <c r="AK137" s="61">
        <f t="shared" si="38"/>
        <v>0.21955611589785562</v>
      </c>
      <c r="AL137" s="61">
        <f t="shared" si="38"/>
        <v>0.29386062105763811</v>
      </c>
      <c r="AM137" s="61">
        <f t="shared" si="38"/>
        <v>0.89602768088378404</v>
      </c>
      <c r="AN137" s="61">
        <f t="shared" si="30"/>
        <v>1.2895286281434515</v>
      </c>
      <c r="AO137" s="843"/>
      <c r="AP137" s="437"/>
      <c r="AQ137" s="534">
        <f>'More Comp Group'!M510*CA8</f>
        <v>154611.908283</v>
      </c>
      <c r="AR137" s="534">
        <f>'More Comp Group'!N510*CB8</f>
        <v>141283.65237999998</v>
      </c>
      <c r="AS137" s="534">
        <f>'More Comp Group'!O510*CC8</f>
        <v>145227.53508</v>
      </c>
      <c r="AT137" s="534">
        <f>'More Comp Group'!P510*CD8</f>
        <v>159649.37823199999</v>
      </c>
      <c r="AU137" s="534">
        <f>'More Comp Group'!Q510*CE8</f>
        <v>65728.336752000003</v>
      </c>
      <c r="AV137" s="827">
        <f>'Shareholder funds'!F137</f>
        <v>58230.164032999994</v>
      </c>
      <c r="AW137" s="719">
        <f>'Long Term Debt'!C111*CA8</f>
        <v>3691.2584019999999</v>
      </c>
      <c r="AX137" s="719">
        <f>'Long Term Debt'!D111*CB8</f>
        <v>41540.519540000001</v>
      </c>
      <c r="AY137" s="719">
        <f>'Long Term Debt'!E111*CC8</f>
        <v>53645.984967999997</v>
      </c>
      <c r="AZ137" s="719">
        <f>'Long Term Debt'!F111*CD8</f>
        <v>48007.011607999993</v>
      </c>
      <c r="BA137" s="719">
        <f>'Long Term Debt'!G111*CE8</f>
        <v>36287.929032</v>
      </c>
      <c r="BB137" s="553">
        <f t="shared" si="31"/>
        <v>2.2024959776988133</v>
      </c>
      <c r="BC137" s="553">
        <f t="shared" si="32"/>
        <v>2.1032830884056475</v>
      </c>
      <c r="BD137" s="553">
        <f t="shared" si="33"/>
        <v>0.83502352641527144</v>
      </c>
      <c r="BE137" s="538">
        <f t="shared" si="34"/>
        <v>1.9754446831154349</v>
      </c>
      <c r="BF137" s="538">
        <f t="shared" si="35"/>
        <v>1.7474778621302642</v>
      </c>
      <c r="BG137" s="455">
        <f t="shared" si="36"/>
        <v>0.68170080003891842</v>
      </c>
    </row>
    <row r="138" spans="1:59" ht="15" customHeight="1">
      <c r="A138" s="535">
        <v>2007</v>
      </c>
      <c r="B138" s="676"/>
      <c r="C138" s="411" t="s">
        <v>487</v>
      </c>
      <c r="D138" s="536"/>
      <c r="E138" s="536"/>
      <c r="F138" s="536"/>
      <c r="G138" s="536"/>
      <c r="H138" s="536"/>
      <c r="I138" s="536" t="s">
        <v>327</v>
      </c>
      <c r="J138" s="524" t="s">
        <v>917</v>
      </c>
      <c r="K138" s="534">
        <f>'More Comp Group'!V502*CA8</f>
        <v>339936.37200000003</v>
      </c>
      <c r="L138" s="534">
        <f>'More Comp Group'!W502*CB8</f>
        <v>334238.83999999997</v>
      </c>
      <c r="M138" s="534">
        <f>'More Comp Group'!X502*CC8</f>
        <v>310310.636</v>
      </c>
      <c r="N138" s="534">
        <f>'More Comp Group'!Y502*CD8</f>
        <v>289692.61599999998</v>
      </c>
      <c r="O138" s="534">
        <f>'More Comp Group'!Z502*CE8</f>
        <v>261324.79199999999</v>
      </c>
      <c r="P138" s="534">
        <f>'More Comp Group'!V506*CA8</f>
        <v>146444.32399999999</v>
      </c>
      <c r="Q138" s="534">
        <f>'More Comp Group'!W506*CB8</f>
        <v>107045.9</v>
      </c>
      <c r="R138" s="534">
        <f>'More Comp Group'!X506*CC8</f>
        <v>80903.7</v>
      </c>
      <c r="S138" s="534">
        <f>'More Comp Group'!Y506*CD8</f>
        <v>106260.552</v>
      </c>
      <c r="T138" s="534">
        <f>'More Comp Group'!Z506*CE8</f>
        <v>121608.132</v>
      </c>
      <c r="U138" s="534">
        <f>'More Comp Group'!V505*CA8</f>
        <v>14877020.444</v>
      </c>
      <c r="V138" s="534">
        <f>'More Comp Group'!W505*CB8</f>
        <v>12464616.32</v>
      </c>
      <c r="W138" s="534">
        <f>'More Comp Group'!X505*CC8</f>
        <v>14193385.556</v>
      </c>
      <c r="X138" s="534">
        <f>'More Comp Group'!Y505*CD8</f>
        <v>11396401.423999999</v>
      </c>
      <c r="Y138" s="534">
        <f>'More Comp Group'!Z505*CE8</f>
        <v>9232383.2280000001</v>
      </c>
      <c r="Z138" s="534">
        <f>'More Comp Group'!V500*CA8</f>
        <v>15967235.484999999</v>
      </c>
      <c r="AA138" s="534">
        <f>'More Comp Group'!W500*CB8</f>
        <v>13275768.609999999</v>
      </c>
      <c r="AB138" s="534">
        <f>'More Comp Group'!X500*CC8</f>
        <v>15038379.756000001</v>
      </c>
      <c r="AC138" s="534">
        <f>'More Comp Group'!Y500*CD8</f>
        <v>12145871.983999999</v>
      </c>
      <c r="AD138" s="534">
        <f>'More Comp Group'!Z500*CE8</f>
        <v>9776887.932</v>
      </c>
      <c r="AE138" s="61">
        <f t="shared" si="37"/>
        <v>9.1715515899776934E-3</v>
      </c>
      <c r="AF138" s="61">
        <f t="shared" si="37"/>
        <v>8.0632544257639022E-3</v>
      </c>
      <c r="AG138" s="61">
        <f t="shared" si="37"/>
        <v>5.3798149343662572E-3</v>
      </c>
      <c r="AH138" s="61">
        <f t="shared" si="37"/>
        <v>8.7486968527232256E-3</v>
      </c>
      <c r="AI138" s="61">
        <f t="shared" si="29"/>
        <v>1.2438327292468345E-2</v>
      </c>
      <c r="AJ138" s="61">
        <f t="shared" si="38"/>
        <v>0.15404106467210571</v>
      </c>
      <c r="AK138" s="61">
        <f t="shared" si="38"/>
        <v>0.12925702085523152</v>
      </c>
      <c r="AL138" s="61">
        <f t="shared" si="38"/>
        <v>0.10146925871717119</v>
      </c>
      <c r="AM138" s="61">
        <f t="shared" si="38"/>
        <v>0.16425873972760996</v>
      </c>
      <c r="AN138" s="61">
        <f t="shared" si="30"/>
        <v>0.2361815369323593</v>
      </c>
      <c r="AO138" s="843"/>
      <c r="AP138" s="437"/>
      <c r="AQ138" s="534">
        <f>'More Comp Group'!V510*CA8</f>
        <v>1090215.041</v>
      </c>
      <c r="AR138" s="534">
        <f>'More Comp Group'!W510*CB8</f>
        <v>811152.28999999992</v>
      </c>
      <c r="AS138" s="534">
        <f>'More Comp Group'!X510*CC8</f>
        <v>845173.98600000003</v>
      </c>
      <c r="AT138" s="534">
        <f>'More Comp Group'!Y510*CD8</f>
        <v>749470.55999999994</v>
      </c>
      <c r="AU138" s="534">
        <f>'More Comp Group'!Z510*CE8</f>
        <v>544348.59600000002</v>
      </c>
      <c r="AV138" s="827">
        <f>'Shareholder funds'!F138</f>
        <v>485436.65799999994</v>
      </c>
      <c r="AW138" s="719">
        <f>'Long Term Debt'!C112*CA8</f>
        <v>663140.98300000001</v>
      </c>
      <c r="AX138" s="719">
        <f>'Long Term Debt'!D112*CB8</f>
        <v>823454.58</v>
      </c>
      <c r="AY138" s="719">
        <f>'Long Term Debt'!E112*CC8</f>
        <v>583944.92799999996</v>
      </c>
      <c r="AZ138" s="719">
        <f>'Long Term Debt'!F112*CD8</f>
        <v>502555.94399999996</v>
      </c>
      <c r="BA138" s="719">
        <f>'Long Term Debt'!G112*CE8</f>
        <v>579785.11199999996</v>
      </c>
      <c r="BB138" s="553">
        <f t="shared" si="31"/>
        <v>0.20974690360796985</v>
      </c>
      <c r="BC138" s="553">
        <f t="shared" si="32"/>
        <v>0.21144024514811033</v>
      </c>
      <c r="BD138" s="553">
        <f t="shared" si="33"/>
        <v>0.13854679802955666</v>
      </c>
      <c r="BE138" s="538">
        <f t="shared" si="34"/>
        <v>0.20664531549451645</v>
      </c>
      <c r="BF138" s="538">
        <f t="shared" si="35"/>
        <v>0.20636906481502859</v>
      </c>
      <c r="BG138" s="455">
        <f t="shared" si="36"/>
        <v>0.13646302321028611</v>
      </c>
    </row>
    <row r="139" spans="1:59" ht="15" customHeight="1">
      <c r="A139" s="535">
        <v>2007</v>
      </c>
      <c r="B139" s="676"/>
      <c r="C139" s="411" t="s">
        <v>487</v>
      </c>
      <c r="D139" s="536"/>
      <c r="E139" s="536"/>
      <c r="F139" s="536"/>
      <c r="G139" s="536"/>
      <c r="H139" s="536"/>
      <c r="I139" s="536" t="s">
        <v>328</v>
      </c>
      <c r="J139" s="524" t="s">
        <v>927</v>
      </c>
      <c r="K139" s="534">
        <f>'More Comp Group'!D846*CA8</f>
        <v>30881.363992999999</v>
      </c>
      <c r="L139" s="534">
        <f>'More Comp Group'!E846*CB8</f>
        <v>45017.114739999997</v>
      </c>
      <c r="M139" s="534">
        <f>'More Comp Group'!F846*CC8</f>
        <v>56529.572622</v>
      </c>
      <c r="N139" s="534">
        <f>'More Comp Group'!G846*CD8</f>
        <v>45355.631168</v>
      </c>
      <c r="O139" s="534">
        <f>'More Comp Group'!H846*CE8</f>
        <v>31793.735819999998</v>
      </c>
      <c r="P139" s="534">
        <f>'More Comp Group'!D850*CA8</f>
        <v>1148.1963909999999</v>
      </c>
      <c r="Q139" s="534">
        <f>'More Comp Group'!E850*CB8</f>
        <v>1451.35068</v>
      </c>
      <c r="R139" s="534">
        <f>'More Comp Group'!F850*CC8</f>
        <v>4231.8028679999998</v>
      </c>
      <c r="S139" s="534">
        <f>'More Comp Group'!G850*CD8</f>
        <v>1285.9066799999998</v>
      </c>
      <c r="T139" s="534">
        <f>'More Comp Group'!H850*CE8</f>
        <v>1086.199464</v>
      </c>
      <c r="U139" s="534">
        <f>'More Comp Group'!D849*CA8</f>
        <v>8993.2387070000004</v>
      </c>
      <c r="V139" s="534">
        <f>'More Comp Group'!E849*CB8</f>
        <v>13711.14186</v>
      </c>
      <c r="W139" s="534">
        <f>'More Comp Group'!F849*CC8</f>
        <v>24909.350300000002</v>
      </c>
      <c r="X139" s="534">
        <f>'More Comp Group'!G849*CD8</f>
        <v>27315.464119999997</v>
      </c>
      <c r="Y139" s="534">
        <f>'More Comp Group'!H849*CE8</f>
        <v>20842.291295999999</v>
      </c>
      <c r="Z139" s="534">
        <f>'More Comp Group'!D844*CA8</f>
        <v>27356.429235</v>
      </c>
      <c r="AA139" s="534">
        <f>'More Comp Group'!E844*CB8</f>
        <v>29113.44917</v>
      </c>
      <c r="AB139" s="534">
        <f>'More Comp Group'!F844*CC8</f>
        <v>41370.55646</v>
      </c>
      <c r="AC139" s="534">
        <f>'More Comp Group'!G844*CD8</f>
        <v>39481.356207999997</v>
      </c>
      <c r="AD139" s="534">
        <f>'More Comp Group'!H844*CE8</f>
        <v>31214.731248</v>
      </c>
      <c r="AE139" s="61">
        <f t="shared" si="37"/>
        <v>4.1971720107790593E-2</v>
      </c>
      <c r="AF139" s="61">
        <f t="shared" si="37"/>
        <v>4.9851553882373605E-2</v>
      </c>
      <c r="AG139" s="61">
        <f t="shared" si="37"/>
        <v>0.10229020903046368</v>
      </c>
      <c r="AH139" s="61">
        <f t="shared" si="37"/>
        <v>3.2569972349111964E-2</v>
      </c>
      <c r="AI139" s="61">
        <f t="shared" si="29"/>
        <v>3.4797655484206526E-2</v>
      </c>
      <c r="AJ139" s="61">
        <f t="shared" si="38"/>
        <v>6.8010705083057385E-2</v>
      </c>
      <c r="AK139" s="61">
        <f t="shared" si="38"/>
        <v>9.1097968927153591E-2</v>
      </c>
      <c r="AL139" s="61">
        <f t="shared" si="38"/>
        <v>0.29565191177492922</v>
      </c>
      <c r="AM139" s="61">
        <f t="shared" si="38"/>
        <v>0.11410849159198949</v>
      </c>
      <c r="AN139" s="61">
        <f t="shared" si="30"/>
        <v>0.1092834523348853</v>
      </c>
      <c r="AO139" s="843"/>
      <c r="AP139" s="437"/>
      <c r="AQ139" s="534">
        <f>'More Comp Group'!D854*CA8</f>
        <v>18362.859206000001</v>
      </c>
      <c r="AR139" s="534">
        <f>'More Comp Group'!E854*CB8</f>
        <v>15402.30731</v>
      </c>
      <c r="AS139" s="534">
        <f>'More Comp Group'!F854*CC8</f>
        <v>16461.206160000002</v>
      </c>
      <c r="AT139" s="534">
        <f>'More Comp Group'!G854*CD8</f>
        <v>12165.720975999999</v>
      </c>
      <c r="AU139" s="534">
        <f>'More Comp Group'!H854*CE8</f>
        <v>10372.59606</v>
      </c>
      <c r="AV139" s="827">
        <f>'Shareholder funds'!F139</f>
        <v>9505.975504</v>
      </c>
      <c r="AW139" s="719">
        <f>'More Comp Group'!D852*CA8</f>
        <v>1318.495899</v>
      </c>
      <c r="AX139" s="719">
        <f>'More Comp Group'!E852*CB8</f>
        <v>4583.3219899999995</v>
      </c>
      <c r="AY139" s="719">
        <f>'More Comp Group'!F852*CC8</f>
        <v>9813.0794519999999</v>
      </c>
      <c r="AZ139" s="719">
        <f>'More Comp Group'!G852*CD8</f>
        <v>15194.403375999998</v>
      </c>
      <c r="BA139" s="719">
        <f>'More Comp Group'!H852*CE8</f>
        <v>12327.224328</v>
      </c>
      <c r="BB139" s="553">
        <f t="shared" si="31"/>
        <v>8.8113871792923543E-2</v>
      </c>
      <c r="BC139" s="553">
        <f t="shared" si="32"/>
        <v>8.4630284465866346E-2</v>
      </c>
      <c r="BD139" s="553">
        <f t="shared" si="33"/>
        <v>0.43124106848411564</v>
      </c>
      <c r="BE139" s="538">
        <f t="shared" si="34"/>
        <v>8.1433660987415071E-2</v>
      </c>
      <c r="BF139" s="538">
        <f t="shared" si="35"/>
        <v>8.6623234888339951E-2</v>
      </c>
      <c r="BG139" s="455">
        <f t="shared" si="36"/>
        <v>0.37729059615221738</v>
      </c>
    </row>
    <row r="140" spans="1:59" ht="15" customHeight="1">
      <c r="A140" s="535">
        <v>2007</v>
      </c>
      <c r="B140" s="676"/>
      <c r="C140" s="411" t="s">
        <v>487</v>
      </c>
      <c r="D140" s="536"/>
      <c r="E140" s="536"/>
      <c r="F140" s="536"/>
      <c r="G140" s="536"/>
      <c r="H140" s="536"/>
      <c r="I140" s="536" t="s">
        <v>328</v>
      </c>
      <c r="J140" s="524" t="s">
        <v>1066</v>
      </c>
      <c r="K140" s="534">
        <f>'More Comp Group'!D861*CA8</f>
        <v>2450.623173</v>
      </c>
      <c r="L140" s="534">
        <f>'More Comp Group'!E861*CB8</f>
        <v>2460.4580000000001</v>
      </c>
      <c r="M140" s="534">
        <f>'More Comp Group'!F861*CC8</f>
        <v>3645.880294</v>
      </c>
      <c r="N140" s="534">
        <f>'More Comp Group'!G861*CD8</f>
        <v>3932.4959839999997</v>
      </c>
      <c r="O140" s="534">
        <f>'More Comp Group'!H861*CE8</f>
        <v>4651.8622919999998</v>
      </c>
      <c r="P140" s="534">
        <f>'More Comp Group'!D865*CA8</f>
        <v>25594.624500000002</v>
      </c>
      <c r="Q140" s="534">
        <f>'More Comp Group'!E865*CB8</f>
        <v>17672.319469999999</v>
      </c>
      <c r="R140" s="534">
        <f>'More Comp Group'!F865*CC8</f>
        <v>-49203.652694000004</v>
      </c>
      <c r="S140" s="534">
        <f>'More Comp Group'!G865*CD8</f>
        <v>4447.8853279999994</v>
      </c>
      <c r="T140" s="534">
        <f>'More Comp Group'!H865*CE8</f>
        <v>474.41221200000001</v>
      </c>
      <c r="U140" s="534">
        <f>'More Comp Group'!D864*CA8</f>
        <v>190337.531238</v>
      </c>
      <c r="V140" s="534">
        <f>'More Comp Group'!E864*CB8</f>
        <v>210584.20942</v>
      </c>
      <c r="W140" s="534">
        <f>'More Comp Group'!F864*CC8</f>
        <v>259046.09638800001</v>
      </c>
      <c r="X140" s="534">
        <f>'More Comp Group'!G864*CD8</f>
        <v>56580.578367999995</v>
      </c>
      <c r="Y140" s="534">
        <f>'More Comp Group'!H864*CE8</f>
        <v>44808.615888</v>
      </c>
      <c r="Z140" s="534">
        <f>'More Comp Group'!D859*CA8</f>
        <v>398712.89480000001</v>
      </c>
      <c r="AA140" s="534">
        <f>'More Comp Group'!E859*CB8</f>
        <v>409753.17187999998</v>
      </c>
      <c r="AB140" s="534">
        <f>'More Comp Group'!F859*CC8</f>
        <v>425815.05063000001</v>
      </c>
      <c r="AC140" s="534">
        <f>'More Comp Group'!G859*CD8</f>
        <v>261760.97756799997</v>
      </c>
      <c r="AD140" s="534">
        <f>'More Comp Group'!H859*CE8</f>
        <v>122276.27424</v>
      </c>
      <c r="AE140" s="61">
        <f t="shared" si="37"/>
        <v>6.4193119494764833E-2</v>
      </c>
      <c r="AF140" s="61">
        <f t="shared" si="37"/>
        <v>4.3129182841751136E-2</v>
      </c>
      <c r="AG140" s="61">
        <f t="shared" si="37"/>
        <v>-0.11555169931453205</v>
      </c>
      <c r="AH140" s="61">
        <f t="shared" si="37"/>
        <v>1.6992163497114587E-2</v>
      </c>
      <c r="AI140" s="61">
        <f t="shared" si="29"/>
        <v>3.8798386273107958E-3</v>
      </c>
      <c r="AJ140" s="61">
        <f t="shared" si="38"/>
        <v>0.12560407706295321</v>
      </c>
      <c r="AK140" s="61">
        <f t="shared" si="38"/>
        <v>9.6586345744296045E-2</v>
      </c>
      <c r="AL140" s="61">
        <f t="shared" si="38"/>
        <v>-0.26457178156770084</v>
      </c>
      <c r="AM140" s="61">
        <f t="shared" si="38"/>
        <v>3.147296042034077E-2</v>
      </c>
      <c r="AN140" s="61">
        <f t="shared" si="30"/>
        <v>8.7814459393724831E-3</v>
      </c>
      <c r="AO140" s="843"/>
      <c r="AP140" s="437"/>
      <c r="AQ140" s="534">
        <f>'More Comp Group'!D869*CA8</f>
        <v>208375.36356200001</v>
      </c>
      <c r="AR140" s="534">
        <f>'More Comp Group'!E869*CB8</f>
        <v>199169.12223000001</v>
      </c>
      <c r="AS140" s="534">
        <f>'More Comp Group'!F869*CC8</f>
        <v>166769.134028</v>
      </c>
      <c r="AT140" s="534">
        <f>'More Comp Group'!G869*CD8</f>
        <v>205180.22808799997</v>
      </c>
      <c r="AU140" s="534">
        <f>'More Comp Group'!H869*CE8</f>
        <v>77467.814459999994</v>
      </c>
      <c r="AV140" s="827">
        <f>'Shareholder funds'!F140</f>
        <v>30580.954563999996</v>
      </c>
      <c r="AW140" s="719">
        <f>'More Comp Group'!D867*CA8</f>
        <v>107406.64067200001</v>
      </c>
      <c r="AX140" s="719">
        <f>'More Comp Group'!E867*CB8</f>
        <v>112524.73284</v>
      </c>
      <c r="AY140" s="719">
        <f>'More Comp Group'!F867*CC8</f>
        <v>145579.735854</v>
      </c>
      <c r="AZ140" s="719">
        <f>'More Comp Group'!G867*CD8</f>
        <v>11865.932751999999</v>
      </c>
      <c r="BA140" s="719">
        <f>'More Comp Group'!H867*CE8</f>
        <v>17005.468872000001</v>
      </c>
      <c r="BB140" s="553">
        <f t="shared" si="31"/>
        <v>2.7897626085519669E-2</v>
      </c>
      <c r="BC140" s="553">
        <f t="shared" si="32"/>
        <v>0.37484498024399387</v>
      </c>
      <c r="BD140" s="553">
        <f t="shared" si="33"/>
        <v>-0.33798421466670125</v>
      </c>
      <c r="BE140" s="538">
        <f t="shared" si="34"/>
        <v>8.9799214104757344E-2</v>
      </c>
      <c r="BF140" s="538">
        <f t="shared" si="35"/>
        <v>0.15673299141307487</v>
      </c>
      <c r="BG140" s="455">
        <f t="shared" si="36"/>
        <v>-0.30923247677595445</v>
      </c>
    </row>
    <row r="141" spans="1:59" ht="15" customHeight="1">
      <c r="A141" s="535">
        <v>2007</v>
      </c>
      <c r="B141" s="676"/>
      <c r="C141" s="411" t="s">
        <v>487</v>
      </c>
      <c r="D141" s="536"/>
      <c r="E141" s="536"/>
      <c r="F141" s="536"/>
      <c r="G141" s="536"/>
      <c r="H141" s="536"/>
      <c r="I141" s="536" t="s">
        <v>328</v>
      </c>
      <c r="J141" s="524" t="s">
        <v>920</v>
      </c>
      <c r="K141" s="534">
        <f>'More Comp Group'!M517*CA8</f>
        <v>9723803.7170000002</v>
      </c>
      <c r="L141" s="534">
        <f>'More Comp Group'!N517*CB8</f>
        <v>8983547.5600000005</v>
      </c>
      <c r="M141" s="534">
        <f>'More Comp Group'!O517*CC8</f>
        <v>11790186.094000001</v>
      </c>
      <c r="N141" s="534">
        <f>'More Comp Group'!P517*CD8</f>
        <v>10928410.103999998</v>
      </c>
      <c r="O141" s="534">
        <f>'More Comp Group'!Q517*CE8</f>
        <v>8224237.7639999995</v>
      </c>
      <c r="P141" s="534">
        <f>'More Comp Group'!M521*CA8</f>
        <v>-151745.476</v>
      </c>
      <c r="Q141" s="534">
        <f>'More Comp Group'!N521*CB8</f>
        <v>413964.07</v>
      </c>
      <c r="R141" s="534">
        <f>'More Comp Group'!O521*CC8</f>
        <v>-508434.80800000002</v>
      </c>
      <c r="S141" s="534">
        <f>'More Comp Group'!P521*CD8</f>
        <v>1437169.6879999998</v>
      </c>
      <c r="T141" s="534">
        <f>'More Comp Group'!Q521*CE8</f>
        <v>1754029.4879999999</v>
      </c>
      <c r="U141" s="534">
        <f>'More Comp Group'!M520*CA8</f>
        <v>6727493.21</v>
      </c>
      <c r="V141" s="534">
        <f>'More Comp Group'!N520*CB8</f>
        <v>7311234.9699999997</v>
      </c>
      <c r="W141" s="534">
        <f>'More Comp Group'!O520*CC8</f>
        <v>9862520.602</v>
      </c>
      <c r="X141" s="534">
        <f>'More Comp Group'!P520*CD8</f>
        <v>6763715.135999999</v>
      </c>
      <c r="Y141" s="534">
        <f>'More Comp Group'!Q520*CE8</f>
        <v>4917870.324</v>
      </c>
      <c r="Z141" s="534">
        <f>'More Comp Group'!M515*CA8</f>
        <v>14502129.601</v>
      </c>
      <c r="AA141" s="534">
        <f>'More Comp Group'!N515*CB8</f>
        <v>15127982.219999999</v>
      </c>
      <c r="AB141" s="534">
        <f>'More Comp Group'!O515*CC8</f>
        <v>18864225.835999999</v>
      </c>
      <c r="AC141" s="534">
        <f>'More Comp Group'!P515*CD8</f>
        <v>16220048.703999998</v>
      </c>
      <c r="AD141" s="534">
        <f>'More Comp Group'!Q515*CE8</f>
        <v>12428070.095999999</v>
      </c>
      <c r="AE141" s="61">
        <f t="shared" si="37"/>
        <v>-1.0463668452496544E-2</v>
      </c>
      <c r="AF141" s="61">
        <f t="shared" si="37"/>
        <v>2.7364129860803079E-2</v>
      </c>
      <c r="AG141" s="61">
        <f t="shared" si="37"/>
        <v>-2.6952328307569145E-2</v>
      </c>
      <c r="AH141" s="61">
        <f t="shared" si="37"/>
        <v>8.8604523588488485E-2</v>
      </c>
      <c r="AI141" s="61">
        <f t="shared" si="29"/>
        <v>0.14113450233633121</v>
      </c>
      <c r="AJ141" s="61">
        <f t="shared" si="38"/>
        <v>-1.946529948771979E-2</v>
      </c>
      <c r="AK141" s="61">
        <f t="shared" si="38"/>
        <v>4.9227367427986495E-2</v>
      </c>
      <c r="AL141" s="61">
        <f t="shared" si="38"/>
        <v>-5.5090880830189731E-2</v>
      </c>
      <c r="AM141" s="61">
        <f t="shared" si="38"/>
        <v>0.16941229645442701</v>
      </c>
      <c r="AN141" s="61">
        <f t="shared" si="30"/>
        <v>0.2616624839558887</v>
      </c>
      <c r="AO141" s="843"/>
      <c r="AP141" s="437"/>
      <c r="AQ141" s="534">
        <f>'More Comp Group'!M525*CA8</f>
        <v>7774636.3909999998</v>
      </c>
      <c r="AR141" s="534">
        <f>'More Comp Group'!N525*CB8</f>
        <v>7816747.25</v>
      </c>
      <c r="AS141" s="534">
        <f>'More Comp Group'!O525*CC8</f>
        <v>9001705.2339999992</v>
      </c>
      <c r="AT141" s="534">
        <f>'More Comp Group'!P525*CD8</f>
        <v>9456333.568</v>
      </c>
      <c r="AU141" s="534">
        <f>'More Comp Group'!Q525*CE8</f>
        <v>7510199.7719999999</v>
      </c>
      <c r="AV141" s="827">
        <f>'Shareholder funds'!F141</f>
        <v>5896609.3469999991</v>
      </c>
      <c r="AW141" s="719">
        <f>'Long Term Debt'!C113*CA8</f>
        <v>4290785.5609999998</v>
      </c>
      <c r="AX141" s="719">
        <f>'Long Term Debt'!D113*CB8</f>
        <v>5333282.37</v>
      </c>
      <c r="AY141" s="719">
        <f>'Long Term Debt'!E113*CC8</f>
        <v>6262126.1660000002</v>
      </c>
      <c r="AZ141" s="719">
        <f>'Long Term Debt'!F113*CD8</f>
        <v>3804675.32</v>
      </c>
      <c r="BA141" s="719">
        <f>'Long Term Debt'!G113*CE8</f>
        <v>2522236.9559999998</v>
      </c>
      <c r="BB141" s="553">
        <f t="shared" si="31"/>
        <v>0.69542613108869222</v>
      </c>
      <c r="BC141" s="553">
        <f t="shared" si="32"/>
        <v>0.37773780076456037</v>
      </c>
      <c r="BD141" s="553">
        <f t="shared" si="33"/>
        <v>-8.1192041572162726E-2</v>
      </c>
      <c r="BE141" s="538">
        <f t="shared" si="34"/>
        <v>0.2634220131969095</v>
      </c>
      <c r="BF141" s="538">
        <f t="shared" si="35"/>
        <v>0.18621530321294819</v>
      </c>
      <c r="BG141" s="455">
        <f t="shared" si="36"/>
        <v>-6.8736987370250469E-2</v>
      </c>
    </row>
    <row r="142" spans="1:59" ht="15" customHeight="1">
      <c r="A142" s="535">
        <v>2007</v>
      </c>
      <c r="B142" s="676"/>
      <c r="C142" s="411" t="s">
        <v>487</v>
      </c>
      <c r="D142" s="536"/>
      <c r="E142" s="536"/>
      <c r="F142" s="536"/>
      <c r="G142" s="536"/>
      <c r="H142" s="536"/>
      <c r="I142" s="536" t="s">
        <v>328</v>
      </c>
      <c r="J142" s="524" t="s">
        <v>919</v>
      </c>
      <c r="K142" s="534">
        <f>'More Comp Group'!AE517*CA8</f>
        <v>123006.771381</v>
      </c>
      <c r="L142" s="534">
        <f>'More Comp Group'!AF517*CB8</f>
        <v>95757.350649999993</v>
      </c>
      <c r="M142" s="534">
        <f>'More Comp Group'!AG517*CC8</f>
        <v>155789.06365</v>
      </c>
      <c r="N142" s="534">
        <f>'More Comp Group'!AH517*CD8</f>
        <v>147297.316288</v>
      </c>
      <c r="O142" s="534">
        <f>'More Comp Group'!AI517*CE8</f>
        <v>55568.359788000002</v>
      </c>
      <c r="P142" s="534">
        <f>'More Comp Group'!AE521*CA8</f>
        <v>-6234.8173960000004</v>
      </c>
      <c r="Q142" s="534">
        <f>'More Comp Group'!AF521*CB8</f>
        <v>-6251.8000999999995</v>
      </c>
      <c r="R142" s="534">
        <f>'More Comp Group'!AG521*CC8</f>
        <v>991.69957599999998</v>
      </c>
      <c r="S142" s="534">
        <f>'More Comp Group'!AH521*CD8</f>
        <v>8899.5351199999986</v>
      </c>
      <c r="T142" s="534">
        <f>'More Comp Group'!AI521*CE8</f>
        <v>4412.5487279999998</v>
      </c>
      <c r="U142" s="534">
        <f>'More Comp Group'!AE520*CA8</f>
        <v>77470.372684000002</v>
      </c>
      <c r="V142" s="534">
        <f>'More Comp Group'!AF520*CB8</f>
        <v>56670.259229999996</v>
      </c>
      <c r="W142" s="534">
        <f>'More Comp Group'!AG520*CC8</f>
        <v>65912.424176</v>
      </c>
      <c r="X142" s="534">
        <f>'More Comp Group'!AH520*CD8</f>
        <v>59603.956295999997</v>
      </c>
      <c r="Y142" s="534">
        <f>'More Comp Group'!AI520*CE8</f>
        <v>35749.668647999999</v>
      </c>
      <c r="Z142" s="534">
        <f>'More Comp Group'!AE515*CA8</f>
        <v>115168.18984400001</v>
      </c>
      <c r="AA142" s="534">
        <f>'More Comp Group'!AF515*CB8</f>
        <v>97673.472259999995</v>
      </c>
      <c r="AB142" s="534">
        <f>'More Comp Group'!AG515*CC8</f>
        <v>121573.09106000001</v>
      </c>
      <c r="AC142" s="534">
        <f>'More Comp Group'!AH515*CD8</f>
        <v>117173.21979999999</v>
      </c>
      <c r="AD142" s="534">
        <f>'More Comp Group'!AI515*CE8</f>
        <v>81802.465295999995</v>
      </c>
      <c r="AE142" s="61">
        <f t="shared" si="37"/>
        <v>-5.4136627522281232E-2</v>
      </c>
      <c r="AF142" s="61">
        <f t="shared" si="37"/>
        <v>-6.4007144983626071E-2</v>
      </c>
      <c r="AG142" s="61">
        <f t="shared" si="37"/>
        <v>8.1572292630987409E-3</v>
      </c>
      <c r="AH142" s="61">
        <f t="shared" si="37"/>
        <v>7.5951955021722459E-2</v>
      </c>
      <c r="AI142" s="61">
        <f t="shared" si="29"/>
        <v>5.3941512789783437E-2</v>
      </c>
      <c r="AJ142" s="61">
        <f t="shared" si="38"/>
        <v>-0.15844243969633365</v>
      </c>
      <c r="AK142" s="61">
        <f t="shared" si="38"/>
        <v>-0.12935086290000536</v>
      </c>
      <c r="AL142" s="61">
        <f t="shared" si="38"/>
        <v>1.7516534682798797E-2</v>
      </c>
      <c r="AM142" s="61">
        <f t="shared" si="38"/>
        <v>0.17176834518299211</v>
      </c>
      <c r="AN142" s="61">
        <f t="shared" si="30"/>
        <v>0.1699682283688547</v>
      </c>
      <c r="AO142" s="843"/>
      <c r="AP142" s="437"/>
      <c r="AQ142" s="534">
        <f>'More Comp Group'!AE525*CA8</f>
        <v>37697.982820999998</v>
      </c>
      <c r="AR142" s="534">
        <f>'More Comp Group'!AF525*CB8</f>
        <v>41003.372799999997</v>
      </c>
      <c r="AS142" s="534">
        <f>'More Comp Group'!AG525*CC8</f>
        <v>55660.846669999999</v>
      </c>
      <c r="AT142" s="534">
        <f>'More Comp Group'!AH525*CD8</f>
        <v>57569.263503999995</v>
      </c>
      <c r="AU142" s="534">
        <f>'More Comp Group'!AI525*CE8</f>
        <v>46053.264971999997</v>
      </c>
      <c r="AV142" s="827">
        <f>'Shareholder funds'!F142</f>
        <v>5868.7768159999996</v>
      </c>
      <c r="AW142" s="719">
        <f>'Long Term Debt'!C115*CA8</f>
        <v>22675.843341</v>
      </c>
      <c r="AX142" s="719">
        <f>'Long Term Debt'!D115*CB8</f>
        <v>24957.991239999999</v>
      </c>
      <c r="AY142" s="719">
        <f>'Long Term Debt'!E115*CC8</f>
        <v>23210.192814000002</v>
      </c>
      <c r="AZ142" s="719">
        <f>'Long Term Debt'!F115*CD8</f>
        <v>19096.954759999997</v>
      </c>
      <c r="BA142" s="719">
        <f>'Long Term Debt'!G115*CE8</f>
        <v>7330.9877879999995</v>
      </c>
      <c r="BB142" s="553">
        <f t="shared" si="31"/>
        <v>0.60190370733161558</v>
      </c>
      <c r="BC142" s="553">
        <f t="shared" si="32"/>
        <v>0.46601854755611311</v>
      </c>
      <c r="BD142" s="553">
        <f t="shared" si="33"/>
        <v>4.2726899511227816E-2</v>
      </c>
      <c r="BE142" s="538">
        <f t="shared" si="34"/>
        <v>0.17384543325822402</v>
      </c>
      <c r="BF142" s="538">
        <f t="shared" si="35"/>
        <v>0.17350308599183667</v>
      </c>
      <c r="BG142" s="455">
        <f t="shared" si="36"/>
        <v>3.1184639922050054E-2</v>
      </c>
    </row>
    <row r="143" spans="1:59" ht="15" customHeight="1">
      <c r="A143" s="535">
        <v>2005</v>
      </c>
      <c r="B143" s="676"/>
      <c r="C143" s="411" t="s">
        <v>487</v>
      </c>
      <c r="D143" s="536"/>
      <c r="E143" s="536"/>
      <c r="F143" s="536"/>
      <c r="G143" s="536"/>
      <c r="H143" s="536"/>
      <c r="I143" s="536" t="s">
        <v>343</v>
      </c>
      <c r="J143" s="524" t="s">
        <v>921</v>
      </c>
      <c r="K143" s="534">
        <f>'More Comp Group'!M532*CC8</f>
        <v>894100.94804000005</v>
      </c>
      <c r="L143" s="534">
        <f>'More Comp Group'!N532*CD8</f>
        <v>902562.07083199988</v>
      </c>
      <c r="M143" s="534">
        <f>'More Comp Group'!O532*CE8</f>
        <v>729937.12347600004</v>
      </c>
      <c r="N143" s="534">
        <f>'More Comp Group'!P532*CF8</f>
        <v>542100.11486899992</v>
      </c>
      <c r="O143" s="534">
        <f>'More Comp Group'!Q532*CG8</f>
        <v>458310.52578599995</v>
      </c>
      <c r="P143" s="534">
        <f>'More Comp Group'!M536*CC8</f>
        <v>14114.819074000001</v>
      </c>
      <c r="Q143" s="534">
        <f>'More Comp Group'!N536*CD8</f>
        <v>11776.783399999998</v>
      </c>
      <c r="R143" s="534">
        <f>'More Comp Group'!O536*CE8</f>
        <v>10536.665568</v>
      </c>
      <c r="S143" s="534">
        <f>'More Comp Group'!P536*CF8</f>
        <v>8241.6944449999992</v>
      </c>
      <c r="T143" s="534">
        <f>'More Comp Group'!Q536*CG8</f>
        <v>7141.5738179999998</v>
      </c>
      <c r="U143" s="534">
        <f>'More Comp Group'!M535*CC8</f>
        <v>124817.86878800001</v>
      </c>
      <c r="V143" s="534">
        <f>'More Comp Group'!N535*CD8</f>
        <v>126032.71471199999</v>
      </c>
      <c r="W143" s="534">
        <f>'More Comp Group'!O535*CE8</f>
        <v>105644.05959599999</v>
      </c>
      <c r="X143" s="534">
        <f>'More Comp Group'!P535*CF8</f>
        <v>84163.707876</v>
      </c>
      <c r="Y143" s="534">
        <f>'More Comp Group'!Q535*CG8</f>
        <v>55146.614885999996</v>
      </c>
      <c r="Z143" s="534">
        <f>'More Comp Group'!M530*CC8</f>
        <v>147015.14727799999</v>
      </c>
      <c r="AA143" s="534">
        <f>'More Comp Group'!N530*CD8</f>
        <v>150175.59123999998</v>
      </c>
      <c r="AB143" s="534">
        <f>'More Comp Group'!O530*CE8</f>
        <v>127603.615848</v>
      </c>
      <c r="AC143" s="534">
        <f>'More Comp Group'!P530*CF8</f>
        <v>101293.46453899999</v>
      </c>
      <c r="AD143" s="534">
        <f>'More Comp Group'!Q530*CG8</f>
        <v>71137.145592000001</v>
      </c>
      <c r="AE143" s="61">
        <f t="shared" si="37"/>
        <v>9.6009284317550084E-2</v>
      </c>
      <c r="AF143" s="61">
        <f t="shared" si="37"/>
        <v>7.8420090127557268E-2</v>
      </c>
      <c r="AG143" s="61">
        <f t="shared" si="37"/>
        <v>8.2573409052539376E-2</v>
      </c>
      <c r="AH143" s="61">
        <f t="shared" si="37"/>
        <v>8.1364523195144381E-2</v>
      </c>
      <c r="AI143" s="61">
        <f t="shared" si="29"/>
        <v>0.10039162744819399</v>
      </c>
      <c r="AJ143" s="61">
        <f t="shared" si="38"/>
        <v>0.60918307539184335</v>
      </c>
      <c r="AK143" s="61">
        <f t="shared" si="38"/>
        <v>0.51089639699486589</v>
      </c>
      <c r="AL143" s="61">
        <f t="shared" si="38"/>
        <v>0.53910722815272072</v>
      </c>
      <c r="AM143" s="61">
        <f t="shared" si="38"/>
        <v>0.49768477831030961</v>
      </c>
      <c r="AN143" s="61">
        <f t="shared" si="30"/>
        <v>0.44824292601631105</v>
      </c>
      <c r="AO143" s="843"/>
      <c r="AP143" s="437"/>
      <c r="AQ143" s="534">
        <f>'More Comp Group'!M540*CC8</f>
        <v>22197.278490000001</v>
      </c>
      <c r="AR143" s="534">
        <f>'More Comp Group'!N540*CD8</f>
        <v>24142.876527999997</v>
      </c>
      <c r="AS143" s="534">
        <f>'More Comp Group'!O540*CE8</f>
        <v>21959.556251999998</v>
      </c>
      <c r="AT143" s="534">
        <f>'More Comp Group'!P540*CF8</f>
        <v>17129.756663</v>
      </c>
      <c r="AU143" s="534">
        <f>'More Comp Group'!Q540*CG8</f>
        <v>15990.382043999998</v>
      </c>
      <c r="AV143" s="827">
        <f>'Shareholder funds'!F143</f>
        <v>15874.365410999999</v>
      </c>
      <c r="AW143" s="719">
        <f>'Long Term Debt'!C116*CC8</f>
        <v>424195.89791400003</v>
      </c>
      <c r="AX143" s="719">
        <f>'Long Term Debt'!D116*CD8</f>
        <v>407287.62688</v>
      </c>
      <c r="AY143" s="719">
        <f>'Long Term Debt'!E116*CE8</f>
        <v>318154.036104</v>
      </c>
      <c r="AZ143" s="719">
        <f>'Long Term Debt'!F116*CF8</f>
        <v>95932.514796999996</v>
      </c>
      <c r="BA143" s="719">
        <f>'Long Term Debt'!G116*CG8</f>
        <v>61386.256349999996</v>
      </c>
      <c r="BB143" s="553">
        <f t="shared" si="31"/>
        <v>0.11633831809650663</v>
      </c>
      <c r="BC143" s="553">
        <f t="shared" si="32"/>
        <v>8.5911376997048483E-2</v>
      </c>
      <c r="BD143" s="553">
        <f t="shared" si="33"/>
        <v>3.3118126354856975E-2</v>
      </c>
      <c r="BE143" s="538">
        <f t="shared" si="34"/>
        <v>0.2271214028152741</v>
      </c>
      <c r="BF143" s="538">
        <f t="shared" si="35"/>
        <v>0.15778067291968817</v>
      </c>
      <c r="BG143" s="455">
        <f t="shared" si="36"/>
        <v>0.12019478221596357</v>
      </c>
    </row>
    <row r="144" spans="1:59" ht="15" customHeight="1">
      <c r="A144" s="535">
        <v>2005</v>
      </c>
      <c r="B144" s="676"/>
      <c r="C144" s="411" t="s">
        <v>487</v>
      </c>
      <c r="D144" s="536"/>
      <c r="E144" s="536"/>
      <c r="F144" s="536"/>
      <c r="G144" s="536"/>
      <c r="H144" s="536"/>
      <c r="I144" s="536" t="s">
        <v>343</v>
      </c>
      <c r="J144" s="524" t="s">
        <v>927</v>
      </c>
      <c r="K144" s="534">
        <f>'More Comp Group'!V532*CC8</f>
        <v>56529.572622</v>
      </c>
      <c r="L144" s="534">
        <f>'More Comp Group'!W532*CD8</f>
        <v>45355.631168</v>
      </c>
      <c r="M144" s="534">
        <f>'More Comp Group'!X532*CE8</f>
        <v>31793.735819999998</v>
      </c>
      <c r="N144" s="534">
        <f>'More Comp Group'!Y532*CF8</f>
        <v>29820.924331999999</v>
      </c>
      <c r="O144" s="534">
        <f>'More Comp Group'!Z532*CG8</f>
        <v>25737.406073999999</v>
      </c>
      <c r="P144" s="534">
        <f>'More Comp Group'!V536*CC8</f>
        <v>4231.8028679999998</v>
      </c>
      <c r="Q144" s="534">
        <f>'More Comp Group'!W536*CD8</f>
        <v>1285.9066799999998</v>
      </c>
      <c r="R144" s="534">
        <f>'More Comp Group'!X536*CE8</f>
        <v>1086.199464</v>
      </c>
      <c r="S144" s="534">
        <f>'More Comp Group'!Y536*CF8</f>
        <v>1057.014222</v>
      </c>
      <c r="T144" s="534">
        <f>'More Comp Group'!Z536*CG8</f>
        <v>273.83540399999998</v>
      </c>
      <c r="U144" s="534">
        <f>'More Comp Group'!V535*CC8</f>
        <v>24909.350300000002</v>
      </c>
      <c r="V144" s="534">
        <f>'More Comp Group'!W535*CD8</f>
        <v>27315.464119999997</v>
      </c>
      <c r="W144" s="534">
        <f>'More Comp Group'!X535*CE8</f>
        <v>20842.291295999999</v>
      </c>
      <c r="X144" s="534">
        <f>'More Comp Group'!Y535*CF8</f>
        <v>20794.010436999997</v>
      </c>
      <c r="Y144" s="534">
        <f>'More Comp Group'!Z535*CG8</f>
        <v>20373.086465999997</v>
      </c>
      <c r="Z144" s="534">
        <f>'More Comp Group'!V530*CC8</f>
        <v>41370.55646</v>
      </c>
      <c r="AA144" s="534">
        <f>'More Comp Group'!W530*CD8</f>
        <v>39481.356207999997</v>
      </c>
      <c r="AB144" s="534">
        <f>'More Comp Group'!X530*CE8</f>
        <v>31214.731248</v>
      </c>
      <c r="AC144" s="534">
        <f>'More Comp Group'!Y530*CF8</f>
        <v>30299.985940999999</v>
      </c>
      <c r="AD144" s="534">
        <f>'More Comp Group'!Z530*CG8</f>
        <v>26741.171897999997</v>
      </c>
      <c r="AE144" s="61">
        <f t="shared" si="37"/>
        <v>0.10229020903046368</v>
      </c>
      <c r="AF144" s="61">
        <f t="shared" si="37"/>
        <v>3.2569972349111964E-2</v>
      </c>
      <c r="AG144" s="61">
        <f t="shared" si="37"/>
        <v>3.4797655484206526E-2</v>
      </c>
      <c r="AH144" s="61">
        <f t="shared" si="37"/>
        <v>3.4884974008179859E-2</v>
      </c>
      <c r="AI144" s="61">
        <f t="shared" si="29"/>
        <v>1.0240217034784494E-2</v>
      </c>
      <c r="AJ144" s="61">
        <f t="shared" si="38"/>
        <v>0.29565191177492922</v>
      </c>
      <c r="AK144" s="61">
        <f t="shared" si="38"/>
        <v>0.11410849159198949</v>
      </c>
      <c r="AL144" s="61">
        <f t="shared" si="38"/>
        <v>0.1092834523348853</v>
      </c>
      <c r="AM144" s="61">
        <f t="shared" si="38"/>
        <v>0.1331725295205729</v>
      </c>
      <c r="AN144" s="61">
        <f t="shared" si="30"/>
        <v>4.5002041121848545E-2</v>
      </c>
      <c r="AO144" s="843"/>
      <c r="AP144" s="437"/>
      <c r="AQ144" s="534">
        <f>'More Comp Group'!V540*CC8</f>
        <v>16461.206160000002</v>
      </c>
      <c r="AR144" s="534">
        <f>'More Comp Group'!W540*CD8</f>
        <v>12165.720975999999</v>
      </c>
      <c r="AS144" s="534">
        <f>'More Comp Group'!X540*CE8</f>
        <v>10372.59606</v>
      </c>
      <c r="AT144" s="534">
        <f>'More Comp Group'!Y540*CF8</f>
        <v>9505.975504</v>
      </c>
      <c r="AU144" s="534">
        <f>'More Comp Group'!Z540*CG8</f>
        <v>6368.3827559999991</v>
      </c>
      <c r="AV144" s="827">
        <f>'Shareholder funds'!F144</f>
        <v>5801.5276379999996</v>
      </c>
      <c r="AW144" s="719">
        <f>'Long Term Debt'!C117*CC8</f>
        <v>9813.0794519999999</v>
      </c>
      <c r="AX144" s="719">
        <f>'Long Term Debt'!D117*CD8</f>
        <v>15194.403375999998</v>
      </c>
      <c r="AY144" s="719">
        <f>'Long Term Debt'!E117*CE8</f>
        <v>12327.224328</v>
      </c>
      <c r="AZ144" s="719">
        <f>'Long Term Debt'!F117*CF8</f>
        <v>13477.320052999999</v>
      </c>
      <c r="BA144" s="719">
        <f>'Long Term Debt'!G117*CG8</f>
        <v>16187.507855999998</v>
      </c>
      <c r="BB144" s="553">
        <f t="shared" si="31"/>
        <v>1.6916464624201013E-2</v>
      </c>
      <c r="BC144" s="553">
        <f t="shared" si="32"/>
        <v>7.8429110375301411E-2</v>
      </c>
      <c r="BD144" s="553">
        <f t="shared" si="33"/>
        <v>8.8113871792923543E-2</v>
      </c>
      <c r="BE144" s="538">
        <f t="shared" si="34"/>
        <v>8.3296288424618475E-2</v>
      </c>
      <c r="BF144" s="538">
        <f t="shared" si="35"/>
        <v>8.9622756620027055E-2</v>
      </c>
      <c r="BG144" s="455">
        <f t="shared" si="36"/>
        <v>9.5148448122387624E-2</v>
      </c>
    </row>
    <row r="145" spans="1:59" ht="15" customHeight="1">
      <c r="A145" s="535">
        <v>2007</v>
      </c>
      <c r="B145" s="676"/>
      <c r="C145" s="411" t="s">
        <v>487</v>
      </c>
      <c r="D145" s="536"/>
      <c r="E145" s="536"/>
      <c r="F145" s="536"/>
      <c r="G145" s="411"/>
      <c r="H145" s="536"/>
      <c r="I145" s="536" t="s">
        <v>335</v>
      </c>
      <c r="J145" s="524" t="s">
        <v>888</v>
      </c>
      <c r="K145" s="534">
        <f>'More Comp Group'!M548*CA8</f>
        <v>438572.75367100001</v>
      </c>
      <c r="L145" s="534">
        <f>'More Comp Group'!N548*CB8</f>
        <v>353914.35573000001</v>
      </c>
      <c r="M145" s="534">
        <f>'More Comp Group'!O548*CC8</f>
        <v>406960.89280999999</v>
      </c>
      <c r="N145" s="534">
        <f>'More Comp Group'!P548*CD8</f>
        <v>714082.20283199998</v>
      </c>
      <c r="O145" s="534">
        <f>'More Comp Group'!Q548*CE8</f>
        <v>428456.51452799997</v>
      </c>
      <c r="P145" s="534">
        <f>'More Comp Group'!M552*CA8</f>
        <v>219340.29949100001</v>
      </c>
      <c r="Q145" s="534">
        <f>'More Comp Group'!N552*CB8</f>
        <v>88660.686789999992</v>
      </c>
      <c r="R145" s="534">
        <f>'More Comp Group'!O552*CC8</f>
        <v>-22575.728019999999</v>
      </c>
      <c r="S145" s="534">
        <f>'More Comp Group'!P552*CD8</f>
        <v>322857.37272799999</v>
      </c>
      <c r="T145" s="534">
        <f>'More Comp Group'!Q552*CE8</f>
        <v>191270.23424399999</v>
      </c>
      <c r="U145" s="534">
        <f>'More Comp Group'!M551*CA8</f>
        <v>3215334.5596420001</v>
      </c>
      <c r="V145" s="534">
        <f>'More Comp Group'!N551*CB8</f>
        <v>2850693.9882199997</v>
      </c>
      <c r="W145" s="534">
        <f>'More Comp Group'!O551*CC8</f>
        <v>1767386.452786</v>
      </c>
      <c r="X145" s="534">
        <f>'More Comp Group'!P551*CD8</f>
        <v>1513299.8123679999</v>
      </c>
      <c r="Y145" s="534">
        <f>'More Comp Group'!Q551*CE8</f>
        <v>1252450.269084</v>
      </c>
      <c r="Z145" s="534">
        <f>'More Comp Group'!M546*CA8</f>
        <v>4814780.5810160004</v>
      </c>
      <c r="AA145" s="534">
        <f>'More Comp Group'!N546*CB8</f>
        <v>4179913.44459</v>
      </c>
      <c r="AB145" s="534">
        <f>'More Comp Group'!O546*CC8</f>
        <v>4575589.8369859997</v>
      </c>
      <c r="AC145" s="534">
        <f>'More Comp Group'!P546*CD8</f>
        <v>4250212.2966879997</v>
      </c>
      <c r="AD145" s="534">
        <f>'More Comp Group'!Q546*CE8</f>
        <v>3030505.2466079998</v>
      </c>
      <c r="AE145" s="61">
        <f t="shared" si="37"/>
        <v>4.5555616876047859E-2</v>
      </c>
      <c r="AF145" s="61">
        <f t="shared" si="37"/>
        <v>2.1211129839243968E-2</v>
      </c>
      <c r="AG145" s="61">
        <f t="shared" si="37"/>
        <v>-4.9339492446444722E-3</v>
      </c>
      <c r="AH145" s="61">
        <f t="shared" si="37"/>
        <v>7.5962646143485177E-2</v>
      </c>
      <c r="AI145" s="61">
        <f t="shared" si="29"/>
        <v>6.3114965551729685E-2</v>
      </c>
      <c r="AJ145" s="61">
        <f t="shared" si="38"/>
        <v>0.14978854795382149</v>
      </c>
      <c r="AK145" s="61">
        <f t="shared" si="38"/>
        <v>6.3218213451263522E-2</v>
      </c>
      <c r="AL145" s="61">
        <f t="shared" si="38"/>
        <v>-1.4901926646291671E-2</v>
      </c>
      <c r="AM145" s="61">
        <f t="shared" si="38"/>
        <v>0.24529783599871713</v>
      </c>
      <c r="AN145" s="61">
        <f t="shared" si="30"/>
        <v>0.19598548400411464</v>
      </c>
      <c r="AO145" s="843"/>
      <c r="AP145" s="437"/>
      <c r="AQ145" s="534">
        <f>'More Comp Group'!M556*CA8</f>
        <v>1599446.3526960001</v>
      </c>
      <c r="AR145" s="534">
        <f>'More Comp Group'!N556*CB8</f>
        <v>1329219.45637</v>
      </c>
      <c r="AS145" s="534">
        <f>'More Comp Group'!O556*CC8</f>
        <v>1475690.1400820001</v>
      </c>
      <c r="AT145" s="534">
        <f>'More Comp Group'!P556*CD8</f>
        <v>1554217.1404799998</v>
      </c>
      <c r="AU145" s="534">
        <f>'More Comp Group'!Q556*CE8</f>
        <v>1078153.1893559999</v>
      </c>
      <c r="AV145" s="827">
        <f>'Shareholder funds'!F145</f>
        <v>873728.45346999995</v>
      </c>
      <c r="AW145" s="719">
        <f>'Long Term Debt'!C118*CA8</f>
        <v>2991792.4345470001</v>
      </c>
      <c r="AX145" s="719">
        <f>'Long Term Debt'!D118*CB8</f>
        <v>2630762.4349500001</v>
      </c>
      <c r="AY145" s="719">
        <f>'Long Term Debt'!E118*CC8</f>
        <v>2849812.15711</v>
      </c>
      <c r="AZ145" s="719">
        <f>'Long Term Debt'!F118*CD8</f>
        <v>2533079.0787839997</v>
      </c>
      <c r="BA145" s="719">
        <f>'Long Term Debt'!G118*CE8</f>
        <v>1835068.1168519999</v>
      </c>
      <c r="BB145" s="553">
        <f t="shared" si="31"/>
        <v>0.1042305909451023</v>
      </c>
      <c r="BC145" s="553">
        <f t="shared" si="32"/>
        <v>0.12745649175823881</v>
      </c>
      <c r="BD145" s="553">
        <f t="shared" si="33"/>
        <v>-7.9218302033261332E-3</v>
      </c>
      <c r="BE145" s="538">
        <f t="shared" si="34"/>
        <v>0.12530601519697043</v>
      </c>
      <c r="BF145" s="538">
        <f t="shared" si="35"/>
        <v>9.4908918344853099E-2</v>
      </c>
      <c r="BG145" s="455">
        <f t="shared" si="36"/>
        <v>-1.1097968417378153E-2</v>
      </c>
    </row>
    <row r="146" spans="1:59" ht="15" customHeight="1">
      <c r="A146" s="535">
        <v>2003</v>
      </c>
      <c r="B146" s="676"/>
      <c r="C146" s="411" t="s">
        <v>487</v>
      </c>
      <c r="D146" s="536"/>
      <c r="E146" s="536"/>
      <c r="F146" s="536"/>
      <c r="G146" s="411"/>
      <c r="H146" s="536"/>
      <c r="I146" s="536" t="s">
        <v>344</v>
      </c>
      <c r="J146" s="524" t="s">
        <v>861</v>
      </c>
      <c r="K146" s="534">
        <f>'More Comp Group'!D816*CE8</f>
        <v>14217848.316</v>
      </c>
      <c r="L146" s="534">
        <f>'More Comp Group'!E816*CF8</f>
        <v>10717390.302999999</v>
      </c>
      <c r="M146" s="534">
        <f>'More Comp Group'!F816*CG8</f>
        <v>9113277.9239999987</v>
      </c>
      <c r="N146" s="534">
        <f>'More Comp Group'!G816*CH8</f>
        <v>7499463.4169999994</v>
      </c>
      <c r="O146" s="534">
        <f>'More Comp Group'!H816*CI8</f>
        <v>6129908.9959999993</v>
      </c>
      <c r="P146" s="534">
        <f>'More Comp Group'!D820*CE8</f>
        <v>2485239.36</v>
      </c>
      <c r="Q146" s="534">
        <f>'More Comp Group'!E820*CF8</f>
        <v>1188868.8939999999</v>
      </c>
      <c r="R146" s="534">
        <f>'More Comp Group'!F820*CG8</f>
        <v>981466.52399999998</v>
      </c>
      <c r="S146" s="534">
        <f>'More Comp Group'!G820*CH8</f>
        <v>712943.85</v>
      </c>
      <c r="T146" s="534">
        <f>'More Comp Group'!H820*CI8</f>
        <v>-584542.17599999998</v>
      </c>
      <c r="U146" s="534">
        <f>'More Comp Group'!D819*CE8</f>
        <v>13370337.983999999</v>
      </c>
      <c r="V146" s="534">
        <f>'More Comp Group'!E819*CF8</f>
        <v>11018261.517999999</v>
      </c>
      <c r="W146" s="534">
        <f>'More Comp Group'!F819*CG8</f>
        <v>6901782.0119999992</v>
      </c>
      <c r="X146" s="534">
        <f>'More Comp Group'!G819*CH8</f>
        <v>6385012.1789999995</v>
      </c>
      <c r="Y146" s="534">
        <f>'More Comp Group'!H819*CI8</f>
        <v>6549734.8199999994</v>
      </c>
      <c r="Z146" s="534">
        <f>'More Comp Group'!D814*CE8</f>
        <v>23162680.607999999</v>
      </c>
      <c r="AA146" s="534">
        <f>'More Comp Group'!E814*CF8</f>
        <v>19342054.154999997</v>
      </c>
      <c r="AB146" s="534">
        <f>'More Comp Group'!F814*CG8</f>
        <v>13096230.227999998</v>
      </c>
      <c r="AC146" s="534">
        <f>'More Comp Group'!G814*CH8</f>
        <v>12156751.469999999</v>
      </c>
      <c r="AD146" s="534">
        <f>'More Comp Group'!H814*CI8</f>
        <v>11231094.068</v>
      </c>
      <c r="AE146" s="61">
        <f t="shared" si="37"/>
        <v>0.10729498032026742</v>
      </c>
      <c r="AF146" s="61">
        <f t="shared" si="37"/>
        <v>6.1465492986052493E-2</v>
      </c>
      <c r="AG146" s="61">
        <f t="shared" si="37"/>
        <v>7.4942674870025205E-2</v>
      </c>
      <c r="AH146" s="61">
        <f t="shared" si="37"/>
        <v>5.8645918011845315E-2</v>
      </c>
      <c r="AI146" s="61">
        <f t="shared" si="29"/>
        <v>-5.204677055154374E-2</v>
      </c>
      <c r="AJ146" s="61">
        <f t="shared" si="38"/>
        <v>0.27436749882853506</v>
      </c>
      <c r="AK146" s="61">
        <f t="shared" si="38"/>
        <v>0.16377588800702891</v>
      </c>
      <c r="AL146" s="61">
        <f t="shared" si="38"/>
        <v>0.16403997069674198</v>
      </c>
      <c r="AM146" s="61">
        <f t="shared" si="38"/>
        <v>0.13640813723127956</v>
      </c>
      <c r="AN146" s="61">
        <f t="shared" si="30"/>
        <v>-0.11971058672396752</v>
      </c>
      <c r="AO146" s="843"/>
      <c r="AP146" s="437"/>
      <c r="AQ146" s="534">
        <f>'More Comp Group'!D824*CE8</f>
        <v>9792342.6239999998</v>
      </c>
      <c r="AR146" s="534">
        <f>'More Comp Group'!E824*CF8</f>
        <v>8323792.6369999992</v>
      </c>
      <c r="AS146" s="534">
        <f>'More Comp Group'!F824*CG8</f>
        <v>6194448.2159999991</v>
      </c>
      <c r="AT146" s="534">
        <f>'More Comp Group'!G824*CH8</f>
        <v>5771739.2910000002</v>
      </c>
      <c r="AU146" s="534">
        <f>'More Comp Group'!H824*CI8</f>
        <v>4681359.2479999997</v>
      </c>
      <c r="AV146" s="827">
        <f>'Shareholder funds'!F146</f>
        <v>5084563.5829999996</v>
      </c>
      <c r="AW146" s="719">
        <f>'More Comp Group'!D822*CE8</f>
        <v>7470548.3399999999</v>
      </c>
      <c r="AX146" s="719">
        <f>'More Comp Group'!E822*CF8</f>
        <v>5248686.6839999994</v>
      </c>
      <c r="AY146" s="719">
        <f>'More Comp Group'!F822*CG8</f>
        <v>3611594.6279999996</v>
      </c>
      <c r="AZ146" s="719">
        <f>'More Comp Group'!G822*CH8</f>
        <v>3921191.1749999998</v>
      </c>
      <c r="BA146" s="719">
        <f>'More Comp Group'!H822*CI8</f>
        <v>3823377.8839999996</v>
      </c>
      <c r="BB146" s="553">
        <f t="shared" si="31"/>
        <v>-0.15288632035200631</v>
      </c>
      <c r="BC146" s="553">
        <f t="shared" si="32"/>
        <v>0.18181818181818182</v>
      </c>
      <c r="BD146" s="553">
        <f t="shared" si="33"/>
        <v>0.27175434263604187</v>
      </c>
      <c r="BE146" s="538">
        <f t="shared" si="34"/>
        <v>2.5202172679405388E-2</v>
      </c>
      <c r="BF146" s="538">
        <f t="shared" si="35"/>
        <v>0.17325212563560879</v>
      </c>
      <c r="BG146" s="455">
        <f t="shared" si="36"/>
        <v>0.22080600960579297</v>
      </c>
    </row>
    <row r="147" spans="1:59" ht="15" customHeight="1">
      <c r="A147" s="535">
        <v>2003</v>
      </c>
      <c r="B147" s="676"/>
      <c r="C147" s="411" t="s">
        <v>487</v>
      </c>
      <c r="D147" s="536"/>
      <c r="E147" s="536"/>
      <c r="F147" s="536"/>
      <c r="G147" s="536"/>
      <c r="H147" s="536"/>
      <c r="I147" s="536" t="s">
        <v>344</v>
      </c>
      <c r="J147" s="524" t="s">
        <v>542</v>
      </c>
      <c r="K147" s="534">
        <f>'More Comp Group'!AE563*CE8</f>
        <v>264378.10837199999</v>
      </c>
      <c r="L147" s="534">
        <f>'More Comp Group'!AF563*CF8</f>
        <v>245103.68574899997</v>
      </c>
      <c r="M147" s="534">
        <f>'More Comp Group'!AG563*CG8</f>
        <v>259868.16311399997</v>
      </c>
      <c r="N147" s="534">
        <f>'More Comp Group'!AH563*CH8</f>
        <v>257135.12895899999</v>
      </c>
      <c r="O147" s="534">
        <f>'More Comp Group'!AI563*CI8</f>
        <v>249118.29133399998</v>
      </c>
      <c r="P147" s="534">
        <f>'More Comp Group'!AE567*CE8</f>
        <v>6505.9570080000003</v>
      </c>
      <c r="Q147" s="534">
        <f>'More Comp Group'!AF567*CF8</f>
        <v>-9164.3661709999997</v>
      </c>
      <c r="R147" s="534">
        <f>'More Comp Group'!AG567*CG8</f>
        <v>-13335.427385999999</v>
      </c>
      <c r="S147" s="534">
        <f>'More Comp Group'!AH567*CH8</f>
        <v>0</v>
      </c>
      <c r="T147" s="534">
        <f>'More Comp Group'!AI567*CI8</f>
        <v>-8066.2049539999998</v>
      </c>
      <c r="U147" s="534">
        <f>'More Comp Group'!AE566*CE8</f>
        <v>120488.99374799999</v>
      </c>
      <c r="V147" s="534">
        <f>'More Comp Group'!AF566*CF8</f>
        <v>77962.962044999993</v>
      </c>
      <c r="W147" s="534">
        <f>'More Comp Group'!AG566*CG8</f>
        <v>68732.240418000001</v>
      </c>
      <c r="X147" s="534">
        <f>'More Comp Group'!AH566*CH8</f>
        <v>68253.150066000002</v>
      </c>
      <c r="Y147" s="534">
        <f>'More Comp Group'!AI566*CI8</f>
        <v>73818.160441999993</v>
      </c>
      <c r="Z147" s="534">
        <f>'More Comp Group'!AE561*CE8</f>
        <v>149478.09323999999</v>
      </c>
      <c r="AA147" s="534">
        <f>'More Comp Group'!AF561*CF8</f>
        <v>101460.148747</v>
      </c>
      <c r="AB147" s="534">
        <f>'More Comp Group'!AG561*CG8</f>
        <v>98878.366763999991</v>
      </c>
      <c r="AC147" s="534">
        <f>'More Comp Group'!AH561*CH8</f>
        <v>103755.071433</v>
      </c>
      <c r="AD147" s="534">
        <f>'More Comp Group'!AI561*CI8</f>
        <v>102342.21164199999</v>
      </c>
      <c r="AE147" s="61">
        <f t="shared" si="37"/>
        <v>4.3524484872536635E-2</v>
      </c>
      <c r="AF147" s="61">
        <f t="shared" si="37"/>
        <v>-9.032478548648859E-2</v>
      </c>
      <c r="AG147" s="61">
        <f t="shared" si="37"/>
        <v>-0.13486698680843515</v>
      </c>
      <c r="AH147" s="61">
        <f t="shared" si="37"/>
        <v>0</v>
      </c>
      <c r="AI147" s="61">
        <f t="shared" si="29"/>
        <v>-7.8816011737328218E-2</v>
      </c>
      <c r="AJ147" s="61">
        <f t="shared" si="38"/>
        <v>0.24791073934828076</v>
      </c>
      <c r="AK147" s="61">
        <f t="shared" si="38"/>
        <v>-0.3416778588153096</v>
      </c>
      <c r="AL147" s="61">
        <f t="shared" si="38"/>
        <v>-0.4062703416345233</v>
      </c>
      <c r="AM147" s="61">
        <f t="shared" si="38"/>
        <v>0</v>
      </c>
      <c r="AN147" s="61">
        <f t="shared" si="30"/>
        <v>-0.2659207946871498</v>
      </c>
      <c r="AO147" s="843"/>
      <c r="AP147" s="437"/>
      <c r="AQ147" s="534">
        <f>'More Comp Group'!AE571*CE8</f>
        <v>28989.099492000001</v>
      </c>
      <c r="AR147" s="534">
        <f>'More Comp Group'!AF571*CF8</f>
        <v>23497.186701999999</v>
      </c>
      <c r="AS147" s="534">
        <f>'More Comp Group'!AG571*CG8</f>
        <v>30146.126345999997</v>
      </c>
      <c r="AT147" s="534">
        <f>'More Comp Group'!AH571*CH8</f>
        <v>35501.921367000003</v>
      </c>
      <c r="AU147" s="534">
        <f>'More Comp Group'!AI571*CI8</f>
        <v>28524.051199999998</v>
      </c>
      <c r="AV147" s="827">
        <f>'Shareholder funds'!F147</f>
        <v>32142.170586</v>
      </c>
      <c r="AW147" s="719">
        <f>'Long Term Debt'!C121*CE8</f>
        <v>9550.3752239999994</v>
      </c>
      <c r="AX147" s="719">
        <f>'Long Term Debt'!D121*CF8</f>
        <v>10990.895454</v>
      </c>
      <c r="AY147" s="719">
        <f>'Long Term Debt'!E121*CG8</f>
        <v>11558.321838</v>
      </c>
      <c r="AZ147" s="719">
        <f>'Long Term Debt'!F121*CH8</f>
        <v>12932.660261999999</v>
      </c>
      <c r="BA147" s="719">
        <f>'Long Term Debt'!G121*CI8</f>
        <v>14277.844395999999</v>
      </c>
      <c r="BB147" s="553">
        <f t="shared" ref="BB147:BB149" si="40">T147/BA147</f>
        <v>-0.56494557093364761</v>
      </c>
      <c r="BC147" s="553">
        <f t="shared" si="32"/>
        <v>0</v>
      </c>
      <c r="BD147" s="553">
        <f t="shared" si="33"/>
        <v>-1.1537511736485357</v>
      </c>
      <c r="BE147" s="538">
        <f t="shared" si="34"/>
        <v>-0.3383923761108617</v>
      </c>
      <c r="BF147" s="538">
        <f t="shared" si="35"/>
        <v>-0.11691207291336267</v>
      </c>
      <c r="BG147" s="455">
        <f t="shared" si="36"/>
        <v>-0.92585853807446428</v>
      </c>
    </row>
    <row r="148" spans="1:59" ht="15" customHeight="1">
      <c r="A148" s="535">
        <v>2018</v>
      </c>
      <c r="B148" s="676"/>
      <c r="C148" s="411" t="s">
        <v>435</v>
      </c>
      <c r="D148" s="536"/>
      <c r="E148" s="536"/>
      <c r="F148" s="536"/>
      <c r="G148" s="536"/>
      <c r="H148" s="536"/>
      <c r="I148" s="536" t="s">
        <v>341</v>
      </c>
      <c r="J148" s="524" t="s">
        <v>1000</v>
      </c>
      <c r="K148" s="534">
        <f>'More Comp Group'!M597</f>
        <v>71775.734704717994</v>
      </c>
      <c r="L148" s="534">
        <f>'More Comp Group'!N597</f>
        <v>72144.429580211596</v>
      </c>
      <c r="M148" s="534">
        <f>'More Comp Group'!O597</f>
        <v>63817.539131090001</v>
      </c>
      <c r="N148" s="534">
        <f>'More Comp Group'!P597</f>
        <v>61141.8871446997</v>
      </c>
      <c r="O148" s="534">
        <f>'More Comp Group'!Q597</f>
        <v>57859.318159334398</v>
      </c>
      <c r="P148" s="534">
        <f>'More Comp Group'!M601</f>
        <v>5005.4420194923896</v>
      </c>
      <c r="Q148" s="534">
        <f>'More Comp Group'!N601</f>
        <v>5701.4066542536002</v>
      </c>
      <c r="R148" s="534">
        <f>'More Comp Group'!O601</f>
        <v>4739.0660048499703</v>
      </c>
      <c r="S148" s="534">
        <f>'More Comp Group'!P601</f>
        <v>3645.2243909686799</v>
      </c>
      <c r="T148" s="534">
        <f>'More Comp Group'!Q601</f>
        <v>3609.62242756039</v>
      </c>
      <c r="U148" s="534">
        <f>'More Comp Group'!M600</f>
        <v>20589.001620225637</v>
      </c>
      <c r="V148" s="534">
        <f>'More Comp Group'!N600</f>
        <v>22284.52463732662</v>
      </c>
      <c r="W148" s="534">
        <f>'More Comp Group'!O600</f>
        <v>22193.621613234252</v>
      </c>
      <c r="X148" s="534">
        <f>'More Comp Group'!P600</f>
        <v>16964.902163669485</v>
      </c>
      <c r="Y148" s="534">
        <f>'More Comp Group'!Q600</f>
        <v>19870.036628149475</v>
      </c>
      <c r="Z148" s="534">
        <f>'More Comp Group'!M595</f>
        <v>25071.541161827699</v>
      </c>
      <c r="AA148" s="534">
        <f>'More Comp Group'!N595</f>
        <v>26310.433092773001</v>
      </c>
      <c r="AB148" s="534">
        <f>'More Comp Group'!O595</f>
        <v>27475.056632362299</v>
      </c>
      <c r="AC148" s="534">
        <f>'More Comp Group'!P595</f>
        <v>22424.395827233799</v>
      </c>
      <c r="AD148" s="534">
        <f>'More Comp Group'!Q595</f>
        <v>26037.880747832402</v>
      </c>
      <c r="AE148" s="61">
        <f t="shared" si="37"/>
        <v>0.19964636346780909</v>
      </c>
      <c r="AF148" s="61">
        <f t="shared" si="37"/>
        <v>0.21669756001924853</v>
      </c>
      <c r="AG148" s="61">
        <f t="shared" si="37"/>
        <v>0.17248612325944845</v>
      </c>
      <c r="AH148" s="61">
        <f t="shared" si="37"/>
        <v>0.1625561918837366</v>
      </c>
      <c r="AI148" s="61">
        <f t="shared" si="29"/>
        <v>0.13862965509821237</v>
      </c>
      <c r="AJ148" s="61">
        <f t="shared" si="38"/>
        <v>1.1765816800499307</v>
      </c>
      <c r="AK148" s="61">
        <f t="shared" si="38"/>
        <v>1.2251415604954501</v>
      </c>
      <c r="AL148" s="61">
        <f t="shared" si="38"/>
        <v>0.88243133249481143</v>
      </c>
      <c r="AM148" s="61">
        <f t="shared" si="38"/>
        <v>0.62700928775299736</v>
      </c>
      <c r="AN148" s="61">
        <f t="shared" si="30"/>
        <v>0.57898268563039579</v>
      </c>
      <c r="AO148" s="843"/>
      <c r="AP148" s="437"/>
      <c r="AQ148" s="534">
        <f>'More Comp Group'!M605</f>
        <v>4482.5395416021302</v>
      </c>
      <c r="AR148" s="534">
        <f>'More Comp Group'!N605</f>
        <v>4025.9084554463602</v>
      </c>
      <c r="AS148" s="534">
        <f>'More Comp Group'!O605</f>
        <v>5281.43501912802</v>
      </c>
      <c r="AT148" s="534">
        <f>'More Comp Group'!P605</f>
        <v>5459.4936635643198</v>
      </c>
      <c r="AU148" s="534">
        <f>'More Comp Group'!Q605</f>
        <v>6167.8441196829099</v>
      </c>
      <c r="AV148" s="827">
        <f>'Shareholder funds'!F148</f>
        <v>6301</v>
      </c>
      <c r="AW148" s="719">
        <f>'Long Term Debt'!C122</f>
        <v>2468.9341627359399</v>
      </c>
      <c r="AX148" s="719">
        <f>'Long Term Debt'!D122</f>
        <v>3010.0819866061202</v>
      </c>
      <c r="AY148" s="719">
        <f>'Long Term Debt'!E122</f>
        <v>4174.82910927385</v>
      </c>
      <c r="AZ148" s="719">
        <f>'Long Term Debt'!F122</f>
        <v>645.91484378278301</v>
      </c>
      <c r="BA148" s="719">
        <f>'Long Term Debt'!G122</f>
        <v>828.136422641575</v>
      </c>
      <c r="BB148" s="553">
        <f t="shared" si="40"/>
        <v>4.3587292248860159</v>
      </c>
      <c r="BC148" s="553">
        <f t="shared" si="32"/>
        <v>5.6435061464457466</v>
      </c>
      <c r="BD148" s="553">
        <f t="shared" si="33"/>
        <v>1.1351520938480428</v>
      </c>
      <c r="BE148" s="538">
        <f t="shared" si="34"/>
        <v>3.6049432231579535</v>
      </c>
      <c r="BF148" s="538">
        <f t="shared" si="35"/>
        <v>4.5678012023233681</v>
      </c>
      <c r="BG148" s="455">
        <f t="shared" si="36"/>
        <v>1.0865724568001065</v>
      </c>
    </row>
    <row r="149" spans="1:59" ht="15" customHeight="1">
      <c r="A149" s="763">
        <v>2018</v>
      </c>
      <c r="B149" s="775"/>
      <c r="C149" s="752" t="s">
        <v>487</v>
      </c>
      <c r="D149" s="741"/>
      <c r="E149" s="741"/>
      <c r="F149" s="741"/>
      <c r="G149" s="741"/>
      <c r="H149" s="741"/>
      <c r="I149" s="741" t="s">
        <v>341</v>
      </c>
      <c r="J149" s="703" t="s">
        <v>999</v>
      </c>
      <c r="K149" s="769">
        <f>'More Comp Group'!V597*BP8</f>
        <v>313641.40499999997</v>
      </c>
      <c r="L149" s="769">
        <f>'More Comp Group'!W597*BQ8</f>
        <v>256120.63493999999</v>
      </c>
      <c r="M149" s="769">
        <f>'More Comp Group'!X597*BR8</f>
        <v>242416.444452</v>
      </c>
      <c r="N149" s="769">
        <f>'More Comp Group'!Y597*BS8</f>
        <v>227045.730606</v>
      </c>
      <c r="O149" s="769">
        <f>'More Comp Group'!Z597*BT8</f>
        <v>194595.79829800001</v>
      </c>
      <c r="P149" s="769">
        <f>'More Comp Group'!V601*BP8</f>
        <v>30940.288182</v>
      </c>
      <c r="Q149" s="769">
        <f>'More Comp Group'!W601*BQ8</f>
        <v>25720.255364999997</v>
      </c>
      <c r="R149" s="769">
        <f>'More Comp Group'!X601*BR8</f>
        <v>20481.302232999999</v>
      </c>
      <c r="S149" s="769">
        <f>'More Comp Group'!Y601*BS8</f>
        <v>18503.004162000001</v>
      </c>
      <c r="T149" s="769">
        <f>'More Comp Group'!Z601*BT8</f>
        <v>13562.055452000001</v>
      </c>
      <c r="U149" s="769">
        <f>'More Comp Group'!V600*BP8</f>
        <v>106019.639694</v>
      </c>
      <c r="V149" s="769">
        <f>'More Comp Group'!W600*BQ8</f>
        <v>93030.826604999995</v>
      </c>
      <c r="W149" s="769">
        <f>'More Comp Group'!X600*BR8</f>
        <v>86606.392802999995</v>
      </c>
      <c r="X149" s="769">
        <f>'More Comp Group'!Y600*BS8</f>
        <v>58960.475544000001</v>
      </c>
      <c r="Y149" s="769">
        <f>'More Comp Group'!Z600*BT8</f>
        <v>51293.242880000005</v>
      </c>
      <c r="Z149" s="769">
        <f>'More Comp Group'!V595*BP8</f>
        <v>158303.48733899998</v>
      </c>
      <c r="AA149" s="769">
        <f>'More Comp Group'!W595*BQ8</f>
        <v>138129.00743999999</v>
      </c>
      <c r="AB149" s="769">
        <f>'More Comp Group'!X595*BR8</f>
        <v>122734.99925399999</v>
      </c>
      <c r="AC149" s="769">
        <f>'More Comp Group'!Y595*BS8</f>
        <v>93015.656921999995</v>
      </c>
      <c r="AD149" s="769">
        <f>'More Comp Group'!Z595*BT8</f>
        <v>77977.157808000004</v>
      </c>
      <c r="AE149" s="61">
        <f t="shared" si="37"/>
        <v>0.19544918878345824</v>
      </c>
      <c r="AF149" s="61">
        <f t="shared" si="37"/>
        <v>0.18620459121283611</v>
      </c>
      <c r="AG149" s="61">
        <f t="shared" si="37"/>
        <v>0.16687417898307846</v>
      </c>
      <c r="AH149" s="61">
        <f t="shared" si="37"/>
        <v>0.19892354442560178</v>
      </c>
      <c r="AI149" s="61">
        <f t="shared" si="29"/>
        <v>0.17392343903317559</v>
      </c>
      <c r="AJ149" s="61">
        <f t="shared" si="38"/>
        <v>0.63544143955379639</v>
      </c>
      <c r="AK149" s="61">
        <f t="shared" si="38"/>
        <v>0.63329490736692129</v>
      </c>
      <c r="AL149" s="61">
        <f t="shared" si="38"/>
        <v>0.58364767324618816</v>
      </c>
      <c r="AM149" s="61">
        <f t="shared" si="38"/>
        <v>0.60926175354282353</v>
      </c>
      <c r="AN149" s="61">
        <f t="shared" si="30"/>
        <v>0.56916402061480975</v>
      </c>
      <c r="AO149" s="843"/>
      <c r="AP149" s="842"/>
      <c r="AQ149" s="769">
        <f>'More Comp Group'!V605*BP8</f>
        <v>52283.847645000002</v>
      </c>
      <c r="AR149" s="769">
        <f>'More Comp Group'!W605*BQ8</f>
        <v>45098.180834999999</v>
      </c>
      <c r="AS149" s="769">
        <f>'More Comp Group'!X605*BR8</f>
        <v>36128.606451</v>
      </c>
      <c r="AT149" s="769">
        <f>'More Comp Group'!Y605*BS8</f>
        <v>34055.181378000001</v>
      </c>
      <c r="AU149" s="769">
        <f>'More Comp Group'!Z605*BT8</f>
        <v>26683.914928000002</v>
      </c>
      <c r="AV149" s="827">
        <f>'Shareholder funds'!F149</f>
        <v>20972.138374000002</v>
      </c>
      <c r="AW149" s="723">
        <f>'Long Term Debt'!C123*BP8</f>
        <v>19576.227969</v>
      </c>
      <c r="AX149" s="723">
        <f>'Long Term Debt'!D123*BQ8</f>
        <v>20120.744879999998</v>
      </c>
      <c r="AY149" s="723">
        <f>'Long Term Debt'!E123*BR8</f>
        <v>22893.923751999999</v>
      </c>
      <c r="AZ149" s="723">
        <f>'Long Term Debt'!F123*BS8</f>
        <v>70.571004000000002</v>
      </c>
      <c r="BA149" s="723">
        <f>'Long Term Debt'!G123*BT8</f>
        <v>26.392388</v>
      </c>
      <c r="BB149" s="711">
        <f t="shared" si="40"/>
        <v>513.86238532110087</v>
      </c>
      <c r="BC149" s="711">
        <f t="shared" si="32"/>
        <v>262.18989547038331</v>
      </c>
      <c r="BD149" s="711">
        <f t="shared" si="33"/>
        <v>0.89461738646747979</v>
      </c>
      <c r="BE149" s="746">
        <f t="shared" si="34"/>
        <v>338.23525945158616</v>
      </c>
      <c r="BF149" s="746">
        <f t="shared" si="35"/>
        <v>166.42798003010373</v>
      </c>
      <c r="BG149" s="707">
        <f t="shared" si="36"/>
        <v>0.80307950032709896</v>
      </c>
    </row>
    <row r="150" spans="1:59" ht="15" customHeight="1">
      <c r="A150" s="761"/>
      <c r="B150" s="772"/>
      <c r="C150" s="749"/>
      <c r="D150" s="738"/>
      <c r="E150" s="738"/>
      <c r="F150" s="738"/>
      <c r="G150" s="738"/>
      <c r="H150" s="738"/>
      <c r="I150" s="738"/>
      <c r="J150" s="710"/>
      <c r="K150" s="754"/>
      <c r="L150" s="754"/>
      <c r="M150" s="754"/>
      <c r="N150" s="754"/>
      <c r="O150" s="754"/>
      <c r="P150" s="754"/>
      <c r="Q150" s="754"/>
      <c r="R150" s="754"/>
      <c r="S150" s="754"/>
      <c r="T150" s="754"/>
      <c r="U150" s="754"/>
      <c r="V150" s="754"/>
      <c r="W150" s="754"/>
      <c r="X150" s="754"/>
      <c r="Y150" s="754"/>
      <c r="Z150" s="754"/>
      <c r="AA150" s="754"/>
      <c r="AB150" s="754"/>
      <c r="AC150" s="754"/>
      <c r="AD150" s="754"/>
      <c r="AE150" s="765"/>
      <c r="AF150" s="765"/>
      <c r="AG150" s="765"/>
      <c r="AH150" s="765"/>
      <c r="AI150" s="765"/>
      <c r="AJ150" s="765"/>
      <c r="AK150" s="765"/>
      <c r="AL150" s="765"/>
      <c r="AM150" s="765"/>
      <c r="AN150" s="765"/>
      <c r="AO150" s="738"/>
      <c r="AP150" s="738"/>
      <c r="AQ150" s="754"/>
      <c r="AR150" s="754"/>
      <c r="AS150" s="754"/>
      <c r="AT150" s="754"/>
      <c r="AU150" s="754"/>
      <c r="AV150" s="754"/>
      <c r="AW150" s="754"/>
      <c r="AX150" s="754"/>
      <c r="AY150" s="754"/>
      <c r="AZ150" s="754"/>
      <c r="BA150" s="754"/>
      <c r="BB150" s="736"/>
      <c r="BC150" s="736"/>
      <c r="BD150" s="736"/>
      <c r="BE150" s="765"/>
      <c r="BF150" s="765"/>
      <c r="BG150" s="706"/>
    </row>
    <row r="151" spans="1:59" ht="15" customHeight="1">
      <c r="A151" s="773"/>
      <c r="B151" s="776"/>
      <c r="C151" s="750"/>
      <c r="D151" s="104"/>
      <c r="E151" s="104"/>
      <c r="F151" s="104"/>
      <c r="G151" s="104"/>
      <c r="H151" s="104"/>
      <c r="I151" s="104"/>
      <c r="J151" s="542"/>
      <c r="K151" s="739"/>
      <c r="L151" s="739"/>
      <c r="M151" s="739"/>
      <c r="N151" s="739"/>
      <c r="O151" s="739"/>
      <c r="P151" s="739"/>
      <c r="Q151" s="739"/>
      <c r="R151" s="739"/>
      <c r="S151" s="739"/>
      <c r="T151" s="739"/>
      <c r="U151" s="739"/>
      <c r="V151" s="739"/>
      <c r="W151" s="739"/>
      <c r="X151" s="739"/>
      <c r="Y151" s="739"/>
      <c r="Z151" s="739"/>
      <c r="AA151" s="739"/>
      <c r="AB151" s="739"/>
      <c r="AC151" s="739"/>
      <c r="AD151" s="739"/>
      <c r="AE151" s="559"/>
      <c r="AF151" s="559"/>
      <c r="AG151" s="559"/>
      <c r="AH151" s="559"/>
      <c r="AI151" s="559"/>
      <c r="AJ151" s="559"/>
      <c r="AK151" s="559"/>
      <c r="AL151" s="559"/>
      <c r="AM151" s="559"/>
      <c r="AN151" s="559"/>
      <c r="AO151" s="104"/>
      <c r="AP151" s="104"/>
      <c r="AQ151" s="739"/>
      <c r="AR151" s="739"/>
      <c r="AS151" s="739"/>
      <c r="AT151" s="739"/>
      <c r="AU151" s="739"/>
      <c r="AV151" s="739"/>
      <c r="AW151" s="739"/>
      <c r="AX151" s="739"/>
      <c r="AY151" s="739"/>
      <c r="AZ151" s="739"/>
      <c r="BA151" s="739"/>
      <c r="BB151" s="560"/>
      <c r="BC151" s="560"/>
      <c r="BD151" s="560"/>
      <c r="BE151" s="559"/>
      <c r="BF151" s="559"/>
      <c r="BG151" s="558"/>
    </row>
    <row r="152" spans="1:59" ht="15" customHeight="1">
      <c r="A152" s="773"/>
      <c r="B152" s="776"/>
      <c r="C152" s="750"/>
      <c r="D152" s="104"/>
      <c r="E152" s="104"/>
      <c r="F152" s="104"/>
      <c r="G152" s="104"/>
      <c r="H152" s="104"/>
      <c r="I152" s="104"/>
      <c r="J152" s="542"/>
      <c r="K152" s="739"/>
      <c r="L152" s="739"/>
      <c r="M152" s="739"/>
      <c r="N152" s="739"/>
      <c r="O152" s="739"/>
      <c r="P152" s="739"/>
      <c r="Q152" s="739"/>
      <c r="R152" s="739"/>
      <c r="S152" s="739"/>
      <c r="T152" s="739"/>
      <c r="U152" s="739"/>
      <c r="V152" s="739"/>
      <c r="W152" s="739"/>
      <c r="X152" s="739"/>
      <c r="Y152" s="739"/>
      <c r="Z152" s="739"/>
      <c r="AA152" s="739"/>
      <c r="AB152" s="739"/>
      <c r="AC152" s="739"/>
      <c r="AD152" s="739"/>
      <c r="AE152" s="559"/>
      <c r="AF152" s="559"/>
      <c r="AG152" s="559"/>
      <c r="AH152" s="559"/>
      <c r="AI152" s="559"/>
      <c r="AJ152" s="559"/>
      <c r="AK152" s="559"/>
      <c r="AL152" s="559"/>
      <c r="AM152" s="559"/>
      <c r="AN152" s="559"/>
      <c r="AO152" s="104"/>
      <c r="AP152" s="104"/>
      <c r="AQ152" s="739"/>
      <c r="AR152" s="739"/>
      <c r="AS152" s="739"/>
      <c r="AT152" s="739"/>
      <c r="AU152" s="739"/>
      <c r="AV152" s="739"/>
      <c r="AW152" s="739"/>
      <c r="AX152" s="739"/>
      <c r="AY152" s="739"/>
      <c r="AZ152" s="739"/>
      <c r="BA152" s="739"/>
      <c r="BB152" s="560"/>
      <c r="BC152" s="560"/>
      <c r="BD152" s="560"/>
      <c r="BE152" s="559"/>
      <c r="BF152" s="559"/>
      <c r="BG152" s="558"/>
    </row>
    <row r="153" spans="1:59" ht="15" customHeight="1">
      <c r="A153" s="773"/>
      <c r="B153" s="776"/>
      <c r="C153" s="750"/>
      <c r="D153" s="104"/>
      <c r="E153" s="104"/>
      <c r="F153" s="104"/>
      <c r="G153" s="104"/>
      <c r="H153" s="104"/>
      <c r="I153" s="104"/>
      <c r="J153" s="542"/>
      <c r="K153" s="739"/>
      <c r="L153" s="739"/>
      <c r="M153" s="739"/>
      <c r="N153" s="739"/>
      <c r="O153" s="739"/>
      <c r="P153" s="739"/>
      <c r="Q153" s="739"/>
      <c r="R153" s="739"/>
      <c r="S153" s="739"/>
      <c r="T153" s="739"/>
      <c r="U153" s="739"/>
      <c r="V153" s="739"/>
      <c r="W153" s="739"/>
      <c r="X153" s="739"/>
      <c r="Y153" s="739"/>
      <c r="Z153" s="739"/>
      <c r="AA153" s="739"/>
      <c r="AB153" s="739"/>
      <c r="AC153" s="739"/>
      <c r="AD153" s="739"/>
      <c r="AE153" s="559"/>
      <c r="AF153" s="559"/>
      <c r="AG153" s="559"/>
      <c r="AH153" s="559"/>
      <c r="AI153" s="559"/>
      <c r="AJ153" s="559"/>
      <c r="AK153" s="559"/>
      <c r="AL153" s="559"/>
      <c r="AM153" s="559"/>
      <c r="AN153" s="559"/>
      <c r="AO153" s="104"/>
      <c r="AP153" s="104"/>
      <c r="AQ153" s="739"/>
      <c r="AR153" s="739"/>
      <c r="AS153" s="739"/>
      <c r="AT153" s="739"/>
      <c r="AU153" s="739"/>
      <c r="AV153" s="739"/>
      <c r="AW153" s="739"/>
      <c r="AX153" s="739"/>
      <c r="AY153" s="739"/>
      <c r="AZ153" s="739"/>
      <c r="BA153" s="739"/>
      <c r="BB153" s="560"/>
      <c r="BC153" s="560"/>
      <c r="BD153" s="560"/>
      <c r="BE153" s="559"/>
      <c r="BF153" s="559"/>
      <c r="BG153" s="558"/>
    </row>
    <row r="154" spans="1:59" ht="15" customHeight="1">
      <c r="A154" s="773"/>
      <c r="B154" s="776"/>
      <c r="C154" s="750"/>
      <c r="D154" s="104"/>
      <c r="E154" s="104"/>
      <c r="F154" s="104"/>
      <c r="G154" s="104"/>
      <c r="H154" s="104"/>
      <c r="I154" s="104"/>
      <c r="J154" s="542"/>
      <c r="K154" s="739"/>
      <c r="L154" s="739"/>
      <c r="M154" s="739"/>
      <c r="N154" s="739"/>
      <c r="O154" s="739"/>
      <c r="P154" s="739"/>
      <c r="Q154" s="739"/>
      <c r="R154" s="739"/>
      <c r="S154" s="739"/>
      <c r="T154" s="739"/>
      <c r="U154" s="739"/>
      <c r="V154" s="739"/>
      <c r="W154" s="739"/>
      <c r="X154" s="739"/>
      <c r="Y154" s="739"/>
      <c r="Z154" s="739"/>
      <c r="AA154" s="739"/>
      <c r="AB154" s="739"/>
      <c r="AC154" s="739"/>
      <c r="AD154" s="739"/>
      <c r="AE154" s="559"/>
      <c r="AF154" s="559"/>
      <c r="AG154" s="559"/>
      <c r="AH154" s="559"/>
      <c r="AI154" s="559"/>
      <c r="AJ154" s="559"/>
      <c r="AK154" s="559"/>
      <c r="AL154" s="559"/>
      <c r="AM154" s="559"/>
      <c r="AN154" s="559"/>
      <c r="AO154" s="104"/>
      <c r="AP154" s="104"/>
      <c r="AQ154" s="739"/>
      <c r="AR154" s="739"/>
      <c r="AS154" s="739"/>
      <c r="AT154" s="739"/>
      <c r="AU154" s="739"/>
      <c r="AV154" s="739"/>
      <c r="AW154" s="739"/>
      <c r="AX154" s="739"/>
      <c r="AY154" s="739"/>
      <c r="AZ154" s="739"/>
      <c r="BA154" s="739"/>
      <c r="BB154" s="560"/>
      <c r="BC154" s="560"/>
      <c r="BD154" s="560"/>
      <c r="BE154" s="559"/>
      <c r="BF154" s="559"/>
      <c r="BG154" s="558"/>
    </row>
    <row r="155" spans="1:59" ht="15" customHeight="1">
      <c r="A155" s="773"/>
      <c r="B155" s="776"/>
      <c r="C155" s="750"/>
      <c r="D155" s="104"/>
      <c r="E155" s="104"/>
      <c r="F155" s="104"/>
      <c r="G155" s="104"/>
      <c r="H155" s="104"/>
      <c r="I155" s="104"/>
      <c r="J155" s="542"/>
      <c r="K155" s="739"/>
      <c r="L155" s="739"/>
      <c r="M155" s="739"/>
      <c r="N155" s="739"/>
      <c r="O155" s="739"/>
      <c r="P155" s="739"/>
      <c r="Q155" s="739"/>
      <c r="R155" s="739"/>
      <c r="S155" s="739"/>
      <c r="T155" s="739"/>
      <c r="U155" s="739"/>
      <c r="V155" s="739"/>
      <c r="W155" s="739"/>
      <c r="X155" s="739"/>
      <c r="Y155" s="739"/>
      <c r="Z155" s="739"/>
      <c r="AA155" s="739"/>
      <c r="AB155" s="739"/>
      <c r="AC155" s="739"/>
      <c r="AD155" s="739"/>
      <c r="AE155" s="559"/>
      <c r="AF155" s="559"/>
      <c r="AG155" s="559"/>
      <c r="AH155" s="559"/>
      <c r="AI155" s="559"/>
      <c r="AJ155" s="559"/>
      <c r="AK155" s="559"/>
      <c r="AL155" s="559"/>
      <c r="AM155" s="559"/>
      <c r="AN155" s="559"/>
      <c r="AO155" s="104"/>
      <c r="AP155" s="104"/>
      <c r="AQ155" s="739"/>
      <c r="AR155" s="739"/>
      <c r="AS155" s="739"/>
      <c r="AT155" s="739"/>
      <c r="AU155" s="739"/>
      <c r="AV155" s="739"/>
      <c r="AW155" s="739"/>
      <c r="AX155" s="739"/>
      <c r="AY155" s="739"/>
      <c r="AZ155" s="739"/>
      <c r="BA155" s="739"/>
      <c r="BB155" s="560"/>
      <c r="BC155" s="560"/>
      <c r="BD155" s="560"/>
      <c r="BE155" s="559"/>
      <c r="BF155" s="559"/>
      <c r="BG155" s="558"/>
    </row>
    <row r="156" spans="1:59" ht="15" customHeight="1">
      <c r="A156" s="773"/>
      <c r="B156" s="776"/>
      <c r="C156" s="750"/>
      <c r="D156" s="104"/>
      <c r="E156" s="104"/>
      <c r="F156" s="104"/>
      <c r="G156" s="104"/>
      <c r="H156" s="104"/>
      <c r="I156" s="104"/>
      <c r="J156" s="542"/>
      <c r="K156" s="739"/>
      <c r="L156" s="739"/>
      <c r="M156" s="739"/>
      <c r="N156" s="739"/>
      <c r="O156" s="739"/>
      <c r="P156" s="739"/>
      <c r="Q156" s="739"/>
      <c r="R156" s="739"/>
      <c r="S156" s="739"/>
      <c r="T156" s="739"/>
      <c r="U156" s="739"/>
      <c r="V156" s="739"/>
      <c r="W156" s="739"/>
      <c r="X156" s="739"/>
      <c r="Y156" s="739"/>
      <c r="Z156" s="739"/>
      <c r="AA156" s="739"/>
      <c r="AB156" s="739"/>
      <c r="AC156" s="739"/>
      <c r="AD156" s="739"/>
      <c r="AE156" s="559"/>
      <c r="AF156" s="559"/>
      <c r="AG156" s="559"/>
      <c r="AH156" s="559"/>
      <c r="AI156" s="559"/>
      <c r="AJ156" s="559"/>
      <c r="AK156" s="559"/>
      <c r="AL156" s="559"/>
      <c r="AM156" s="559"/>
      <c r="AN156" s="559"/>
      <c r="AO156" s="104"/>
      <c r="AP156" s="104"/>
      <c r="AQ156" s="739"/>
      <c r="AR156" s="739"/>
      <c r="AS156" s="739"/>
      <c r="AT156" s="739"/>
      <c r="AU156" s="739"/>
      <c r="AV156" s="739"/>
      <c r="AW156" s="739"/>
      <c r="AX156" s="739"/>
      <c r="AY156" s="739"/>
      <c r="AZ156" s="739"/>
      <c r="BA156" s="739"/>
      <c r="BB156" s="560"/>
      <c r="BC156" s="560"/>
      <c r="BD156" s="560"/>
      <c r="BE156" s="559"/>
      <c r="BF156" s="559"/>
      <c r="BG156" s="558"/>
    </row>
    <row r="157" spans="1:59" ht="15" customHeight="1">
      <c r="A157" s="773"/>
      <c r="B157" s="776"/>
      <c r="C157" s="750"/>
      <c r="D157" s="104"/>
      <c r="E157" s="104"/>
      <c r="F157" s="104"/>
      <c r="G157" s="104"/>
      <c r="H157" s="104"/>
      <c r="I157" s="104"/>
      <c r="J157" s="542"/>
      <c r="K157" s="739"/>
      <c r="L157" s="739"/>
      <c r="M157" s="739"/>
      <c r="N157" s="739"/>
      <c r="O157" s="739"/>
      <c r="P157" s="739"/>
      <c r="Q157" s="739"/>
      <c r="R157" s="739"/>
      <c r="S157" s="739"/>
      <c r="T157" s="739"/>
      <c r="U157" s="739"/>
      <c r="V157" s="739"/>
      <c r="W157" s="739"/>
      <c r="X157" s="739"/>
      <c r="Y157" s="739"/>
      <c r="Z157" s="739"/>
      <c r="AA157" s="739"/>
      <c r="AB157" s="739"/>
      <c r="AC157" s="739"/>
      <c r="AD157" s="739"/>
      <c r="AE157" s="559"/>
      <c r="AF157" s="559"/>
      <c r="AG157" s="559"/>
      <c r="AH157" s="559"/>
      <c r="AI157" s="559"/>
      <c r="AJ157" s="559"/>
      <c r="AK157" s="559"/>
      <c r="AL157" s="559"/>
      <c r="AM157" s="559"/>
      <c r="AN157" s="559"/>
      <c r="AO157" s="104"/>
      <c r="AP157" s="104"/>
      <c r="AQ157" s="739"/>
      <c r="AR157" s="739"/>
      <c r="AS157" s="739"/>
      <c r="AT157" s="739"/>
      <c r="AU157" s="739"/>
      <c r="AV157" s="739"/>
      <c r="AW157" s="739"/>
      <c r="AX157" s="739"/>
      <c r="AY157" s="739"/>
      <c r="AZ157" s="739"/>
      <c r="BA157" s="739"/>
      <c r="BB157" s="560"/>
      <c r="BC157" s="560"/>
      <c r="BD157" s="560"/>
      <c r="BE157" s="559"/>
      <c r="BF157" s="559"/>
      <c r="BG157" s="558"/>
    </row>
    <row r="158" spans="1:59" ht="15" customHeight="1">
      <c r="A158" s="773"/>
      <c r="B158" s="776"/>
      <c r="C158" s="750"/>
      <c r="D158" s="104"/>
      <c r="E158" s="104"/>
      <c r="F158" s="104"/>
      <c r="G158" s="104"/>
      <c r="H158" s="104"/>
      <c r="I158" s="104"/>
      <c r="J158" s="542"/>
      <c r="K158" s="739"/>
      <c r="L158" s="739"/>
      <c r="M158" s="739"/>
      <c r="N158" s="739"/>
      <c r="O158" s="739"/>
      <c r="P158" s="739"/>
      <c r="Q158" s="739"/>
      <c r="R158" s="739"/>
      <c r="S158" s="739"/>
      <c r="T158" s="739"/>
      <c r="U158" s="739"/>
      <c r="V158" s="739"/>
      <c r="W158" s="739"/>
      <c r="X158" s="739"/>
      <c r="Y158" s="739"/>
      <c r="Z158" s="739"/>
      <c r="AA158" s="739"/>
      <c r="AB158" s="739"/>
      <c r="AC158" s="739"/>
      <c r="AD158" s="739"/>
      <c r="AE158" s="559"/>
      <c r="AF158" s="559"/>
      <c r="AG158" s="559"/>
      <c r="AH158" s="559"/>
      <c r="AI158" s="559"/>
      <c r="AJ158" s="559"/>
      <c r="AK158" s="559"/>
      <c r="AL158" s="559"/>
      <c r="AM158" s="559"/>
      <c r="AN158" s="559"/>
      <c r="AO158" s="104"/>
      <c r="AP158" s="104"/>
      <c r="AQ158" s="739"/>
      <c r="AR158" s="739"/>
      <c r="AS158" s="739"/>
      <c r="AT158" s="739"/>
      <c r="AU158" s="739"/>
      <c r="AV158" s="739"/>
      <c r="AW158" s="739"/>
      <c r="AX158" s="739"/>
      <c r="AY158" s="739"/>
      <c r="AZ158" s="739"/>
      <c r="BA158" s="739"/>
      <c r="BB158" s="560"/>
      <c r="BC158" s="560"/>
      <c r="BD158" s="560"/>
      <c r="BE158" s="559"/>
      <c r="BF158" s="559"/>
      <c r="BG158" s="558"/>
    </row>
    <row r="159" spans="1:59" ht="15" customHeight="1">
      <c r="A159" s="773"/>
      <c r="B159" s="776"/>
      <c r="C159" s="750"/>
      <c r="D159" s="104"/>
      <c r="E159" s="104"/>
      <c r="F159" s="104"/>
      <c r="G159" s="104"/>
      <c r="H159" s="104"/>
      <c r="I159" s="104"/>
      <c r="J159" s="542"/>
      <c r="K159" s="739"/>
      <c r="L159" s="739"/>
      <c r="M159" s="739"/>
      <c r="N159" s="739"/>
      <c r="O159" s="739"/>
      <c r="P159" s="739"/>
      <c r="Q159" s="739"/>
      <c r="R159" s="739"/>
      <c r="S159" s="739"/>
      <c r="T159" s="739"/>
      <c r="U159" s="739"/>
      <c r="V159" s="739"/>
      <c r="W159" s="739"/>
      <c r="X159" s="739"/>
      <c r="Y159" s="739"/>
      <c r="Z159" s="739"/>
      <c r="AA159" s="739"/>
      <c r="AB159" s="739"/>
      <c r="AC159" s="739"/>
      <c r="AD159" s="739"/>
      <c r="AE159" s="559"/>
      <c r="AF159" s="559"/>
      <c r="AG159" s="559"/>
      <c r="AH159" s="559"/>
      <c r="AI159" s="559"/>
      <c r="AJ159" s="559"/>
      <c r="AK159" s="559"/>
      <c r="AL159" s="559"/>
      <c r="AM159" s="559"/>
      <c r="AN159" s="559"/>
      <c r="AO159" s="104"/>
      <c r="AP159" s="104"/>
      <c r="AQ159" s="739"/>
      <c r="AR159" s="739"/>
      <c r="AS159" s="739"/>
      <c r="AT159" s="739"/>
      <c r="AU159" s="739"/>
      <c r="AV159" s="739"/>
      <c r="AW159" s="739"/>
      <c r="AX159" s="739"/>
      <c r="AY159" s="739"/>
      <c r="AZ159" s="739"/>
      <c r="BA159" s="739"/>
      <c r="BB159" s="560"/>
      <c r="BC159" s="560"/>
      <c r="BD159" s="560"/>
      <c r="BE159" s="559"/>
      <c r="BF159" s="559"/>
      <c r="BG159" s="558"/>
    </row>
    <row r="160" spans="1:59" ht="15" customHeight="1">
      <c r="A160" s="539"/>
      <c r="B160" s="539"/>
      <c r="C160" s="194"/>
      <c r="D160" s="209"/>
      <c r="E160" s="209"/>
      <c r="F160" s="209"/>
      <c r="G160" s="209"/>
      <c r="H160" s="209"/>
      <c r="I160" s="194"/>
      <c r="J160" s="542"/>
      <c r="K160" s="540"/>
      <c r="L160" s="540"/>
      <c r="M160" s="540"/>
      <c r="N160" s="540"/>
      <c r="O160" s="540"/>
      <c r="P160" s="540"/>
      <c r="Q160" s="540"/>
      <c r="R160" s="540"/>
      <c r="S160" s="540"/>
      <c r="T160" s="540"/>
      <c r="U160" s="337"/>
      <c r="V160" s="337"/>
      <c r="W160" s="337"/>
      <c r="X160" s="337"/>
      <c r="Y160" s="337"/>
      <c r="Z160" s="337"/>
      <c r="AA160" s="337"/>
      <c r="AB160" s="337"/>
      <c r="AC160" s="337"/>
      <c r="AD160" s="337"/>
      <c r="AE160" s="541"/>
      <c r="AF160" s="541"/>
      <c r="AG160" s="541"/>
      <c r="AH160" s="541"/>
      <c r="AI160" s="541"/>
      <c r="AJ160" s="541"/>
      <c r="AK160" s="541"/>
      <c r="AL160" s="541"/>
      <c r="AM160" s="541"/>
      <c r="AN160" s="541"/>
      <c r="AO160" s="104"/>
      <c r="AP160" s="104"/>
      <c r="AQ160" s="337"/>
      <c r="AR160" s="337"/>
      <c r="AS160" s="337"/>
      <c r="AT160" s="337"/>
      <c r="AU160" s="337"/>
      <c r="AV160" s="337"/>
      <c r="AW160" s="554"/>
      <c r="AX160" s="554"/>
      <c r="AY160" s="554"/>
      <c r="AZ160" s="554"/>
      <c r="BA160" s="554"/>
      <c r="BB160" s="560"/>
      <c r="BC160" s="560"/>
      <c r="BD160" s="560"/>
      <c r="BE160" s="559"/>
      <c r="BF160" s="559"/>
      <c r="BG160" s="558"/>
    </row>
    <row r="161" spans="1:59" ht="15" customHeight="1">
      <c r="A161" s="920" t="s">
        <v>559</v>
      </c>
      <c r="B161" s="921"/>
      <c r="C161" s="921"/>
      <c r="D161" s="921"/>
      <c r="E161" s="921"/>
      <c r="F161" s="921"/>
      <c r="G161" s="921"/>
      <c r="H161" s="921"/>
      <c r="I161" s="921"/>
      <c r="J161" s="922"/>
      <c r="K161" s="929" t="s">
        <v>108</v>
      </c>
      <c r="L161" s="929"/>
      <c r="M161" s="929"/>
      <c r="N161" s="929"/>
      <c r="O161" s="929"/>
      <c r="P161" s="930" t="s">
        <v>110</v>
      </c>
      <c r="Q161" s="930"/>
      <c r="R161" s="930"/>
      <c r="S161" s="930"/>
      <c r="T161" s="930"/>
      <c r="U161" s="933" t="s">
        <v>109</v>
      </c>
      <c r="V161" s="933"/>
      <c r="W161" s="933"/>
      <c r="X161" s="933"/>
      <c r="Y161" s="933"/>
      <c r="Z161" s="931" t="s">
        <v>111</v>
      </c>
      <c r="AA161" s="931"/>
      <c r="AB161" s="931"/>
      <c r="AC161" s="931"/>
      <c r="AD161" s="931"/>
      <c r="AE161" s="548"/>
      <c r="AF161" s="955" t="s">
        <v>113</v>
      </c>
      <c r="AG161" s="956"/>
      <c r="AH161" s="838"/>
      <c r="AI161" s="838"/>
      <c r="AJ161" s="549"/>
      <c r="AK161" s="957" t="s">
        <v>114</v>
      </c>
      <c r="AL161" s="958"/>
      <c r="AM161" s="953" t="s">
        <v>115</v>
      </c>
      <c r="AN161" s="954"/>
      <c r="AO161" s="951" t="s">
        <v>1103</v>
      </c>
      <c r="AP161" s="952"/>
      <c r="AQ161" s="932" t="s">
        <v>105</v>
      </c>
      <c r="AR161" s="932"/>
      <c r="AS161" s="932"/>
      <c r="AT161" s="932"/>
      <c r="AU161" s="932"/>
      <c r="AV161" s="836"/>
      <c r="AW161" s="926" t="s">
        <v>563</v>
      </c>
      <c r="AX161" s="927"/>
      <c r="AY161" s="927"/>
      <c r="AZ161" s="927"/>
      <c r="BA161" s="928"/>
      <c r="BB161" s="917" t="s">
        <v>565</v>
      </c>
      <c r="BC161" s="918"/>
      <c r="BD161" s="918"/>
      <c r="BE161" s="919" t="s">
        <v>564</v>
      </c>
      <c r="BF161" s="919"/>
      <c r="BG161" s="919"/>
    </row>
    <row r="162" spans="1:59" ht="15" customHeight="1">
      <c r="A162" s="923"/>
      <c r="B162" s="924"/>
      <c r="C162" s="924"/>
      <c r="D162" s="924"/>
      <c r="E162" s="924"/>
      <c r="F162" s="924"/>
      <c r="G162" s="924"/>
      <c r="H162" s="924"/>
      <c r="I162" s="924"/>
      <c r="J162" s="925"/>
      <c r="K162" s="52" t="s">
        <v>117</v>
      </c>
      <c r="L162" s="52" t="s">
        <v>118</v>
      </c>
      <c r="M162" s="52" t="s">
        <v>119</v>
      </c>
      <c r="N162" s="52" t="s">
        <v>120</v>
      </c>
      <c r="O162" s="52" t="s">
        <v>121</v>
      </c>
      <c r="P162" s="545" t="s">
        <v>122</v>
      </c>
      <c r="Q162" s="545" t="s">
        <v>123</v>
      </c>
      <c r="R162" s="545" t="s">
        <v>124</v>
      </c>
      <c r="S162" s="545" t="s">
        <v>125</v>
      </c>
      <c r="T162" s="545" t="s">
        <v>126</v>
      </c>
      <c r="U162" s="546" t="s">
        <v>127</v>
      </c>
      <c r="V162" s="546" t="s">
        <v>128</v>
      </c>
      <c r="W162" s="546" t="s">
        <v>129</v>
      </c>
      <c r="X162" s="546" t="s">
        <v>130</v>
      </c>
      <c r="Y162" s="546" t="s">
        <v>131</v>
      </c>
      <c r="Z162" s="547" t="s">
        <v>132</v>
      </c>
      <c r="AA162" s="547" t="s">
        <v>133</v>
      </c>
      <c r="AB162" s="547" t="s">
        <v>134</v>
      </c>
      <c r="AC162" s="547" t="s">
        <v>135</v>
      </c>
      <c r="AD162" s="547" t="s">
        <v>136</v>
      </c>
      <c r="AE162" s="548"/>
      <c r="AF162" s="838" t="s">
        <v>1100</v>
      </c>
      <c r="AG162" s="838" t="s">
        <v>1101</v>
      </c>
      <c r="AH162" s="548"/>
      <c r="AI162" s="548"/>
      <c r="AJ162" s="549"/>
      <c r="AK162" s="839" t="s">
        <v>1098</v>
      </c>
      <c r="AL162" s="839" t="s">
        <v>1099</v>
      </c>
      <c r="AM162" s="64" t="s">
        <v>1104</v>
      </c>
      <c r="AN162" s="64" t="s">
        <v>1105</v>
      </c>
      <c r="AO162" s="847" t="s">
        <v>1106</v>
      </c>
      <c r="AP162" s="847" t="s">
        <v>1107</v>
      </c>
      <c r="AQ162" s="58" t="s">
        <v>107</v>
      </c>
      <c r="AR162" s="58" t="s">
        <v>106</v>
      </c>
      <c r="AS162" s="58" t="s">
        <v>104</v>
      </c>
      <c r="AT162" s="58" t="s">
        <v>103</v>
      </c>
      <c r="AU162" s="58" t="s">
        <v>102</v>
      </c>
      <c r="AV162" s="58"/>
      <c r="AW162" s="516" t="s">
        <v>89</v>
      </c>
      <c r="AX162" s="516" t="s">
        <v>88</v>
      </c>
      <c r="AY162" s="516" t="s">
        <v>87</v>
      </c>
      <c r="AZ162" s="516" t="s">
        <v>86</v>
      </c>
      <c r="BA162" s="516" t="s">
        <v>85</v>
      </c>
      <c r="BB162" s="557" t="s">
        <v>566</v>
      </c>
      <c r="BC162" s="557" t="s">
        <v>567</v>
      </c>
      <c r="BD162" s="557" t="s">
        <v>568</v>
      </c>
      <c r="BE162" s="519" t="s">
        <v>99</v>
      </c>
      <c r="BF162" s="519" t="s">
        <v>100</v>
      </c>
      <c r="BG162" s="519" t="s">
        <v>101</v>
      </c>
    </row>
    <row r="163" spans="1:59" ht="15" customHeight="1">
      <c r="A163" s="449">
        <v>2015</v>
      </c>
      <c r="B163" s="449"/>
      <c r="C163" s="449"/>
      <c r="D163" s="441"/>
      <c r="E163" s="441"/>
      <c r="F163" s="441"/>
      <c r="G163" s="441"/>
      <c r="H163" s="441"/>
      <c r="I163" s="441"/>
      <c r="J163" s="436" t="s">
        <v>73</v>
      </c>
      <c r="K163" s="543">
        <f t="shared" ref="K163:O172" si="41">LN(K3)</f>
        <v>10.064925898413659</v>
      </c>
      <c r="L163" s="543">
        <f t="shared" si="41"/>
        <v>9.7366652591890972</v>
      </c>
      <c r="M163" s="543">
        <f t="shared" si="41"/>
        <v>9.6537433194247395</v>
      </c>
      <c r="N163" s="543">
        <f t="shared" si="41"/>
        <v>9.9363902722118365</v>
      </c>
      <c r="O163" s="543">
        <f t="shared" si="41"/>
        <v>11.28924426915111</v>
      </c>
      <c r="P163" s="550">
        <f t="shared" ref="P163:P206" si="42">P3/K3</f>
        <v>-0.30513955071477195</v>
      </c>
      <c r="Q163" s="550">
        <f t="shared" ref="Q163:Q206" si="43">Q3/L3</f>
        <v>-0.33609026998286762</v>
      </c>
      <c r="R163" s="550">
        <f t="shared" ref="R163:R206" si="44">R3/M3</f>
        <v>-0.30449293966623875</v>
      </c>
      <c r="S163" s="550">
        <f t="shared" ref="S163:S206" si="45">S3/N3</f>
        <v>0.26716338477913781</v>
      </c>
      <c r="T163" s="550">
        <f t="shared" ref="T163:T206" si="46">T3/O3</f>
        <v>1.8047200370198982E-2</v>
      </c>
      <c r="U163" s="551">
        <f>U3/Z3</f>
        <v>1.3533982567798992</v>
      </c>
      <c r="V163" s="551">
        <f t="shared" ref="V163:V206" si="47">V3/AA3</f>
        <v>1.1491460079795579</v>
      </c>
      <c r="W163" s="551">
        <f t="shared" ref="W163:W206" si="48">W3/AB3</f>
        <v>1.0195439079714841</v>
      </c>
      <c r="X163" s="551">
        <f t="shared" ref="X163:X206" si="49">X3/AC3</f>
        <v>0.93768345371194883</v>
      </c>
      <c r="Y163" s="551">
        <f t="shared" ref="Y163:Y206" si="50">Y3/AD3</f>
        <v>1.1390873941235764</v>
      </c>
      <c r="Z163" s="551">
        <f t="shared" ref="Z163:Z206" si="51">K3/Z3</f>
        <v>0.60077192444342198</v>
      </c>
      <c r="AA163" s="551">
        <f t="shared" ref="AA163:AA206" si="52">L3/AA3</f>
        <v>0.37941005065674455</v>
      </c>
      <c r="AB163" s="551">
        <f t="shared" ref="AB163:AB206" si="53">M3/AB3</f>
        <v>0.31553791315618923</v>
      </c>
      <c r="AC163" s="551">
        <f t="shared" ref="AC163:AC206" si="54">N3/AC3</f>
        <v>0.34083638402427363</v>
      </c>
      <c r="AD163" s="551">
        <f t="shared" ref="AD163:AD206" si="55">O3/AD3</f>
        <v>1.2029216627299943</v>
      </c>
      <c r="AE163" s="61"/>
      <c r="AF163" s="61">
        <f>AG3-AI3</f>
        <v>-0.11778843503001955</v>
      </c>
      <c r="AG163" s="61">
        <f>AE3-AI3</f>
        <v>-0.20502864338365584</v>
      </c>
      <c r="AH163" s="61"/>
      <c r="AI163" s="61"/>
      <c r="AJ163" s="61"/>
      <c r="AK163" s="61">
        <f>AL3-AN3</f>
        <v>-3.2289687748249132</v>
      </c>
      <c r="AL163" s="61">
        <f>AJ3-AN3</f>
        <v>0.84313471442526466</v>
      </c>
      <c r="AM163" s="844">
        <f>LN(M3/O3)</f>
        <v>-1.6355009497263711</v>
      </c>
      <c r="AN163" s="846">
        <f>LN(K3/O3)</f>
        <v>-1.2243183707374519</v>
      </c>
      <c r="AO163" s="552">
        <f>W163-Y163</f>
        <v>-0.11954348615209232</v>
      </c>
      <c r="AP163" s="552">
        <f>U163-Y163</f>
        <v>0.21431086265632282</v>
      </c>
      <c r="AQ163" s="443">
        <f t="shared" ref="AQ163:BG163" si="56">AQ3</f>
        <v>-13826</v>
      </c>
      <c r="AR163" s="443">
        <f t="shared" si="56"/>
        <v>-6654</v>
      </c>
      <c r="AS163" s="443">
        <f t="shared" si="56"/>
        <v>-965</v>
      </c>
      <c r="AT163" s="443">
        <f t="shared" si="56"/>
        <v>3779</v>
      </c>
      <c r="AU163" s="443">
        <f t="shared" si="56"/>
        <v>-9245</v>
      </c>
      <c r="AV163" s="443"/>
      <c r="AW163" s="443">
        <f t="shared" si="56"/>
        <v>42791</v>
      </c>
      <c r="AX163" s="443">
        <f t="shared" si="56"/>
        <v>42995</v>
      </c>
      <c r="AY163" s="443">
        <f t="shared" si="56"/>
        <v>41491</v>
      </c>
      <c r="AZ163" s="443">
        <f t="shared" si="56"/>
        <v>44854</v>
      </c>
      <c r="BA163" s="443">
        <f t="shared" si="56"/>
        <v>6224</v>
      </c>
      <c r="BB163" s="553">
        <f t="shared" si="56"/>
        <v>0.23184447300771208</v>
      </c>
      <c r="BC163" s="553">
        <f t="shared" si="56"/>
        <v>0.1231105364070094</v>
      </c>
      <c r="BD163" s="553">
        <f t="shared" si="56"/>
        <v>-0.11433804921549251</v>
      </c>
      <c r="BE163" s="538">
        <f t="shared" si="56"/>
        <v>0.16667560970047557</v>
      </c>
      <c r="BF163" s="538">
        <f t="shared" si="56"/>
        <v>0.20850048795863874</v>
      </c>
      <c r="BG163" s="538">
        <f t="shared" si="56"/>
        <v>-5.0676215601824517E-2</v>
      </c>
    </row>
    <row r="164" spans="1:59" ht="15" customHeight="1">
      <c r="A164" s="449">
        <v>2014</v>
      </c>
      <c r="B164" s="449"/>
      <c r="C164" s="449"/>
      <c r="D164" s="441"/>
      <c r="E164" s="441"/>
      <c r="F164" s="441"/>
      <c r="G164" s="441"/>
      <c r="H164" s="441"/>
      <c r="I164" s="441"/>
      <c r="J164" s="437" t="s">
        <v>137</v>
      </c>
      <c r="K164" s="543">
        <f t="shared" si="41"/>
        <v>12.464517973935184</v>
      </c>
      <c r="L164" s="543">
        <f t="shared" si="41"/>
        <v>12.470022296944883</v>
      </c>
      <c r="M164" s="543">
        <f t="shared" si="41"/>
        <v>12.534652189576713</v>
      </c>
      <c r="N164" s="543">
        <f t="shared" si="41"/>
        <v>12.47265467665655</v>
      </c>
      <c r="O164" s="543">
        <f t="shared" si="41"/>
        <v>12.656670958260683</v>
      </c>
      <c r="P164" s="550">
        <f t="shared" si="42"/>
        <v>0.11940405906922552</v>
      </c>
      <c r="Q164" s="550">
        <f t="shared" si="43"/>
        <v>3.6440486182017055E-3</v>
      </c>
      <c r="R164" s="550">
        <f t="shared" si="44"/>
        <v>9.3036425898920624E-2</v>
      </c>
      <c r="S164" s="550">
        <f t="shared" si="45"/>
        <v>8.0925686803627772E-2</v>
      </c>
      <c r="T164" s="550">
        <f t="shared" si="46"/>
        <v>3.2099209258524455E-2</v>
      </c>
      <c r="U164" s="551">
        <f t="shared" ref="U164:U206" si="57">U4/Z4</f>
        <v>0.57425481252415456</v>
      </c>
      <c r="V164" s="551">
        <f t="shared" si="47"/>
        <v>0.67308239688807103</v>
      </c>
      <c r="W164" s="551">
        <f t="shared" si="48"/>
        <v>0.77226484186284527</v>
      </c>
      <c r="X164" s="551">
        <f t="shared" si="49"/>
        <v>0.33557482428806817</v>
      </c>
      <c r="Y164" s="551">
        <f t="shared" si="50"/>
        <v>0.29380286431574559</v>
      </c>
      <c r="Z164" s="551">
        <f t="shared" si="51"/>
        <v>0.83256898257912659</v>
      </c>
      <c r="AA164" s="551">
        <f t="shared" si="52"/>
        <v>0.8770756374920009</v>
      </c>
      <c r="AB164" s="551">
        <f t="shared" si="53"/>
        <v>0.99972197823146658</v>
      </c>
      <c r="AC164" s="551">
        <f t="shared" si="54"/>
        <v>0.87130855403691143</v>
      </c>
      <c r="AD164" s="551">
        <f t="shared" si="55"/>
        <v>0.93310310205878966</v>
      </c>
      <c r="AE164" s="61"/>
      <c r="AF164" s="61">
        <f t="shared" ref="AF164:AF206" si="58">AG4-AI4</f>
        <v>6.3058688014490799E-2</v>
      </c>
      <c r="AG164" s="61">
        <f t="shared" ref="AG164:AG206" si="59">AE4-AI4</f>
        <v>6.9460244242319641E-2</v>
      </c>
      <c r="AH164" s="61"/>
      <c r="AI164" s="61"/>
      <c r="AJ164" s="61"/>
      <c r="AK164" s="61">
        <f t="shared" ref="AK164:AK206" si="60">AL4-AJ4</f>
        <v>-7.2483994532662493E-2</v>
      </c>
      <c r="AL164" s="61">
        <f t="shared" ref="AL164:AL206" si="61">AJ4-AN4</f>
        <v>0.230188911734032</v>
      </c>
      <c r="AM164" s="844">
        <f t="shared" ref="AM164:AM206" si="62">LN(M4/O4)</f>
        <v>-0.12201876868397027</v>
      </c>
      <c r="AN164" s="846">
        <f t="shared" ref="AN164:AN206" si="63">LN(K4/O4)</f>
        <v>-0.19215298432549888</v>
      </c>
      <c r="AO164" s="552">
        <f t="shared" ref="AO164:AO206" si="64">W164-Y164</f>
        <v>0.47846197754709968</v>
      </c>
      <c r="AP164" s="552">
        <f t="shared" ref="AP164:AP206" si="65">U164-Y164</f>
        <v>0.28045194820840896</v>
      </c>
      <c r="AQ164" s="443">
        <f t="shared" ref="AQ164:BG164" si="66">AQ4</f>
        <v>132434.836148545</v>
      </c>
      <c r="AR164" s="443">
        <f t="shared" si="66"/>
        <v>97065.3126754314</v>
      </c>
      <c r="AS164" s="443">
        <f t="shared" si="66"/>
        <v>63282.631777524897</v>
      </c>
      <c r="AT164" s="443">
        <f t="shared" si="66"/>
        <v>199103.50843535399</v>
      </c>
      <c r="AU164" s="443">
        <f t="shared" si="66"/>
        <v>237529.76747158199</v>
      </c>
      <c r="AV164" s="443"/>
      <c r="AW164" s="443">
        <f t="shared" si="66"/>
        <v>8047.86848848313</v>
      </c>
      <c r="AX164" s="443">
        <f t="shared" si="66"/>
        <v>7355.5684038251602</v>
      </c>
      <c r="AY164" s="443">
        <f t="shared" si="66"/>
        <v>0</v>
      </c>
      <c r="AZ164" s="443">
        <f t="shared" si="66"/>
        <v>7.9407809823751396</v>
      </c>
      <c r="BA164" s="443">
        <f t="shared" si="66"/>
        <v>59.374999433755903</v>
      </c>
      <c r="BB164" s="553">
        <f t="shared" si="66"/>
        <v>169.67313019390497</v>
      </c>
      <c r="BC164" s="553">
        <f t="shared" si="66"/>
        <v>2660.8983050847464</v>
      </c>
      <c r="BD164" s="553" t="e">
        <f t="shared" si="66"/>
        <v>#DIV/0!</v>
      </c>
      <c r="BE164" s="538">
        <f t="shared" si="66"/>
        <v>50.0408135490582</v>
      </c>
      <c r="BF164" s="538">
        <f t="shared" si="66"/>
        <v>892.93874174424036</v>
      </c>
      <c r="BG164" s="538" t="e">
        <f t="shared" si="66"/>
        <v>#DIV/0!</v>
      </c>
    </row>
    <row r="165" spans="1:59" ht="15" customHeight="1">
      <c r="A165" s="449">
        <v>2014</v>
      </c>
      <c r="B165" s="449"/>
      <c r="C165" s="449"/>
      <c r="D165" s="441"/>
      <c r="E165" s="441"/>
      <c r="F165" s="441"/>
      <c r="G165" s="441"/>
      <c r="H165" s="441"/>
      <c r="I165" s="441"/>
      <c r="J165" s="437" t="s">
        <v>139</v>
      </c>
      <c r="K165" s="543">
        <f t="shared" si="41"/>
        <v>11.785677827687724</v>
      </c>
      <c r="L165" s="543">
        <f t="shared" si="41"/>
        <v>11.37466430434074</v>
      </c>
      <c r="M165" s="543">
        <f t="shared" si="41"/>
        <v>11.390625692454474</v>
      </c>
      <c r="N165" s="543">
        <f t="shared" si="41"/>
        <v>11.083042903584237</v>
      </c>
      <c r="O165" s="543">
        <f t="shared" si="41"/>
        <v>10.016346193045091</v>
      </c>
      <c r="P165" s="550">
        <f t="shared" si="42"/>
        <v>-0.14275183249957119</v>
      </c>
      <c r="Q165" s="550">
        <f t="shared" si="43"/>
        <v>-0.29619910189412119</v>
      </c>
      <c r="R165" s="550">
        <f t="shared" si="44"/>
        <v>-0.64525989568768916</v>
      </c>
      <c r="S165" s="550">
        <f t="shared" si="45"/>
        <v>-1.444573166316705</v>
      </c>
      <c r="T165" s="550">
        <f t="shared" si="46"/>
        <v>-4.5246459214856429</v>
      </c>
      <c r="U165" s="551">
        <f t="shared" si="57"/>
        <v>5.3165303385835437E-2</v>
      </c>
      <c r="V165" s="551">
        <f t="shared" si="47"/>
        <v>4.3251357904275756E-2</v>
      </c>
      <c r="W165" s="551">
        <f t="shared" si="48"/>
        <v>0.73697376435880435</v>
      </c>
      <c r="X165" s="551">
        <f t="shared" si="49"/>
        <v>0.64489144353500361</v>
      </c>
      <c r="Y165" s="551">
        <f t="shared" si="50"/>
        <v>0.72604293115341689</v>
      </c>
      <c r="Z165" s="551">
        <f t="shared" si="51"/>
        <v>0.28568367045814008</v>
      </c>
      <c r="AA165" s="551">
        <f t="shared" si="52"/>
        <v>0.1922788868745226</v>
      </c>
      <c r="AB165" s="551">
        <f t="shared" si="53"/>
        <v>0.18702811556186141</v>
      </c>
      <c r="AC165" s="551">
        <f t="shared" si="54"/>
        <v>0.10705381160159158</v>
      </c>
      <c r="AD165" s="551">
        <f t="shared" si="55"/>
        <v>3.3275628330239518E-2</v>
      </c>
      <c r="AE165" s="61"/>
      <c r="AF165" s="61">
        <f t="shared" si="58"/>
        <v>2.9878693671178569E-2</v>
      </c>
      <c r="AG165" s="61">
        <f t="shared" si="59"/>
        <v>0.10977856853618723</v>
      </c>
      <c r="AH165" s="61"/>
      <c r="AI165" s="61"/>
      <c r="AJ165" s="61"/>
      <c r="AK165" s="61">
        <f t="shared" si="60"/>
        <v>-0.29245032555692174</v>
      </c>
      <c r="AL165" s="61">
        <f t="shared" si="61"/>
        <v>0.28348375296734163</v>
      </c>
      <c r="AM165" s="844">
        <f t="shared" si="62"/>
        <v>1.3742794994093828</v>
      </c>
      <c r="AN165" s="846">
        <f t="shared" si="63"/>
        <v>1.7693316346426324</v>
      </c>
      <c r="AO165" s="552">
        <f t="shared" si="64"/>
        <v>1.0930833205387458E-2</v>
      </c>
      <c r="AP165" s="552">
        <f t="shared" si="65"/>
        <v>-0.67287762776758142</v>
      </c>
      <c r="AQ165" s="443">
        <f t="shared" ref="AQ165:BG165" si="67">AQ5</f>
        <v>435355.05672495801</v>
      </c>
      <c r="AR165" s="443">
        <f t="shared" si="67"/>
        <v>433331.43606136699</v>
      </c>
      <c r="AS165" s="443">
        <f t="shared" si="67"/>
        <v>124445.172802538</v>
      </c>
      <c r="AT165" s="443">
        <f t="shared" si="67"/>
        <v>215805.931810468</v>
      </c>
      <c r="AU165" s="443">
        <f t="shared" si="67"/>
        <v>184331.74166312799</v>
      </c>
      <c r="AV165" s="443"/>
      <c r="AW165" s="443">
        <f t="shared" si="67"/>
        <v>392.93544630706299</v>
      </c>
      <c r="AX165" s="443">
        <f t="shared" si="67"/>
        <v>339.79118137061602</v>
      </c>
      <c r="AY165" s="443">
        <f t="shared" si="67"/>
        <v>331215.54216979403</v>
      </c>
      <c r="AZ165" s="443">
        <f t="shared" si="67"/>
        <v>337466.23347291397</v>
      </c>
      <c r="BA165" s="443">
        <f t="shared" si="67"/>
        <v>469905.75209757697</v>
      </c>
      <c r="BB165" s="553">
        <f t="shared" si="67"/>
        <v>-0.21558459195520321</v>
      </c>
      <c r="BC165" s="553">
        <f t="shared" si="67"/>
        <v>-0.2784925583498909</v>
      </c>
      <c r="BD165" s="553">
        <f t="shared" si="67"/>
        <v>-0.17238911874500762</v>
      </c>
      <c r="BE165" s="538">
        <f t="shared" si="67"/>
        <v>-0.16835097894132742</v>
      </c>
      <c r="BF165" s="538">
        <f t="shared" si="67"/>
        <v>-0.21244241102248046</v>
      </c>
      <c r="BG165" s="538">
        <f t="shared" si="67"/>
        <v>-0.21532376856592103</v>
      </c>
    </row>
    <row r="166" spans="1:59" ht="15" customHeight="1">
      <c r="A166" s="449">
        <v>2014</v>
      </c>
      <c r="B166" s="449"/>
      <c r="C166" s="449"/>
      <c r="D166" s="441"/>
      <c r="E166" s="441"/>
      <c r="F166" s="441"/>
      <c r="G166" s="441"/>
      <c r="H166" s="441"/>
      <c r="I166" s="441"/>
      <c r="J166" s="437" t="s">
        <v>140</v>
      </c>
      <c r="K166" s="543">
        <f t="shared" si="41"/>
        <v>11.514750842553171</v>
      </c>
      <c r="L166" s="543">
        <f t="shared" si="41"/>
        <v>11.557064452301486</v>
      </c>
      <c r="M166" s="543">
        <f t="shared" si="41"/>
        <v>11.48682150257526</v>
      </c>
      <c r="N166" s="543">
        <f t="shared" si="41"/>
        <v>11.506985968417496</v>
      </c>
      <c r="O166" s="543">
        <f t="shared" si="41"/>
        <v>11.748881314316968</v>
      </c>
      <c r="P166" s="550">
        <f t="shared" si="42"/>
        <v>1.7106382978723405</v>
      </c>
      <c r="Q166" s="550">
        <f t="shared" si="43"/>
        <v>1.0849150849150888</v>
      </c>
      <c r="R166" s="550">
        <f t="shared" si="44"/>
        <v>0.77944774554351604</v>
      </c>
      <c r="S166" s="550">
        <f t="shared" si="45"/>
        <v>0.1756024911995665</v>
      </c>
      <c r="T166" s="550">
        <f t="shared" si="46"/>
        <v>-0.37360353338529334</v>
      </c>
      <c r="U166" s="551">
        <f t="shared" si="57"/>
        <v>0.50855792812110756</v>
      </c>
      <c r="V166" s="551">
        <f t="shared" si="47"/>
        <v>0.54721865579993312</v>
      </c>
      <c r="W166" s="551">
        <f t="shared" si="48"/>
        <v>0.65080535493034208</v>
      </c>
      <c r="X166" s="551">
        <f t="shared" si="49"/>
        <v>0.67061621702395147</v>
      </c>
      <c r="Y166" s="551">
        <f t="shared" si="50"/>
        <v>0.66388196590569104</v>
      </c>
      <c r="Z166" s="551">
        <f t="shared" si="51"/>
        <v>5.2804920327165869E-2</v>
      </c>
      <c r="AA166" s="551">
        <f t="shared" si="52"/>
        <v>6.2862844702467155E-2</v>
      </c>
      <c r="AB166" s="551">
        <f t="shared" si="53"/>
        <v>5.187513221117511E-2</v>
      </c>
      <c r="AC166" s="551">
        <f t="shared" si="54"/>
        <v>4.5987460229501391E-2</v>
      </c>
      <c r="AD166" s="551">
        <f t="shared" si="55"/>
        <v>5.1161399661050884E-2</v>
      </c>
      <c r="AE166" s="61"/>
      <c r="AF166" s="61">
        <f t="shared" si="58"/>
        <v>5.9548034538078026E-2</v>
      </c>
      <c r="AG166" s="61">
        <f t="shared" si="59"/>
        <v>0.10944419871405332</v>
      </c>
      <c r="AH166" s="61"/>
      <c r="AI166" s="61"/>
      <c r="AJ166" s="61"/>
      <c r="AK166" s="61">
        <f t="shared" si="60"/>
        <v>-9.2362297824210349E-2</v>
      </c>
      <c r="AL166" s="61">
        <f t="shared" si="61"/>
        <v>0.25595014171753039</v>
      </c>
      <c r="AM166" s="844">
        <f t="shared" si="62"/>
        <v>-0.26205981174170728</v>
      </c>
      <c r="AN166" s="846">
        <f t="shared" si="63"/>
        <v>-0.23413047176379626</v>
      </c>
      <c r="AO166" s="552">
        <f t="shared" si="64"/>
        <v>-1.3076610975348957E-2</v>
      </c>
      <c r="AP166" s="552">
        <f t="shared" si="65"/>
        <v>-0.15532403778458348</v>
      </c>
      <c r="AQ166" s="443">
        <f t="shared" ref="AQ166:BG166" si="68">AQ6</f>
        <v>932375.15635192394</v>
      </c>
      <c r="AR166" s="443">
        <f t="shared" si="68"/>
        <v>752772.61754721403</v>
      </c>
      <c r="AS166" s="443">
        <f t="shared" si="68"/>
        <v>655800.21049976302</v>
      </c>
      <c r="AT166" s="443">
        <f t="shared" si="68"/>
        <v>712005.41615188099</v>
      </c>
      <c r="AU166" s="443">
        <f t="shared" si="68"/>
        <v>831809.20259356499</v>
      </c>
      <c r="AV166" s="443"/>
      <c r="AW166" s="443">
        <f t="shared" si="68"/>
        <v>945481.124740839</v>
      </c>
      <c r="AX166" s="443">
        <f t="shared" si="68"/>
        <v>884466.35230034601</v>
      </c>
      <c r="AY166" s="443">
        <f t="shared" si="68"/>
        <v>634982.95790255105</v>
      </c>
      <c r="AZ166" s="443">
        <f t="shared" si="68"/>
        <v>1415047.1710592499</v>
      </c>
      <c r="BA166" s="443">
        <f t="shared" si="68"/>
        <v>1592088.8006061299</v>
      </c>
      <c r="BB166" s="553">
        <f t="shared" si="68"/>
        <v>-2.9711050733995204E-2</v>
      </c>
      <c r="BC166" s="553">
        <f t="shared" si="68"/>
        <v>1.2336167703399327E-2</v>
      </c>
      <c r="BD166" s="553">
        <f t="shared" si="68"/>
        <v>0.11958814486432365</v>
      </c>
      <c r="BE166" s="538">
        <f t="shared" si="68"/>
        <v>4.8640517751505144E-2</v>
      </c>
      <c r="BF166" s="538">
        <f t="shared" si="68"/>
        <v>6.1302387413421408E-2</v>
      </c>
      <c r="BG166" s="538">
        <f t="shared" si="68"/>
        <v>0.11660106744663445</v>
      </c>
    </row>
    <row r="167" spans="1:59" ht="15" customHeight="1">
      <c r="A167" s="680">
        <v>2014</v>
      </c>
      <c r="B167" s="680"/>
      <c r="C167" s="680"/>
      <c r="D167" s="760"/>
      <c r="E167" s="760"/>
      <c r="F167" s="760"/>
      <c r="G167" s="760"/>
      <c r="H167" s="760"/>
      <c r="I167" s="760"/>
      <c r="J167" s="770" t="s">
        <v>141</v>
      </c>
      <c r="K167" s="748">
        <f t="shared" si="41"/>
        <v>10.341145083410417</v>
      </c>
      <c r="L167" s="748">
        <f t="shared" si="41"/>
        <v>10.113341322881796</v>
      </c>
      <c r="M167" s="748">
        <f t="shared" si="41"/>
        <v>10.299983283752344</v>
      </c>
      <c r="N167" s="748">
        <f t="shared" si="41"/>
        <v>10.428319652244943</v>
      </c>
      <c r="O167" s="748">
        <f t="shared" si="41"/>
        <v>10.501496815099657</v>
      </c>
      <c r="P167" s="747">
        <f t="shared" si="42"/>
        <v>0.14682455436825259</v>
      </c>
      <c r="Q167" s="747">
        <f t="shared" si="43"/>
        <v>3.5273094919000318E-2</v>
      </c>
      <c r="R167" s="747">
        <f t="shared" si="44"/>
        <v>2.8853936015881508E-2</v>
      </c>
      <c r="S167" s="747">
        <f t="shared" si="45"/>
        <v>1.7474916387959841E-2</v>
      </c>
      <c r="T167" s="747">
        <f t="shared" si="46"/>
        <v>8.1328093556249814E-2</v>
      </c>
      <c r="U167" s="747">
        <f t="shared" si="57"/>
        <v>0.54494183430811749</v>
      </c>
      <c r="V167" s="747">
        <f t="shared" si="47"/>
        <v>0.9313953625722019</v>
      </c>
      <c r="W167" s="747">
        <f t="shared" si="48"/>
        <v>0.89727892059866254</v>
      </c>
      <c r="X167" s="747">
        <f t="shared" si="49"/>
        <v>0.88789576286204908</v>
      </c>
      <c r="Y167" s="747">
        <f t="shared" si="50"/>
        <v>0.88376482796872924</v>
      </c>
      <c r="Z167" s="747">
        <f t="shared" si="51"/>
        <v>2.0434957259463999</v>
      </c>
      <c r="AA167" s="747">
        <f t="shared" si="52"/>
        <v>1.2559503419600946</v>
      </c>
      <c r="AB167" s="747">
        <f t="shared" si="53"/>
        <v>1.7392863308588211</v>
      </c>
      <c r="AC167" s="747">
        <f t="shared" si="54"/>
        <v>1.9352601690540214</v>
      </c>
      <c r="AD167" s="747">
        <f t="shared" si="55"/>
        <v>1.9782165286003184</v>
      </c>
      <c r="AE167" s="766"/>
      <c r="AF167" s="61">
        <f t="shared" si="58"/>
        <v>-0.1106993224086287</v>
      </c>
      <c r="AG167" s="61">
        <f t="shared" si="59"/>
        <v>0.13915077040298257</v>
      </c>
      <c r="AH167" s="766"/>
      <c r="AI167" s="766"/>
      <c r="AJ167" s="766"/>
      <c r="AK167" s="766">
        <f t="shared" si="60"/>
        <v>-0.64121249124764601</v>
      </c>
      <c r="AL167" s="61">
        <f t="shared" si="61"/>
        <v>-0.26588713445276801</v>
      </c>
      <c r="AM167" s="844">
        <f t="shared" si="62"/>
        <v>-0.20151353134731323</v>
      </c>
      <c r="AN167" s="846">
        <f t="shared" si="63"/>
        <v>-0.16035173168923922</v>
      </c>
      <c r="AO167" s="552">
        <f t="shared" si="64"/>
        <v>1.3514092629933305E-2</v>
      </c>
      <c r="AP167" s="552">
        <f t="shared" si="65"/>
        <v>-0.33882299366061175</v>
      </c>
      <c r="AQ167" s="756">
        <f t="shared" ref="AQ167:BG167" si="69">AQ7</f>
        <v>6899.1474115699502</v>
      </c>
      <c r="AR167" s="756">
        <f t="shared" si="69"/>
        <v>1347.56379747391</v>
      </c>
      <c r="AS167" s="756">
        <f t="shared" si="69"/>
        <v>1755.8455857485501</v>
      </c>
      <c r="AT167" s="756">
        <f t="shared" si="69"/>
        <v>1958.14275445044</v>
      </c>
      <c r="AU167" s="756">
        <f t="shared" si="69"/>
        <v>2137.0065585672901</v>
      </c>
      <c r="AV167" s="756"/>
      <c r="AW167" s="756">
        <f t="shared" si="69"/>
        <v>2187.3325309306401</v>
      </c>
      <c r="AX167" s="756">
        <f t="shared" si="69"/>
        <v>0</v>
      </c>
      <c r="AY167" s="756">
        <f t="shared" si="69"/>
        <v>0</v>
      </c>
      <c r="AZ167" s="756">
        <f t="shared" si="69"/>
        <v>0</v>
      </c>
      <c r="BA167" s="756">
        <f t="shared" si="69"/>
        <v>0</v>
      </c>
      <c r="BB167" s="743" t="e">
        <f t="shared" si="69"/>
        <v>#DIV/0!</v>
      </c>
      <c r="BC167" s="743" t="e">
        <f t="shared" si="69"/>
        <v>#DIV/0!</v>
      </c>
      <c r="BD167" s="743" t="e">
        <f t="shared" si="69"/>
        <v>#DIV/0!</v>
      </c>
      <c r="BE167" s="766" t="e">
        <f t="shared" si="69"/>
        <v>#DIV/0!</v>
      </c>
      <c r="BF167" s="766" t="e">
        <f t="shared" si="69"/>
        <v>#DIV/0!</v>
      </c>
      <c r="BG167" s="766" t="e">
        <f t="shared" si="69"/>
        <v>#DIV/0!</v>
      </c>
    </row>
    <row r="168" spans="1:59" ht="15" customHeight="1">
      <c r="A168" s="449">
        <v>2014</v>
      </c>
      <c r="B168" s="449"/>
      <c r="C168" s="449"/>
      <c r="D168" s="441"/>
      <c r="E168" s="441"/>
      <c r="F168" s="441"/>
      <c r="G168" s="441"/>
      <c r="H168" s="441"/>
      <c r="I168" s="441"/>
      <c r="J168" s="437" t="s">
        <v>142</v>
      </c>
      <c r="K168" s="543">
        <f t="shared" si="41"/>
        <v>13.047432913250624</v>
      </c>
      <c r="L168" s="543">
        <f t="shared" si="41"/>
        <v>12.459970400813351</v>
      </c>
      <c r="M168" s="543">
        <f t="shared" si="41"/>
        <v>12.156031198833182</v>
      </c>
      <c r="N168" s="543">
        <f t="shared" si="41"/>
        <v>11.479523788336198</v>
      </c>
      <c r="O168" s="543">
        <f t="shared" si="41"/>
        <v>10.533322126884308</v>
      </c>
      <c r="P168" s="550">
        <f t="shared" si="42"/>
        <v>-5.0613920121404428E-3</v>
      </c>
      <c r="Q168" s="550">
        <f t="shared" si="43"/>
        <v>-0.49537252529013842</v>
      </c>
      <c r="R168" s="550">
        <f t="shared" si="44"/>
        <v>-1.1608564009293623</v>
      </c>
      <c r="S168" s="550">
        <f t="shared" si="45"/>
        <v>0.16538282582846509</v>
      </c>
      <c r="T168" s="550">
        <f t="shared" si="46"/>
        <v>-0.10395248495179246</v>
      </c>
      <c r="U168" s="551">
        <f t="shared" si="57"/>
        <v>0.47943595564967678</v>
      </c>
      <c r="V168" s="551">
        <f t="shared" si="47"/>
        <v>0.47547978657050682</v>
      </c>
      <c r="W168" s="551">
        <f t="shared" si="48"/>
        <v>0.46818444489222077</v>
      </c>
      <c r="X168" s="551">
        <f t="shared" si="49"/>
        <v>0.29971886532461156</v>
      </c>
      <c r="Y168" s="551">
        <f t="shared" si="50"/>
        <v>0.24988410620263604</v>
      </c>
      <c r="Z168" s="551">
        <f t="shared" si="51"/>
        <v>0.1616357578836386</v>
      </c>
      <c r="AA168" s="551">
        <f t="shared" si="52"/>
        <v>0.10916560348539966</v>
      </c>
      <c r="AB168" s="551">
        <f t="shared" si="53"/>
        <v>8.7318530092024157E-2</v>
      </c>
      <c r="AC168" s="551">
        <f t="shared" si="54"/>
        <v>7.6591380648431184E-2</v>
      </c>
      <c r="AD168" s="551">
        <f t="shared" si="55"/>
        <v>9.1607337175314371E-2</v>
      </c>
      <c r="AE168" s="61"/>
      <c r="AF168" s="61">
        <f t="shared" si="58"/>
        <v>-9.1841464237878728E-2</v>
      </c>
      <c r="AG168" s="61">
        <f t="shared" si="59"/>
        <v>8.7047084053621313E-3</v>
      </c>
      <c r="AH168" s="61"/>
      <c r="AI168" s="61"/>
      <c r="AJ168" s="61"/>
      <c r="AK168" s="61">
        <f t="shared" si="60"/>
        <v>-0.21448074584420027</v>
      </c>
      <c r="AL168" s="61">
        <f t="shared" si="61"/>
        <v>1.1622106967319884E-2</v>
      </c>
      <c r="AM168" s="844">
        <f t="shared" si="62"/>
        <v>1.6227090719488741</v>
      </c>
      <c r="AN168" s="846">
        <f t="shared" si="63"/>
        <v>2.5141107863663166</v>
      </c>
      <c r="AO168" s="552">
        <f t="shared" si="64"/>
        <v>0.21830033868958473</v>
      </c>
      <c r="AP168" s="552">
        <f t="shared" si="65"/>
        <v>0.22955184944704074</v>
      </c>
      <c r="AQ168" s="443">
        <f t="shared" ref="AQ168:BG168" si="70">AQ8</f>
        <v>1494049</v>
      </c>
      <c r="AR168" s="443">
        <f t="shared" si="70"/>
        <v>1238719</v>
      </c>
      <c r="AS168" s="443">
        <f t="shared" si="70"/>
        <v>1158649</v>
      </c>
      <c r="AT168" s="443">
        <f t="shared" si="70"/>
        <v>884273</v>
      </c>
      <c r="AU168" s="443">
        <f t="shared" si="70"/>
        <v>307441</v>
      </c>
      <c r="AV168" s="443"/>
      <c r="AW168" s="443">
        <f t="shared" si="70"/>
        <v>1194282</v>
      </c>
      <c r="AX168" s="443">
        <f t="shared" si="70"/>
        <v>1079303</v>
      </c>
      <c r="AY168" s="443">
        <f t="shared" si="70"/>
        <v>939984</v>
      </c>
      <c r="AZ168" s="443">
        <f t="shared" si="70"/>
        <v>343688</v>
      </c>
      <c r="BA168" s="443">
        <f t="shared" si="70"/>
        <v>95000</v>
      </c>
      <c r="BB168" s="553">
        <f t="shared" si="70"/>
        <v>-4.1084210526315793E-2</v>
      </c>
      <c r="BC168" s="553">
        <f t="shared" si="70"/>
        <v>4.6539303088848023E-2</v>
      </c>
      <c r="BD168" s="553">
        <f t="shared" si="70"/>
        <v>-0.23493910534647397</v>
      </c>
      <c r="BE168" s="538">
        <f t="shared" si="70"/>
        <v>-1.1555293526374964E-2</v>
      </c>
      <c r="BF168" s="538">
        <f t="shared" si="70"/>
        <v>-6.0661118319212011E-2</v>
      </c>
      <c r="BG168" s="538">
        <f t="shared" si="70"/>
        <v>-0.22497290561298278</v>
      </c>
    </row>
    <row r="169" spans="1:59" ht="15" customHeight="1">
      <c r="A169" s="449">
        <v>2014</v>
      </c>
      <c r="B169" s="449"/>
      <c r="C169" s="449"/>
      <c r="D169" s="441"/>
      <c r="E169" s="441"/>
      <c r="F169" s="441"/>
      <c r="G169" s="441"/>
      <c r="H169" s="441"/>
      <c r="I169" s="441"/>
      <c r="J169" s="437" t="s">
        <v>143</v>
      </c>
      <c r="K169" s="543">
        <f t="shared" si="41"/>
        <v>9.0069606419235377</v>
      </c>
      <c r="L169" s="543">
        <f t="shared" si="41"/>
        <v>8.6761582439200051</v>
      </c>
      <c r="M169" s="543">
        <f t="shared" si="41"/>
        <v>8.8394247075453212</v>
      </c>
      <c r="N169" s="543">
        <f t="shared" si="41"/>
        <v>8.4333726530773259</v>
      </c>
      <c r="O169" s="543">
        <f t="shared" si="41"/>
        <v>8.1896937270746939</v>
      </c>
      <c r="P169" s="550">
        <f t="shared" si="42"/>
        <v>-0.25927363377170071</v>
      </c>
      <c r="Q169" s="550">
        <f t="shared" si="43"/>
        <v>-0.62268930847484394</v>
      </c>
      <c r="R169" s="550">
        <f t="shared" si="44"/>
        <v>-0.31177012401723797</v>
      </c>
      <c r="S169" s="550">
        <f t="shared" si="45"/>
        <v>-6.0711003132043446</v>
      </c>
      <c r="T169" s="550">
        <f t="shared" si="46"/>
        <v>-2.926654495664085</v>
      </c>
      <c r="U169" s="551">
        <f t="shared" si="57"/>
        <v>0.73287158146470299</v>
      </c>
      <c r="V169" s="551">
        <f t="shared" si="47"/>
        <v>1.0154237045519607</v>
      </c>
      <c r="W169" s="551">
        <f t="shared" si="48"/>
        <v>0.95841274023874867</v>
      </c>
      <c r="X169" s="551">
        <f t="shared" si="49"/>
        <v>0.90571808874342474</v>
      </c>
      <c r="Y169" s="551">
        <f t="shared" si="50"/>
        <v>0.53571742541996603</v>
      </c>
      <c r="Z169" s="551">
        <f t="shared" si="51"/>
        <v>0.15830716188018554</v>
      </c>
      <c r="AA169" s="551">
        <f t="shared" si="52"/>
        <v>8.6100772974520498E-2</v>
      </c>
      <c r="AB169" s="551">
        <f t="shared" si="53"/>
        <v>0.11282058895027004</v>
      </c>
      <c r="AC169" s="551">
        <f t="shared" si="54"/>
        <v>7.786474240338416E-2</v>
      </c>
      <c r="AD169" s="551">
        <f t="shared" si="55"/>
        <v>4.0981843416063909E-2</v>
      </c>
      <c r="AE169" s="61"/>
      <c r="AF169" s="61">
        <f t="shared" si="58"/>
        <v>8.4765607265501502E-2</v>
      </c>
      <c r="AG169" s="61">
        <f t="shared" si="59"/>
        <v>7.8894823161464456E-2</v>
      </c>
      <c r="AH169" s="61"/>
      <c r="AI169" s="61"/>
      <c r="AJ169" s="61"/>
      <c r="AK169" s="61">
        <f t="shared" si="60"/>
        <v>-0.36200964554213977</v>
      </c>
      <c r="AL169" s="61">
        <f t="shared" si="61"/>
        <v>5.05402334156628E-2</v>
      </c>
      <c r="AM169" s="844">
        <f t="shared" si="62"/>
        <v>0.64973098047062794</v>
      </c>
      <c r="AN169" s="846">
        <f t="shared" si="63"/>
        <v>0.81726691484884417</v>
      </c>
      <c r="AO169" s="552">
        <f t="shared" si="64"/>
        <v>0.42269531481878264</v>
      </c>
      <c r="AP169" s="552">
        <f t="shared" si="65"/>
        <v>0.19715415604473696</v>
      </c>
      <c r="AQ169" s="443">
        <f t="shared" ref="AQ169:BG169" si="71">AQ9</f>
        <v>26161.388665549501</v>
      </c>
      <c r="AR169" s="443">
        <f t="shared" si="71"/>
        <v>-1049.9999940544399</v>
      </c>
      <c r="AS169" s="443">
        <f t="shared" si="71"/>
        <v>2543.81378383934</v>
      </c>
      <c r="AT169" s="443">
        <f t="shared" si="71"/>
        <v>5567.4295952022103</v>
      </c>
      <c r="AU169" s="443">
        <f t="shared" si="71"/>
        <v>40825.328558027701</v>
      </c>
      <c r="AV169" s="443"/>
      <c r="AW169" s="443">
        <f t="shared" si="71"/>
        <v>15503.6541485414</v>
      </c>
      <c r="AX169" s="443">
        <f t="shared" si="71"/>
        <v>43256.960311904499</v>
      </c>
      <c r="AY169" s="443">
        <f t="shared" si="71"/>
        <v>41414.414394065701</v>
      </c>
      <c r="AZ169" s="443">
        <f t="shared" si="71"/>
        <v>43171.065231993802</v>
      </c>
      <c r="BA169" s="443">
        <f t="shared" si="71"/>
        <v>6685.6907257139701</v>
      </c>
      <c r="BB169" s="553">
        <f t="shared" si="71"/>
        <v>-1.5774803808211793</v>
      </c>
      <c r="BC169" s="553">
        <f t="shared" si="71"/>
        <v>-0.64660915759708926</v>
      </c>
      <c r="BD169" s="553">
        <f t="shared" si="71"/>
        <v>-5.1951291039601527E-2</v>
      </c>
      <c r="BE169" s="538">
        <f t="shared" si="71"/>
        <v>-0.92331372454844407</v>
      </c>
      <c r="BF169" s="538">
        <f t="shared" si="71"/>
        <v>-1.0463697500505891</v>
      </c>
      <c r="BG169" s="538">
        <f t="shared" si="71"/>
        <v>-7.1853076751725226E-2</v>
      </c>
    </row>
    <row r="170" spans="1:59" ht="15" customHeight="1">
      <c r="A170" s="449">
        <v>2013</v>
      </c>
      <c r="B170" s="449"/>
      <c r="C170" s="449"/>
      <c r="D170" s="441"/>
      <c r="E170" s="441"/>
      <c r="F170" s="441"/>
      <c r="G170" s="441"/>
      <c r="H170" s="441"/>
      <c r="I170" s="441"/>
      <c r="J170" s="437" t="s">
        <v>144</v>
      </c>
      <c r="K170" s="543">
        <f t="shared" si="41"/>
        <v>8.7973353031239547</v>
      </c>
      <c r="L170" s="543">
        <f t="shared" si="41"/>
        <v>8.4099643405995543</v>
      </c>
      <c r="M170" s="543">
        <f t="shared" si="41"/>
        <v>8.3771418854834678</v>
      </c>
      <c r="N170" s="543">
        <f t="shared" si="41"/>
        <v>7.6929927386006396</v>
      </c>
      <c r="O170" s="543">
        <f t="shared" si="41"/>
        <v>7.7817267844419549</v>
      </c>
      <c r="P170" s="550">
        <f t="shared" si="42"/>
        <v>4.6453230472516829</v>
      </c>
      <c r="Q170" s="550">
        <f t="shared" si="43"/>
        <v>8.023350433398198</v>
      </c>
      <c r="R170" s="550">
        <f t="shared" si="44"/>
        <v>0.2039324972906025</v>
      </c>
      <c r="S170" s="550">
        <f t="shared" si="45"/>
        <v>-2.0705767644191124</v>
      </c>
      <c r="T170" s="550">
        <f t="shared" si="46"/>
        <v>2.4094246329038063</v>
      </c>
      <c r="U170" s="551">
        <f t="shared" si="57"/>
        <v>0.53321814019711911</v>
      </c>
      <c r="V170" s="551">
        <f t="shared" si="47"/>
        <v>0.680957382651873</v>
      </c>
      <c r="W170" s="551">
        <f t="shared" si="48"/>
        <v>0.61629602335984091</v>
      </c>
      <c r="X170" s="551">
        <f t="shared" si="49"/>
        <v>0.49369240851295171</v>
      </c>
      <c r="Y170" s="551">
        <f t="shared" si="50"/>
        <v>0.57959716758457624</v>
      </c>
      <c r="Z170" s="551">
        <f t="shared" si="51"/>
        <v>5.3531020022394293E-2</v>
      </c>
      <c r="AA170" s="551">
        <f t="shared" si="52"/>
        <v>2.7398597631607978E-2</v>
      </c>
      <c r="AB170" s="551">
        <f t="shared" si="53"/>
        <v>3.1988042741849278E-2</v>
      </c>
      <c r="AC170" s="551">
        <f t="shared" si="54"/>
        <v>1.3319467421100186E-2</v>
      </c>
      <c r="AD170" s="551">
        <f t="shared" si="55"/>
        <v>1.0501966955153399E-2</v>
      </c>
      <c r="AE170" s="61"/>
      <c r="AF170" s="61">
        <f t="shared" si="58"/>
        <v>-1.878029643590453E-2</v>
      </c>
      <c r="AG170" s="61">
        <f t="shared" si="59"/>
        <v>0.22336518317723114</v>
      </c>
      <c r="AH170" s="61"/>
      <c r="AI170" s="61"/>
      <c r="AJ170" s="61"/>
      <c r="AK170" s="61">
        <f t="shared" si="60"/>
        <v>-0.54576700527555333</v>
      </c>
      <c r="AL170" s="61">
        <f t="shared" si="61"/>
        <v>0.49219949642029448</v>
      </c>
      <c r="AM170" s="844">
        <f t="shared" si="62"/>
        <v>0.59541510104151318</v>
      </c>
      <c r="AN170" s="846">
        <f t="shared" si="63"/>
        <v>1.0156085186819994</v>
      </c>
      <c r="AO170" s="552">
        <f t="shared" si="64"/>
        <v>3.669885577526466E-2</v>
      </c>
      <c r="AP170" s="552">
        <f t="shared" si="65"/>
        <v>-4.6379027387457139E-2</v>
      </c>
      <c r="AQ170" s="443">
        <f t="shared" ref="AQ170:BG170" si="72">AQ10</f>
        <v>57695.591320633903</v>
      </c>
      <c r="AR170" s="443">
        <f t="shared" si="72"/>
        <v>52302.268830433502</v>
      </c>
      <c r="AS170" s="443">
        <f t="shared" si="72"/>
        <v>52138.225803718</v>
      </c>
      <c r="AT170" s="443">
        <f t="shared" si="72"/>
        <v>83358.880783975095</v>
      </c>
      <c r="AU170" s="443">
        <f t="shared" si="72"/>
        <v>95930.340970158606</v>
      </c>
      <c r="AV170" s="443"/>
      <c r="AW170" s="443">
        <f t="shared" si="72"/>
        <v>538.28305959701504</v>
      </c>
      <c r="AX170" s="443">
        <f t="shared" si="72"/>
        <v>1053.2349337488399</v>
      </c>
      <c r="AY170" s="443">
        <f t="shared" si="72"/>
        <v>3230.0136067122198</v>
      </c>
      <c r="AZ170" s="443">
        <f t="shared" si="72"/>
        <v>3207.23681151867</v>
      </c>
      <c r="BA170" s="443">
        <f t="shared" si="72"/>
        <v>131.238778978586</v>
      </c>
      <c r="BB170" s="553">
        <f t="shared" si="72"/>
        <v>43.995896032831787</v>
      </c>
      <c r="BC170" s="553">
        <f t="shared" si="72"/>
        <v>-1.4157435897435908</v>
      </c>
      <c r="BD170" s="553">
        <f t="shared" si="72"/>
        <v>0.27442810117088245</v>
      </c>
      <c r="BE170" s="538">
        <f t="shared" si="72"/>
        <v>25.734839174870988</v>
      </c>
      <c r="BF170" s="538">
        <f t="shared" si="72"/>
        <v>-0.34953423449898963</v>
      </c>
      <c r="BG170" s="538">
        <f t="shared" si="72"/>
        <v>0.17414908256019093</v>
      </c>
    </row>
    <row r="171" spans="1:59" ht="15" customHeight="1">
      <c r="A171" s="449">
        <v>2012</v>
      </c>
      <c r="B171" s="449"/>
      <c r="C171" s="449"/>
      <c r="D171" s="441"/>
      <c r="E171" s="441"/>
      <c r="F171" s="441"/>
      <c r="G171" s="441"/>
      <c r="H171" s="441"/>
      <c r="I171" s="441"/>
      <c r="J171" s="438" t="s">
        <v>145</v>
      </c>
      <c r="K171" s="543">
        <f t="shared" si="41"/>
        <v>8.3497208391297661</v>
      </c>
      <c r="L171" s="543">
        <f t="shared" si="41"/>
        <v>7.5878171975588824</v>
      </c>
      <c r="M171" s="543">
        <f t="shared" si="41"/>
        <v>7.4097419445441801</v>
      </c>
      <c r="N171" s="543">
        <f t="shared" si="41"/>
        <v>6.7440591848212303</v>
      </c>
      <c r="O171" s="543">
        <f t="shared" si="41"/>
        <v>4.7621739224297901</v>
      </c>
      <c r="P171" s="550">
        <f t="shared" si="42"/>
        <v>1.3208796319644818</v>
      </c>
      <c r="Q171" s="550">
        <f t="shared" si="43"/>
        <v>-0.45238098322478787</v>
      </c>
      <c r="R171" s="550">
        <f t="shared" si="44"/>
        <v>-0.91828087167070183</v>
      </c>
      <c r="S171" s="550">
        <f t="shared" si="45"/>
        <v>3.4216725559481729</v>
      </c>
      <c r="T171" s="550">
        <f t="shared" si="46"/>
        <v>-22.863247863247938</v>
      </c>
      <c r="U171" s="551">
        <f t="shared" si="57"/>
        <v>0.29595583689759636</v>
      </c>
      <c r="V171" s="551">
        <f t="shared" si="47"/>
        <v>0.1304646768965502</v>
      </c>
      <c r="W171" s="551">
        <f t="shared" si="48"/>
        <v>0.14010451309490762</v>
      </c>
      <c r="X171" s="551">
        <f t="shared" si="49"/>
        <v>0.47131248322061492</v>
      </c>
      <c r="Y171" s="551">
        <f t="shared" si="50"/>
        <v>0.51209227114564171</v>
      </c>
      <c r="Z171" s="551">
        <f t="shared" si="51"/>
        <v>5.1763813162464624E-2</v>
      </c>
      <c r="AA171" s="551">
        <f t="shared" si="52"/>
        <v>1.0282160167109053E-2</v>
      </c>
      <c r="AB171" s="551">
        <f t="shared" si="53"/>
        <v>8.4635482590688857E-3</v>
      </c>
      <c r="AC171" s="551">
        <f t="shared" si="54"/>
        <v>1.3937453788028622E-2</v>
      </c>
      <c r="AD171" s="551">
        <f t="shared" si="55"/>
        <v>1.9500974831702317E-3</v>
      </c>
      <c r="AE171" s="51"/>
      <c r="AF171" s="61">
        <f t="shared" si="58"/>
        <v>3.6813647642452152E-2</v>
      </c>
      <c r="AG171" s="61">
        <f t="shared" si="59"/>
        <v>0.11295932859433144</v>
      </c>
      <c r="AH171" s="51"/>
      <c r="AI171" s="51"/>
      <c r="AJ171" s="51"/>
      <c r="AK171" s="61">
        <f t="shared" si="60"/>
        <v>-6.4940186336354316E-2</v>
      </c>
      <c r="AL171" s="61">
        <f t="shared" si="61"/>
        <v>0.14515439426131976</v>
      </c>
      <c r="AM171" s="844">
        <f t="shared" si="62"/>
        <v>2.6475680221143896</v>
      </c>
      <c r="AN171" s="846">
        <f t="shared" si="63"/>
        <v>3.5875469166999765</v>
      </c>
      <c r="AO171" s="552">
        <f t="shared" si="64"/>
        <v>-0.37198775805073409</v>
      </c>
      <c r="AP171" s="552">
        <f t="shared" si="65"/>
        <v>-0.21613643424804535</v>
      </c>
      <c r="AQ171" s="443">
        <f t="shared" ref="AQ171:BG171" si="73">AQ11</f>
        <v>57520.000027071903</v>
      </c>
      <c r="AR171" s="443">
        <f t="shared" si="73"/>
        <v>166935.999965147</v>
      </c>
      <c r="AS171" s="443">
        <f t="shared" si="73"/>
        <v>167841.00004407999</v>
      </c>
      <c r="AT171" s="443">
        <f t="shared" si="73"/>
        <v>32204.999952010799</v>
      </c>
      <c r="AU171" s="443">
        <f t="shared" si="73"/>
        <v>29272.999971842401</v>
      </c>
      <c r="AV171" s="443"/>
      <c r="AW171" s="443">
        <f t="shared" si="73"/>
        <v>19666.999958756202</v>
      </c>
      <c r="AX171" s="443">
        <f t="shared" si="73"/>
        <v>21633.0000475089</v>
      </c>
      <c r="AY171" s="443">
        <f t="shared" si="73"/>
        <v>23599.999939406498</v>
      </c>
      <c r="AZ171" s="443">
        <f t="shared" si="73"/>
        <v>25566.999961902202</v>
      </c>
      <c r="BA171" s="443">
        <f t="shared" si="73"/>
        <v>27532.9999933627</v>
      </c>
      <c r="BB171" s="553">
        <f t="shared" si="73"/>
        <v>-9.7156138726639099E-2</v>
      </c>
      <c r="BC171" s="553">
        <f t="shared" si="73"/>
        <v>0.11362302968670542</v>
      </c>
      <c r="BD171" s="553">
        <f t="shared" si="73"/>
        <v>-6.4279660568969901E-2</v>
      </c>
      <c r="BE171" s="538">
        <f t="shared" si="73"/>
        <v>-2.5467947118406581E-2</v>
      </c>
      <c r="BF171" s="538">
        <f t="shared" si="73"/>
        <v>5.0731460145639118E-2</v>
      </c>
      <c r="BG171" s="538">
        <f t="shared" si="73"/>
        <v>-2.2047555892824894E-2</v>
      </c>
    </row>
    <row r="172" spans="1:59" ht="15" customHeight="1">
      <c r="A172" s="449">
        <v>2015</v>
      </c>
      <c r="B172" s="449"/>
      <c r="C172" s="449"/>
      <c r="D172" s="441"/>
      <c r="E172" s="441"/>
      <c r="F172" s="441"/>
      <c r="G172" s="441"/>
      <c r="H172" s="441"/>
      <c r="I172" s="441"/>
      <c r="J172" s="438" t="s">
        <v>146</v>
      </c>
      <c r="K172" s="543">
        <f t="shared" si="41"/>
        <v>12.683008441689687</v>
      </c>
      <c r="L172" s="543">
        <f t="shared" si="41"/>
        <v>12.936778100465176</v>
      </c>
      <c r="M172" s="543">
        <f t="shared" si="41"/>
        <v>13.096912227197027</v>
      </c>
      <c r="N172" s="543">
        <f t="shared" si="41"/>
        <v>12.953824008434148</v>
      </c>
      <c r="O172" s="543">
        <f t="shared" si="41"/>
        <v>13.104834642853366</v>
      </c>
      <c r="P172" s="550">
        <f t="shared" si="42"/>
        <v>-0.29187899176354482</v>
      </c>
      <c r="Q172" s="550">
        <f t="shared" si="43"/>
        <v>-0.49130647301166119</v>
      </c>
      <c r="R172" s="550">
        <f t="shared" si="44"/>
        <v>-0.31984777457507158</v>
      </c>
      <c r="S172" s="550">
        <f t="shared" si="45"/>
        <v>-0.34112046661253786</v>
      </c>
      <c r="T172" s="550">
        <f t="shared" si="46"/>
        <v>0.2395667111733481</v>
      </c>
      <c r="U172" s="551">
        <f t="shared" si="57"/>
        <v>0.73309442452583307</v>
      </c>
      <c r="V172" s="551">
        <f t="shared" si="47"/>
        <v>0.76841387235186975</v>
      </c>
      <c r="W172" s="551">
        <f t="shared" si="48"/>
        <v>0.73150423263542153</v>
      </c>
      <c r="X172" s="551">
        <f t="shared" si="49"/>
        <v>0.67298864638090494</v>
      </c>
      <c r="Y172" s="551">
        <f t="shared" si="50"/>
        <v>0.63564769103912966</v>
      </c>
      <c r="Z172" s="551">
        <f t="shared" si="51"/>
        <v>0.18452212225694378</v>
      </c>
      <c r="AA172" s="551">
        <f t="shared" si="52"/>
        <v>0.2030776377394472</v>
      </c>
      <c r="AB172" s="551">
        <f t="shared" si="53"/>
        <v>0.20197108631427163</v>
      </c>
      <c r="AC172" s="551">
        <f t="shared" si="54"/>
        <v>0.20757920163999996</v>
      </c>
      <c r="AD172" s="551">
        <f t="shared" si="55"/>
        <v>0.21733852845105511</v>
      </c>
      <c r="AE172" s="51"/>
      <c r="AF172" s="61">
        <f t="shared" si="58"/>
        <v>-0.11666707895840389</v>
      </c>
      <c r="AG172" s="61">
        <f t="shared" si="59"/>
        <v>-0.10592520747470073</v>
      </c>
      <c r="AH172" s="51"/>
      <c r="AI172" s="51"/>
      <c r="AJ172" s="51"/>
      <c r="AK172" s="61">
        <f t="shared" si="60"/>
        <v>-3.7217738949338247E-2</v>
      </c>
      <c r="AL172" s="61">
        <f t="shared" si="61"/>
        <v>-0.34570455664904653</v>
      </c>
      <c r="AM172" s="844">
        <f t="shared" si="62"/>
        <v>-7.9224156563392403E-3</v>
      </c>
      <c r="AN172" s="846">
        <f t="shared" si="63"/>
        <v>-0.4218262011636788</v>
      </c>
      <c r="AO172" s="552">
        <f t="shared" si="64"/>
        <v>9.5856541596291867E-2</v>
      </c>
      <c r="AP172" s="552">
        <f t="shared" si="65"/>
        <v>9.7446733486703407E-2</v>
      </c>
      <c r="AQ172" s="443">
        <f t="shared" ref="AQ172:BG172" si="74">AQ12</f>
        <v>466090</v>
      </c>
      <c r="AR172" s="443">
        <f t="shared" si="74"/>
        <v>473611</v>
      </c>
      <c r="AS172" s="443">
        <f t="shared" si="74"/>
        <v>647985</v>
      </c>
      <c r="AT172" s="443">
        <f t="shared" si="74"/>
        <v>665508</v>
      </c>
      <c r="AU172" s="443">
        <f t="shared" si="74"/>
        <v>823649</v>
      </c>
      <c r="AV172" s="443"/>
      <c r="AW172" s="443">
        <f t="shared" si="74"/>
        <v>1099360</v>
      </c>
      <c r="AX172" s="443">
        <f t="shared" si="74"/>
        <v>1346648</v>
      </c>
      <c r="AY172" s="443">
        <f t="shared" si="74"/>
        <v>1420695</v>
      </c>
      <c r="AZ172" s="443">
        <f t="shared" si="74"/>
        <v>1139166</v>
      </c>
      <c r="BA172" s="443">
        <f t="shared" si="74"/>
        <v>1154742</v>
      </c>
      <c r="BB172" s="553">
        <f t="shared" si="74"/>
        <v>0.10192926212088935</v>
      </c>
      <c r="BC172" s="553">
        <f t="shared" si="74"/>
        <v>-0.12650131763061748</v>
      </c>
      <c r="BD172" s="553">
        <f t="shared" si="74"/>
        <v>-0.10973854345936319</v>
      </c>
      <c r="BE172" s="538">
        <f t="shared" si="74"/>
        <v>-8.1420967410004291E-3</v>
      </c>
      <c r="BF172" s="538">
        <f t="shared" si="74"/>
        <v>-0.20411565986369529</v>
      </c>
      <c r="BG172" s="538">
        <f t="shared" si="74"/>
        <v>-0.14401239812866029</v>
      </c>
    </row>
    <row r="173" spans="1:59" ht="15" customHeight="1">
      <c r="A173" s="449">
        <v>2016</v>
      </c>
      <c r="B173" s="449"/>
      <c r="C173" s="449"/>
      <c r="D173" s="441"/>
      <c r="E173" s="441"/>
      <c r="F173" s="441"/>
      <c r="G173" s="441"/>
      <c r="H173" s="441"/>
      <c r="I173" s="441"/>
      <c r="J173" s="438" t="s">
        <v>147</v>
      </c>
      <c r="K173" s="543">
        <f t="shared" ref="K173:O182" si="75">LN(K13)</f>
        <v>9.1197150891288974</v>
      </c>
      <c r="L173" s="543">
        <f t="shared" si="75"/>
        <v>3.1354942145880456</v>
      </c>
      <c r="M173" s="543">
        <f t="shared" si="75"/>
        <v>3.6888794585097791</v>
      </c>
      <c r="N173" s="543">
        <f t="shared" si="75"/>
        <v>4.4659081129921425</v>
      </c>
      <c r="O173" s="543">
        <f t="shared" si="75"/>
        <v>3.9120229802451836</v>
      </c>
      <c r="P173" s="550">
        <f t="shared" si="42"/>
        <v>0.84299128352848762</v>
      </c>
      <c r="Q173" s="550">
        <f t="shared" si="43"/>
        <v>-47.260869565217412</v>
      </c>
      <c r="R173" s="550">
        <f t="shared" si="44"/>
        <v>189.20000000000007</v>
      </c>
      <c r="S173" s="550">
        <f t="shared" si="45"/>
        <v>-620.25287756353873</v>
      </c>
      <c r="T173" s="550">
        <f t="shared" si="46"/>
        <v>-32.939999999999962</v>
      </c>
      <c r="U173" s="551">
        <f t="shared" si="57"/>
        <v>9.6828363519065264E-2</v>
      </c>
      <c r="V173" s="551">
        <f t="shared" si="47"/>
        <v>0.18054535962553342</v>
      </c>
      <c r="W173" s="551">
        <f t="shared" si="48"/>
        <v>0.17294583414133752</v>
      </c>
      <c r="X173" s="551">
        <f t="shared" si="49"/>
        <v>0.18402553645691413</v>
      </c>
      <c r="Y173" s="551">
        <f t="shared" si="50"/>
        <v>0.18802746053768979</v>
      </c>
      <c r="Z173" s="551">
        <f t="shared" si="51"/>
        <v>0.38041137349031862</v>
      </c>
      <c r="AA173" s="551">
        <f t="shared" si="52"/>
        <v>1.5349091710605689E-4</v>
      </c>
      <c r="AB173" s="551">
        <f t="shared" si="53"/>
        <v>2.6705657034364243E-4</v>
      </c>
      <c r="AC173" s="551">
        <f t="shared" si="54"/>
        <v>6.1035498459626652E-4</v>
      </c>
      <c r="AD173" s="551">
        <f t="shared" si="55"/>
        <v>2.3287440957587925E-4</v>
      </c>
      <c r="AE173" s="51"/>
      <c r="AF173" s="61">
        <f t="shared" si="58"/>
        <v>5.8197986160446628E-2</v>
      </c>
      <c r="AG173" s="61">
        <f t="shared" si="59"/>
        <v>0.32835435505886801</v>
      </c>
      <c r="AH173" s="51"/>
      <c r="AI173" s="51"/>
      <c r="AJ173" s="51"/>
      <c r="AK173" s="61">
        <f t="shared" si="60"/>
        <v>-4.3568250148964871E-2</v>
      </c>
      <c r="AL173" s="61">
        <f t="shared" si="61"/>
        <v>0.1156022225577448</v>
      </c>
      <c r="AM173" s="844">
        <f t="shared" si="62"/>
        <v>-0.22314352173540489</v>
      </c>
      <c r="AN173" s="846">
        <f t="shared" si="63"/>
        <v>5.2076921088837143</v>
      </c>
      <c r="AO173" s="552">
        <f t="shared" si="64"/>
        <v>-1.5081626396352271E-2</v>
      </c>
      <c r="AP173" s="552">
        <f t="shared" si="65"/>
        <v>-9.1199097018624525E-2</v>
      </c>
      <c r="AQ173" s="443">
        <f t="shared" ref="AQ173:BG173" si="76">AQ13</f>
        <v>21684.9655826241</v>
      </c>
      <c r="AR173" s="443">
        <f t="shared" si="76"/>
        <v>122790.999950399</v>
      </c>
      <c r="AS173" s="443">
        <f t="shared" si="76"/>
        <v>123878.00005733701</v>
      </c>
      <c r="AT173" s="443">
        <f t="shared" si="76"/>
        <v>116309.00003746299</v>
      </c>
      <c r="AU173" s="443">
        <f t="shared" si="76"/>
        <v>174337.00003646497</v>
      </c>
      <c r="AV173" s="443"/>
      <c r="AW173" s="443">
        <f t="shared" si="76"/>
        <v>0</v>
      </c>
      <c r="AX173" s="443">
        <f t="shared" si="76"/>
        <v>0</v>
      </c>
      <c r="AY173" s="443">
        <f t="shared" si="76"/>
        <v>0</v>
      </c>
      <c r="AZ173" s="443">
        <f t="shared" si="76"/>
        <v>19737.000004249698</v>
      </c>
      <c r="BA173" s="443">
        <f t="shared" si="76"/>
        <v>22127.000010313499</v>
      </c>
      <c r="BB173" s="553">
        <f t="shared" si="76"/>
        <v>-7.4433947564332512E-2</v>
      </c>
      <c r="BC173" s="553">
        <f t="shared" si="76"/>
        <v>-2.7340527958074836</v>
      </c>
      <c r="BD173" s="553" t="e">
        <f t="shared" si="76"/>
        <v>#DIV/0!</v>
      </c>
      <c r="BE173" s="538">
        <f t="shared" si="76"/>
        <v>7.2549129453514924E-2</v>
      </c>
      <c r="BF173" s="538">
        <f t="shared" si="76"/>
        <v>-0.51032706637322389</v>
      </c>
      <c r="BG173" s="538" t="e">
        <f t="shared" si="76"/>
        <v>#DIV/0!</v>
      </c>
    </row>
    <row r="174" spans="1:59" ht="15" customHeight="1">
      <c r="A174" s="449">
        <v>2017</v>
      </c>
      <c r="B174" s="449"/>
      <c r="C174" s="449"/>
      <c r="D174" s="441"/>
      <c r="E174" s="441"/>
      <c r="F174" s="441"/>
      <c r="G174" s="441"/>
      <c r="H174" s="441"/>
      <c r="I174" s="441"/>
      <c r="J174" s="438" t="s">
        <v>150</v>
      </c>
      <c r="K174" s="543">
        <f t="shared" si="75"/>
        <v>13.872835624583544</v>
      </c>
      <c r="L174" s="543">
        <f t="shared" si="75"/>
        <v>14.164052518672818</v>
      </c>
      <c r="M174" s="543">
        <f t="shared" si="75"/>
        <v>13.239257128875828</v>
      </c>
      <c r="N174" s="543">
        <f t="shared" si="75"/>
        <v>14.564565370462516</v>
      </c>
      <c r="O174" s="543">
        <f t="shared" si="75"/>
        <v>14.990157532908382</v>
      </c>
      <c r="P174" s="550">
        <f t="shared" si="42"/>
        <v>-4.403210576015109</v>
      </c>
      <c r="Q174" s="550">
        <f t="shared" si="43"/>
        <v>-0.86238532110091748</v>
      </c>
      <c r="R174" s="550">
        <f t="shared" si="44"/>
        <v>-1.0765124555160142</v>
      </c>
      <c r="S174" s="550">
        <f t="shared" si="45"/>
        <v>-1.4666666666666666</v>
      </c>
      <c r="T174" s="550">
        <f t="shared" si="46"/>
        <v>-4.7883843064565959E-2</v>
      </c>
      <c r="U174" s="551">
        <f t="shared" si="57"/>
        <v>1.7927291088109063</v>
      </c>
      <c r="V174" s="551">
        <f t="shared" si="47"/>
        <v>0.80676797068649642</v>
      </c>
      <c r="W174" s="551">
        <f t="shared" si="48"/>
        <v>0.72022492625368728</v>
      </c>
      <c r="X174" s="551">
        <f t="shared" si="49"/>
        <v>0.6130018907796686</v>
      </c>
      <c r="Y174" s="551">
        <f t="shared" si="50"/>
        <v>0.5355395550632327</v>
      </c>
      <c r="Z174" s="551">
        <f t="shared" si="51"/>
        <v>0.26735672809896494</v>
      </c>
      <c r="AA174" s="551">
        <f t="shared" si="52"/>
        <v>0.15271042138161439</v>
      </c>
      <c r="AB174" s="551">
        <f t="shared" si="53"/>
        <v>5.1806784660766964E-2</v>
      </c>
      <c r="AC174" s="551">
        <f t="shared" si="54"/>
        <v>0.11761761761761762</v>
      </c>
      <c r="AD174" s="551">
        <f t="shared" si="55"/>
        <v>0.14940459706452505</v>
      </c>
      <c r="AE174" s="51"/>
      <c r="AF174" s="61">
        <f t="shared" si="58"/>
        <v>-4.8616582688589191E-2</v>
      </c>
      <c r="AG174" s="61">
        <f t="shared" si="59"/>
        <v>-1.1700739064551957</v>
      </c>
      <c r="AH174" s="51"/>
      <c r="AI174" s="51"/>
      <c r="AJ174" s="51"/>
      <c r="AK174" s="61">
        <f t="shared" si="60"/>
        <v>-7.044606422353783</v>
      </c>
      <c r="AL174" s="61">
        <f t="shared" si="61"/>
        <v>6.9389329144290492</v>
      </c>
      <c r="AM174" s="844">
        <f t="shared" si="62"/>
        <v>-1.7509004040325533</v>
      </c>
      <c r="AN174" s="846">
        <f t="shared" si="63"/>
        <v>-1.117321908324838</v>
      </c>
      <c r="AO174" s="552">
        <f t="shared" si="64"/>
        <v>0.18468537119045458</v>
      </c>
      <c r="AP174" s="552">
        <f t="shared" si="65"/>
        <v>1.2571895537476736</v>
      </c>
      <c r="AQ174" s="443">
        <f t="shared" ref="AQ174:BG174" si="77">AQ14</f>
        <v>-3140000</v>
      </c>
      <c r="AR174" s="443">
        <f t="shared" si="77"/>
        <v>1793000</v>
      </c>
      <c r="AS174" s="443">
        <f t="shared" si="77"/>
        <v>3035000</v>
      </c>
      <c r="AT174" s="443">
        <f t="shared" si="77"/>
        <v>6959000</v>
      </c>
      <c r="AU174" s="443">
        <f t="shared" si="77"/>
        <v>10063000</v>
      </c>
      <c r="AV174" s="443"/>
      <c r="AW174" s="443">
        <f t="shared" si="77"/>
        <v>556000</v>
      </c>
      <c r="AX174" s="443">
        <f t="shared" si="77"/>
        <v>6716000</v>
      </c>
      <c r="AY174" s="443">
        <f t="shared" si="77"/>
        <v>7349000</v>
      </c>
      <c r="AZ174" s="443">
        <f t="shared" si="77"/>
        <v>10164000</v>
      </c>
      <c r="BA174" s="443">
        <f t="shared" si="77"/>
        <v>6880000</v>
      </c>
      <c r="BB174" s="553">
        <f t="shared" si="77"/>
        <v>-2.2529069767441859E-2</v>
      </c>
      <c r="BC174" s="553">
        <f t="shared" si="77"/>
        <v>-0.30519480519480519</v>
      </c>
      <c r="BD174" s="553">
        <f t="shared" si="77"/>
        <v>-8.2324125731392028E-2</v>
      </c>
      <c r="BE174" s="538">
        <f t="shared" si="77"/>
        <v>3.2036423714219078</v>
      </c>
      <c r="BF174" s="538">
        <f t="shared" si="77"/>
        <v>-0.38298875795423715</v>
      </c>
      <c r="BG174" s="538">
        <f t="shared" si="77"/>
        <v>-9.3164995171767725E-2</v>
      </c>
    </row>
    <row r="175" spans="1:59" ht="15" customHeight="1">
      <c r="A175" s="449">
        <v>2014</v>
      </c>
      <c r="B175" s="449"/>
      <c r="C175" s="449"/>
      <c r="D175" s="441"/>
      <c r="E175" s="441"/>
      <c r="F175" s="441"/>
      <c r="G175" s="441"/>
      <c r="H175" s="441"/>
      <c r="I175" s="441"/>
      <c r="J175" s="438" t="s">
        <v>157</v>
      </c>
      <c r="K175" s="543">
        <f t="shared" si="75"/>
        <v>14.243568514725073</v>
      </c>
      <c r="L175" s="543">
        <f t="shared" si="75"/>
        <v>14.166836923726073</v>
      </c>
      <c r="M175" s="543">
        <f t="shared" si="75"/>
        <v>14.19459952046863</v>
      </c>
      <c r="N175" s="543">
        <f t="shared" si="75"/>
        <v>14.364191925274701</v>
      </c>
      <c r="O175" s="543">
        <f t="shared" si="75"/>
        <v>14.550728712744503</v>
      </c>
      <c r="P175" s="550">
        <f t="shared" si="42"/>
        <v>-2.0815694709227485E-2</v>
      </c>
      <c r="Q175" s="550">
        <f t="shared" si="43"/>
        <v>2.4500492979701624E-2</v>
      </c>
      <c r="R175" s="550">
        <f t="shared" si="44"/>
        <v>-0.10960311522684166</v>
      </c>
      <c r="S175" s="550">
        <f t="shared" si="45"/>
        <v>-6.7731426732656683E-2</v>
      </c>
      <c r="T175" s="550">
        <f t="shared" si="46"/>
        <v>-6.118593226928714E-3</v>
      </c>
      <c r="U175" s="551">
        <f t="shared" si="57"/>
        <v>0.71543795420384682</v>
      </c>
      <c r="V175" s="551">
        <f t="shared" si="47"/>
        <v>0.98147400411029573</v>
      </c>
      <c r="W175" s="551">
        <f t="shared" si="48"/>
        <v>0.80631043329849894</v>
      </c>
      <c r="X175" s="551">
        <f t="shared" si="49"/>
        <v>0.6003439152888187</v>
      </c>
      <c r="Y175" s="551">
        <f t="shared" si="50"/>
        <v>0.55432670426035946</v>
      </c>
      <c r="Z175" s="551">
        <f t="shared" si="51"/>
        <v>1.1065877047974313</v>
      </c>
      <c r="AA175" s="551">
        <f t="shared" si="52"/>
        <v>1.1709159498919688</v>
      </c>
      <c r="AB175" s="551">
        <f t="shared" si="53"/>
        <v>1.1619043756133796</v>
      </c>
      <c r="AC175" s="551">
        <f t="shared" si="54"/>
        <v>1.2016687597320599</v>
      </c>
      <c r="AD175" s="551">
        <f t="shared" si="55"/>
        <v>1.0572273249313491</v>
      </c>
      <c r="AE175" s="51"/>
      <c r="AF175" s="61">
        <f t="shared" si="58"/>
        <v>-0.12087959521327585</v>
      </c>
      <c r="AG175" s="61">
        <f t="shared" si="59"/>
        <v>-1.656564788239916E-2</v>
      </c>
      <c r="AH175" s="51"/>
      <c r="AI175" s="51"/>
      <c r="AJ175" s="51"/>
      <c r="AK175" s="61">
        <f t="shared" si="60"/>
        <v>-0.23774844126114164</v>
      </c>
      <c r="AL175" s="61">
        <f t="shared" si="61"/>
        <v>-0.13942745874044876</v>
      </c>
      <c r="AM175" s="844">
        <f t="shared" si="62"/>
        <v>-0.35612919227587286</v>
      </c>
      <c r="AN175" s="846">
        <f t="shared" si="63"/>
        <v>-0.30716019801943018</v>
      </c>
      <c r="AO175" s="552">
        <f t="shared" si="64"/>
        <v>0.25198372903813948</v>
      </c>
      <c r="AP175" s="552">
        <f t="shared" si="65"/>
        <v>0.16111124994348736</v>
      </c>
      <c r="AQ175" s="443">
        <f t="shared" ref="AQ175:BG175" si="78">AQ15</f>
        <v>394543</v>
      </c>
      <c r="AR175" s="443">
        <f t="shared" si="78"/>
        <v>22483</v>
      </c>
      <c r="AS175" s="443">
        <f t="shared" si="78"/>
        <v>243541</v>
      </c>
      <c r="AT175" s="443">
        <f t="shared" si="78"/>
        <v>575693</v>
      </c>
      <c r="AU175" s="443">
        <f t="shared" si="78"/>
        <v>879326</v>
      </c>
      <c r="AV175" s="443"/>
      <c r="AW175" s="443">
        <f t="shared" si="78"/>
        <v>598015</v>
      </c>
      <c r="AX175" s="443">
        <f t="shared" si="78"/>
        <v>839594</v>
      </c>
      <c r="AY175" s="443">
        <f t="shared" si="78"/>
        <v>612645</v>
      </c>
      <c r="AZ175" s="443">
        <f t="shared" si="78"/>
        <v>475868</v>
      </c>
      <c r="BA175" s="443">
        <f t="shared" si="78"/>
        <v>628405</v>
      </c>
      <c r="BB175" s="553">
        <f t="shared" si="78"/>
        <v>-2.0310150301159284E-2</v>
      </c>
      <c r="BC175" s="553">
        <f t="shared" si="78"/>
        <v>-0.24637294375751259</v>
      </c>
      <c r="BD175" s="553">
        <f t="shared" si="78"/>
        <v>-0.26136669686359965</v>
      </c>
      <c r="BE175" s="538">
        <f t="shared" si="78"/>
        <v>-7.9520273669428349E-2</v>
      </c>
      <c r="BF175" s="538">
        <f t="shared" si="78"/>
        <v>-4.3304199319062361E-2</v>
      </c>
      <c r="BG175" s="538">
        <f t="shared" si="78"/>
        <v>-0.28645864844764818</v>
      </c>
    </row>
    <row r="176" spans="1:59" ht="15" customHeight="1">
      <c r="A176" s="449">
        <v>2018</v>
      </c>
      <c r="B176" s="449"/>
      <c r="C176" s="449"/>
      <c r="D176" s="441"/>
      <c r="E176" s="441"/>
      <c r="F176" s="441"/>
      <c r="G176" s="441"/>
      <c r="H176" s="441"/>
      <c r="I176" s="441"/>
      <c r="J176" s="438" t="s">
        <v>202</v>
      </c>
      <c r="K176" s="543">
        <f t="shared" si="75"/>
        <v>13.127369147549226</v>
      </c>
      <c r="L176" s="543">
        <f t="shared" si="75"/>
        <v>12.824690332225909</v>
      </c>
      <c r="M176" s="543">
        <f t="shared" si="75"/>
        <v>12.794745448823448</v>
      </c>
      <c r="N176" s="543">
        <f t="shared" si="75"/>
        <v>12.871997269962757</v>
      </c>
      <c r="O176" s="543">
        <f t="shared" si="75"/>
        <v>12.828650204222868</v>
      </c>
      <c r="P176" s="550">
        <f t="shared" si="42"/>
        <v>6.3016516484524304E-2</v>
      </c>
      <c r="Q176" s="550">
        <f t="shared" si="43"/>
        <v>4.0046999907229465E-2</v>
      </c>
      <c r="R176" s="550">
        <f t="shared" si="44"/>
        <v>4.7657530468544394E-2</v>
      </c>
      <c r="S176" s="550">
        <f t="shared" si="45"/>
        <v>0.10519543360765714</v>
      </c>
      <c r="T176" s="550">
        <f t="shared" si="46"/>
        <v>0.10802735688773017</v>
      </c>
      <c r="U176" s="551">
        <f t="shared" si="57"/>
        <v>0.61892188082113919</v>
      </c>
      <c r="V176" s="551">
        <f t="shared" si="47"/>
        <v>0.53931177928533702</v>
      </c>
      <c r="W176" s="551">
        <f t="shared" si="48"/>
        <v>0.53585694260627115</v>
      </c>
      <c r="X176" s="551">
        <f t="shared" si="49"/>
        <v>0.49556940751616263</v>
      </c>
      <c r="Y176" s="551">
        <f t="shared" si="50"/>
        <v>0.52727117164756065</v>
      </c>
      <c r="Z176" s="551">
        <f t="shared" si="51"/>
        <v>0.53372073562265909</v>
      </c>
      <c r="AA176" s="551">
        <f t="shared" si="52"/>
        <v>0.44935644507403777</v>
      </c>
      <c r="AB176" s="551">
        <f t="shared" si="53"/>
        <v>0.42618953254130459</v>
      </c>
      <c r="AC176" s="551">
        <f t="shared" si="54"/>
        <v>1.3838746802118853</v>
      </c>
      <c r="AD176" s="551">
        <f t="shared" si="55"/>
        <v>1.3578622679146577</v>
      </c>
      <c r="AE176" s="51"/>
      <c r="AF176" s="61">
        <f t="shared" si="58"/>
        <v>-0.1263751311879375</v>
      </c>
      <c r="AG176" s="61">
        <f t="shared" si="59"/>
        <v>-0.11305305028590168</v>
      </c>
      <c r="AH176" s="51"/>
      <c r="AI176" s="51"/>
      <c r="AJ176" s="51"/>
      <c r="AK176" s="61">
        <f t="shared" si="60"/>
        <v>-2.1372069772320493E-2</v>
      </c>
      <c r="AL176" s="61">
        <f t="shared" si="61"/>
        <v>-0.16085266541909315</v>
      </c>
      <c r="AM176" s="844">
        <f t="shared" si="62"/>
        <v>-3.3904755399418146E-2</v>
      </c>
      <c r="AN176" s="846">
        <f t="shared" si="63"/>
        <v>0.29871894332635845</v>
      </c>
      <c r="AO176" s="552">
        <f t="shared" si="64"/>
        <v>8.5857709587104925E-3</v>
      </c>
      <c r="AP176" s="552">
        <f t="shared" si="65"/>
        <v>9.1650709173578537E-2</v>
      </c>
      <c r="AQ176" s="443">
        <f t="shared" ref="AQ176:BG176" si="79">AQ16</f>
        <v>358792.96562999999</v>
      </c>
      <c r="AR176" s="443">
        <f t="shared" si="79"/>
        <v>380634.69884999999</v>
      </c>
      <c r="AS176" s="443">
        <f t="shared" si="79"/>
        <v>392406.59671499999</v>
      </c>
      <c r="AT176" s="443">
        <f t="shared" si="79"/>
        <v>141886.937814</v>
      </c>
      <c r="AU176" s="443">
        <f t="shared" si="79"/>
        <v>129768.22408000001</v>
      </c>
      <c r="AV176" s="443"/>
      <c r="AW176" s="443">
        <f t="shared" si="79"/>
        <v>347812.83973800001</v>
      </c>
      <c r="AX176" s="443">
        <f t="shared" si="79"/>
        <v>370515.03735</v>
      </c>
      <c r="AY176" s="443">
        <f t="shared" si="79"/>
        <v>394691.07720699999</v>
      </c>
      <c r="AZ176" s="443">
        <f t="shared" si="79"/>
        <v>62769.46557</v>
      </c>
      <c r="BA176" s="443">
        <f t="shared" si="79"/>
        <v>61908.309760000004</v>
      </c>
      <c r="BB176" s="553">
        <f t="shared" si="79"/>
        <v>0.65042435857321657</v>
      </c>
      <c r="BC176" s="553">
        <f t="shared" si="79"/>
        <v>0.65235777453505561</v>
      </c>
      <c r="BD176" s="553">
        <f t="shared" si="79"/>
        <v>4.3507243813353295E-2</v>
      </c>
      <c r="BE176" s="538">
        <f t="shared" si="79"/>
        <v>0.38343973263337788</v>
      </c>
      <c r="BF176" s="538">
        <f t="shared" si="79"/>
        <v>0.34269240868160583</v>
      </c>
      <c r="BG176" s="538">
        <f t="shared" si="79"/>
        <v>5.3148298096975723E-2</v>
      </c>
    </row>
    <row r="177" spans="1:59" ht="15" customHeight="1">
      <c r="A177" s="449">
        <v>2018</v>
      </c>
      <c r="B177" s="449"/>
      <c r="C177" s="449"/>
      <c r="D177" s="441"/>
      <c r="E177" s="441"/>
      <c r="F177" s="441"/>
      <c r="G177" s="441"/>
      <c r="H177" s="441"/>
      <c r="I177" s="441"/>
      <c r="J177" s="438" t="s">
        <v>203</v>
      </c>
      <c r="K177" s="543">
        <f t="shared" si="75"/>
        <v>11.270277424747061</v>
      </c>
      <c r="L177" s="543">
        <f t="shared" si="75"/>
        <v>11.349827071754406</v>
      </c>
      <c r="M177" s="543">
        <f t="shared" si="75"/>
        <v>11.684927239524544</v>
      </c>
      <c r="N177" s="543">
        <f t="shared" si="75"/>
        <v>11.674409047214658</v>
      </c>
      <c r="O177" s="543">
        <f t="shared" si="75"/>
        <v>11.70238853743122</v>
      </c>
      <c r="P177" s="550">
        <f t="shared" si="42"/>
        <v>0.3943040965589597</v>
      </c>
      <c r="Q177" s="550">
        <f t="shared" si="43"/>
        <v>0.30503429336350985</v>
      </c>
      <c r="R177" s="550">
        <f t="shared" si="44"/>
        <v>0.22842911708380345</v>
      </c>
      <c r="S177" s="550">
        <f t="shared" si="45"/>
        <v>0.32789448690143541</v>
      </c>
      <c r="T177" s="550">
        <f t="shared" si="46"/>
        <v>0.46268774042313349</v>
      </c>
      <c r="U177" s="551">
        <f t="shared" si="57"/>
        <v>0.92397424677439699</v>
      </c>
      <c r="V177" s="551">
        <f t="shared" si="47"/>
        <v>0.92537445354600445</v>
      </c>
      <c r="W177" s="551">
        <f t="shared" si="48"/>
        <v>0.92719219275316167</v>
      </c>
      <c r="X177" s="551">
        <f t="shared" si="49"/>
        <v>0.92427448384922795</v>
      </c>
      <c r="Y177" s="551">
        <f t="shared" si="50"/>
        <v>0.92433030779166403</v>
      </c>
      <c r="Z177" s="551">
        <f t="shared" si="51"/>
        <v>1.1822754582850611E-2</v>
      </c>
      <c r="AA177" s="551">
        <f t="shared" si="52"/>
        <v>1.2939049244596856E-2</v>
      </c>
      <c r="AB177" s="551">
        <f t="shared" si="53"/>
        <v>2.1254211752348057E-2</v>
      </c>
      <c r="AC177" s="551">
        <f t="shared" si="54"/>
        <v>1.7639318134164417E-2</v>
      </c>
      <c r="AD177" s="551">
        <f t="shared" si="55"/>
        <v>1.9254195524677997E-2</v>
      </c>
      <c r="AE177" s="51"/>
      <c r="AF177" s="61">
        <f t="shared" si="58"/>
        <v>-4.0535993960774059E-3</v>
      </c>
      <c r="AG177" s="61">
        <f t="shared" si="59"/>
        <v>-4.2469196563492606E-3</v>
      </c>
      <c r="AH177" s="51"/>
      <c r="AI177" s="51"/>
      <c r="AJ177" s="51"/>
      <c r="AK177" s="61">
        <f t="shared" si="60"/>
        <v>-2.679315048472547E-3</v>
      </c>
      <c r="AL177" s="61">
        <f t="shared" si="61"/>
        <v>-7.0598298689302647E-2</v>
      </c>
      <c r="AM177" s="844">
        <f t="shared" si="62"/>
        <v>-1.7461297906676578E-2</v>
      </c>
      <c r="AN177" s="846">
        <f t="shared" si="63"/>
        <v>-0.43211111268415975</v>
      </c>
      <c r="AO177" s="552">
        <f t="shared" si="64"/>
        <v>2.8618849614976405E-3</v>
      </c>
      <c r="AP177" s="552">
        <f t="shared" si="65"/>
        <v>-3.5606101726703976E-4</v>
      </c>
      <c r="AQ177" s="443">
        <f t="shared" ref="AQ177:BG177" si="80">AQ17</f>
        <v>504500.21089515102</v>
      </c>
      <c r="AR177" s="443">
        <f t="shared" si="80"/>
        <v>489950.74953198398</v>
      </c>
      <c r="AS177" s="443">
        <f t="shared" si="80"/>
        <v>406848.17300840502</v>
      </c>
      <c r="AT177" s="443">
        <f t="shared" si="80"/>
        <v>504535.67251093697</v>
      </c>
      <c r="AU177" s="443">
        <f t="shared" si="80"/>
        <v>474984.41134495998</v>
      </c>
      <c r="AV177" s="443"/>
      <c r="AW177" s="443">
        <f t="shared" si="80"/>
        <v>504500.21089515102</v>
      </c>
      <c r="AX177" s="443">
        <f t="shared" si="80"/>
        <v>489950.74953198398</v>
      </c>
      <c r="AY177" s="443">
        <f t="shared" si="80"/>
        <v>406848.17300840502</v>
      </c>
      <c r="AZ177" s="443">
        <f t="shared" si="80"/>
        <v>504535.67251093697</v>
      </c>
      <c r="BA177" s="443">
        <f t="shared" si="80"/>
        <v>474984.41134495998</v>
      </c>
      <c r="BB177" s="553">
        <f t="shared" si="80"/>
        <v>0.11773115445548329</v>
      </c>
      <c r="BC177" s="553">
        <f t="shared" si="80"/>
        <v>7.6378946792217448E-2</v>
      </c>
      <c r="BD177" s="553">
        <f t="shared" si="80"/>
        <v>6.6683519370951738E-2</v>
      </c>
      <c r="BE177" s="538">
        <f t="shared" si="80"/>
        <v>0.11353028693078687</v>
      </c>
      <c r="BF177" s="538">
        <f t="shared" si="80"/>
        <v>7.4971270647768498E-2</v>
      </c>
      <c r="BG177" s="538">
        <f t="shared" si="80"/>
        <v>6.6163123153705858E-2</v>
      </c>
    </row>
    <row r="178" spans="1:59" ht="15" customHeight="1">
      <c r="A178" s="449">
        <v>2012</v>
      </c>
      <c r="B178" s="449"/>
      <c r="C178" s="449"/>
      <c r="D178" s="441"/>
      <c r="E178" s="441"/>
      <c r="F178" s="441"/>
      <c r="G178" s="441"/>
      <c r="H178" s="441"/>
      <c r="I178" s="441"/>
      <c r="J178" s="438" t="s">
        <v>204</v>
      </c>
      <c r="K178" s="543">
        <f t="shared" si="75"/>
        <v>8.9466178663838001</v>
      </c>
      <c r="L178" s="543">
        <f t="shared" si="75"/>
        <v>8.3363578218121841</v>
      </c>
      <c r="M178" s="543">
        <f t="shared" si="75"/>
        <v>8.3923371693876785</v>
      </c>
      <c r="N178" s="543">
        <f t="shared" si="75"/>
        <v>8.4087077488954058</v>
      </c>
      <c r="O178" s="543">
        <f t="shared" si="75"/>
        <v>8.2968183289037931</v>
      </c>
      <c r="P178" s="550">
        <f t="shared" si="42"/>
        <v>-0.27749433605810903</v>
      </c>
      <c r="Q178" s="550">
        <f t="shared" si="43"/>
        <v>-5.4617399492252483</v>
      </c>
      <c r="R178" s="550">
        <f t="shared" si="44"/>
        <v>-1.5000000186346263</v>
      </c>
      <c r="S178" s="550">
        <f t="shared" si="45"/>
        <v>-1.6176470964904832</v>
      </c>
      <c r="T178" s="550">
        <f t="shared" si="46"/>
        <v>0.87096772179637183</v>
      </c>
      <c r="U178" s="551">
        <f t="shared" si="57"/>
        <v>0.73525387121816688</v>
      </c>
      <c r="V178" s="551">
        <f t="shared" si="47"/>
        <v>0.73948967829543233</v>
      </c>
      <c r="W178" s="551">
        <f t="shared" si="48"/>
        <v>0.64859133617857245</v>
      </c>
      <c r="X178" s="551">
        <f t="shared" si="49"/>
        <v>0.57794015306229773</v>
      </c>
      <c r="Y178" s="551">
        <f t="shared" si="50"/>
        <v>0.46730930381713154</v>
      </c>
      <c r="Z178" s="551">
        <f t="shared" si="51"/>
        <v>1.9624421554664099E-2</v>
      </c>
      <c r="AA178" s="551">
        <f t="shared" si="52"/>
        <v>9.2023881889246439E-3</v>
      </c>
      <c r="AB178" s="551">
        <f t="shared" si="53"/>
        <v>9.694032048110722E-3</v>
      </c>
      <c r="AC178" s="551">
        <f t="shared" si="54"/>
        <v>1.1830201645575003E-2</v>
      </c>
      <c r="AD178" s="551">
        <f t="shared" si="55"/>
        <v>1.2992456189108938E-2</v>
      </c>
      <c r="AE178" s="51"/>
      <c r="AF178" s="61">
        <f t="shared" si="58"/>
        <v>-2.5857058220378131E-2</v>
      </c>
      <c r="AG178" s="61">
        <f t="shared" si="59"/>
        <v>-1.6761675797403341E-2</v>
      </c>
      <c r="AH178" s="51"/>
      <c r="AI178" s="51"/>
      <c r="AJ178" s="51"/>
      <c r="AK178" s="61">
        <f t="shared" si="60"/>
        <v>-2.2162824188247988E-2</v>
      </c>
      <c r="AL178" s="61">
        <f t="shared" si="61"/>
        <v>-4.3837123763492358E-2</v>
      </c>
      <c r="AM178" s="844">
        <f t="shared" si="62"/>
        <v>9.5518840483884954E-2</v>
      </c>
      <c r="AN178" s="846">
        <f t="shared" si="63"/>
        <v>0.64979953748000741</v>
      </c>
      <c r="AO178" s="552">
        <f t="shared" si="64"/>
        <v>0.18128203236144091</v>
      </c>
      <c r="AP178" s="552">
        <f t="shared" si="65"/>
        <v>0.26794456740103534</v>
      </c>
      <c r="AQ178" s="443">
        <f t="shared" ref="AQ178:BG178" si="81">AQ18</f>
        <v>103633.346992929</v>
      </c>
      <c r="AR178" s="443">
        <f t="shared" si="81"/>
        <v>118129.560047359</v>
      </c>
      <c r="AS178" s="443">
        <f t="shared" si="81"/>
        <v>159975.596007249</v>
      </c>
      <c r="AT178" s="443">
        <f t="shared" si="81"/>
        <v>159911.27426799701</v>
      </c>
      <c r="AU178" s="443">
        <f t="shared" si="81"/>
        <v>164454.691622124</v>
      </c>
      <c r="AV178" s="443"/>
      <c r="AW178" s="443">
        <f t="shared" si="81"/>
        <v>31300.123161826901</v>
      </c>
      <c r="AX178" s="443">
        <f t="shared" si="81"/>
        <v>35669.061524065401</v>
      </c>
      <c r="AY178" s="443">
        <f t="shared" si="81"/>
        <v>41510.908979121094</v>
      </c>
      <c r="AZ178" s="443">
        <f t="shared" si="81"/>
        <v>42616.6184284173</v>
      </c>
      <c r="BA178" s="443">
        <f t="shared" si="81"/>
        <v>24713.490178484699</v>
      </c>
      <c r="BB178" s="553">
        <f t="shared" si="81"/>
        <v>0.14136125580178271</v>
      </c>
      <c r="BC178" s="553">
        <f t="shared" si="81"/>
        <v>-0.17027863958381551</v>
      </c>
      <c r="BD178" s="553">
        <f t="shared" si="81"/>
        <v>-0.15946843935433613</v>
      </c>
      <c r="BE178" s="538">
        <f t="shared" si="81"/>
        <v>5.5818554362377357E-2</v>
      </c>
      <c r="BF178" s="538">
        <f t="shared" si="81"/>
        <v>-0.1675889046756262</v>
      </c>
      <c r="BG178" s="538">
        <f t="shared" si="81"/>
        <v>-0.11797382023273485</v>
      </c>
    </row>
    <row r="179" spans="1:59" ht="15" customHeight="1">
      <c r="A179" s="449">
        <v>2013</v>
      </c>
      <c r="B179" s="449"/>
      <c r="C179" s="449"/>
      <c r="D179" s="441"/>
      <c r="E179" s="441"/>
      <c r="F179" s="441"/>
      <c r="G179" s="441"/>
      <c r="H179" s="441"/>
      <c r="I179" s="441"/>
      <c r="J179" s="438" t="s">
        <v>205</v>
      </c>
      <c r="K179" s="543">
        <f t="shared" si="75"/>
        <v>12.377080442423855</v>
      </c>
      <c r="L179" s="543">
        <f t="shared" si="75"/>
        <v>12.812572019364447</v>
      </c>
      <c r="M179" s="543">
        <f t="shared" si="75"/>
        <v>12.679196402112153</v>
      </c>
      <c r="N179" s="543">
        <f t="shared" si="75"/>
        <v>12.428015476267865</v>
      </c>
      <c r="O179" s="543">
        <f t="shared" si="75"/>
        <v>12.063356343328579</v>
      </c>
      <c r="P179" s="550">
        <f t="shared" si="42"/>
        <v>-0.36072482090181207</v>
      </c>
      <c r="Q179" s="550">
        <f t="shared" si="43"/>
        <v>-0.41139585605234458</v>
      </c>
      <c r="R179" s="550">
        <f t="shared" si="44"/>
        <v>-0.36915887850467288</v>
      </c>
      <c r="S179" s="550">
        <f t="shared" si="45"/>
        <v>-0.41529835802963555</v>
      </c>
      <c r="T179" s="550">
        <f t="shared" si="46"/>
        <v>-0.17877739331026529</v>
      </c>
      <c r="U179" s="551">
        <f t="shared" si="57"/>
        <v>0.79879107452896925</v>
      </c>
      <c r="V179" s="551">
        <f t="shared" si="47"/>
        <v>0.76854650168215777</v>
      </c>
      <c r="W179" s="551">
        <f t="shared" si="48"/>
        <v>0.7199738903394256</v>
      </c>
      <c r="X179" s="551">
        <f t="shared" si="49"/>
        <v>0.6840864984751871</v>
      </c>
      <c r="Y179" s="551">
        <f t="shared" si="50"/>
        <v>0.61481653776821543</v>
      </c>
      <c r="Z179" s="551">
        <f t="shared" si="51"/>
        <v>0.15259468844447302</v>
      </c>
      <c r="AA179" s="551">
        <f t="shared" si="52"/>
        <v>0.20915778069225066</v>
      </c>
      <c r="AB179" s="551">
        <f t="shared" si="53"/>
        <v>0.16117694316127737</v>
      </c>
      <c r="AC179" s="551">
        <f t="shared" si="54"/>
        <v>0.11537750669993531</v>
      </c>
      <c r="AD179" s="551">
        <f t="shared" si="55"/>
        <v>0.10083154038495086</v>
      </c>
      <c r="AE179" s="51"/>
      <c r="AF179" s="61">
        <f t="shared" si="58"/>
        <v>-4.1473499624748299E-2</v>
      </c>
      <c r="AG179" s="61">
        <f t="shared" si="59"/>
        <v>-3.7018291706220084E-2</v>
      </c>
      <c r="AH179" s="51"/>
      <c r="AI179" s="51"/>
      <c r="AJ179" s="51"/>
      <c r="AK179" s="61">
        <f t="shared" si="60"/>
        <v>4.7261250895308304E-2</v>
      </c>
      <c r="AL179" s="61">
        <f t="shared" si="61"/>
        <v>-0.19176407619006203</v>
      </c>
      <c r="AM179" s="844">
        <f t="shared" si="62"/>
        <v>0.6158400587835744</v>
      </c>
      <c r="AN179" s="846">
        <f t="shared" si="63"/>
        <v>0.31372409909527638</v>
      </c>
      <c r="AO179" s="552">
        <f t="shared" si="64"/>
        <v>0.10515735257121017</v>
      </c>
      <c r="AP179" s="552">
        <f t="shared" si="65"/>
        <v>0.18397453676075382</v>
      </c>
      <c r="AQ179" s="443">
        <f t="shared" ref="AQ179:BG179" si="82">AQ19</f>
        <v>312900</v>
      </c>
      <c r="AR179" s="443">
        <f t="shared" si="82"/>
        <v>405900</v>
      </c>
      <c r="AS179" s="443">
        <f t="shared" si="82"/>
        <v>557700</v>
      </c>
      <c r="AT179" s="443">
        <f t="shared" si="82"/>
        <v>683700</v>
      </c>
      <c r="AU179" s="443">
        <f t="shared" si="82"/>
        <v>662400</v>
      </c>
      <c r="AV179" s="443"/>
      <c r="AW179" s="443">
        <f t="shared" si="82"/>
        <v>801200</v>
      </c>
      <c r="AX179" s="443">
        <f t="shared" si="82"/>
        <v>939400</v>
      </c>
      <c r="AY179" s="443">
        <f t="shared" si="82"/>
        <v>1188400</v>
      </c>
      <c r="AZ179" s="443">
        <f t="shared" si="82"/>
        <v>1196200</v>
      </c>
      <c r="BA179" s="443">
        <f t="shared" si="82"/>
        <v>790900</v>
      </c>
      <c r="BB179" s="553">
        <f t="shared" si="82"/>
        <v>-3.919585282589455E-2</v>
      </c>
      <c r="BC179" s="553">
        <f t="shared" si="82"/>
        <v>-8.6691188764420668E-2</v>
      </c>
      <c r="BD179" s="553">
        <f t="shared" si="82"/>
        <v>-9.971390104341972E-2</v>
      </c>
      <c r="BE179" s="538">
        <f t="shared" si="82"/>
        <v>-0.11583922783101623</v>
      </c>
      <c r="BF179" s="538">
        <f t="shared" si="82"/>
        <v>-0.1582485378147013</v>
      </c>
      <c r="BG179" s="538">
        <f t="shared" si="82"/>
        <v>-0.125252165678509</v>
      </c>
    </row>
    <row r="180" spans="1:59" ht="15" customHeight="1">
      <c r="A180" s="449">
        <v>2012</v>
      </c>
      <c r="B180" s="449"/>
      <c r="C180" s="449"/>
      <c r="D180" s="441">
        <v>0.25</v>
      </c>
      <c r="E180" s="441"/>
      <c r="F180" s="441"/>
      <c r="G180" s="441"/>
      <c r="H180" s="441"/>
      <c r="I180" s="441"/>
      <c r="J180" s="438" t="s">
        <v>206</v>
      </c>
      <c r="K180" s="543">
        <f t="shared" si="75"/>
        <v>11.546410711111042</v>
      </c>
      <c r="L180" s="543">
        <f t="shared" si="75"/>
        <v>10.456130468113511</v>
      </c>
      <c r="M180" s="543">
        <f t="shared" si="75"/>
        <v>10.911484480118032</v>
      </c>
      <c r="N180" s="543">
        <f t="shared" si="75"/>
        <v>10.770640841221686</v>
      </c>
      <c r="O180" s="543">
        <f t="shared" si="75"/>
        <v>10.782805980878782</v>
      </c>
      <c r="P180" s="550">
        <f t="shared" si="42"/>
        <v>9.8792535675082602E-3</v>
      </c>
      <c r="Q180" s="550">
        <f t="shared" si="43"/>
        <v>2.5007454219475467E-2</v>
      </c>
      <c r="R180" s="550">
        <f t="shared" si="44"/>
        <v>-0.15612985711155866</v>
      </c>
      <c r="S180" s="550">
        <f t="shared" si="45"/>
        <v>-7.4494806634835015E-2</v>
      </c>
      <c r="T180" s="550">
        <f t="shared" si="46"/>
        <v>-0.81599215602035846</v>
      </c>
      <c r="U180" s="551">
        <f t="shared" si="57"/>
        <v>0.46622613803230517</v>
      </c>
      <c r="V180" s="551">
        <f t="shared" si="47"/>
        <v>0.49530157785860063</v>
      </c>
      <c r="W180" s="551">
        <f t="shared" si="48"/>
        <v>0.71210415344619393</v>
      </c>
      <c r="X180" s="551">
        <f t="shared" si="49"/>
        <v>0.90407792055389236</v>
      </c>
      <c r="Y180" s="551">
        <f t="shared" si="50"/>
        <v>1.3313138336579868</v>
      </c>
      <c r="Z180" s="551">
        <f t="shared" si="51"/>
        <v>0.66886930983847048</v>
      </c>
      <c r="AA180" s="551">
        <f t="shared" si="52"/>
        <v>1.7458052216708777</v>
      </c>
      <c r="AB180" s="551">
        <f t="shared" si="53"/>
        <v>1.7051698020511319</v>
      </c>
      <c r="AC180" s="551">
        <f t="shared" si="54"/>
        <v>0.62229889104031044</v>
      </c>
      <c r="AD180" s="551">
        <f t="shared" si="55"/>
        <v>0.49188706480634142</v>
      </c>
      <c r="AE180" s="51"/>
      <c r="AF180" s="61">
        <f t="shared" si="58"/>
        <v>0.13514806898466436</v>
      </c>
      <c r="AG180" s="61">
        <f t="shared" si="59"/>
        <v>0.40798391604527084</v>
      </c>
      <c r="AH180" s="51"/>
      <c r="AI180" s="51"/>
      <c r="AJ180" s="51"/>
      <c r="AK180" s="61">
        <f t="shared" si="60"/>
        <v>-1.0535570458785828</v>
      </c>
      <c r="AL180" s="61">
        <f t="shared" si="61"/>
        <v>-5.3683378514332896</v>
      </c>
      <c r="AM180" s="844">
        <f t="shared" si="62"/>
        <v>0.12867849923925018</v>
      </c>
      <c r="AN180" s="846">
        <f t="shared" si="63"/>
        <v>0.76360473023225994</v>
      </c>
      <c r="AO180" s="552">
        <f t="shared" si="64"/>
        <v>-0.6192096802117929</v>
      </c>
      <c r="AP180" s="552">
        <f t="shared" si="65"/>
        <v>-0.86508769562568166</v>
      </c>
      <c r="AQ180" s="443">
        <f t="shared" ref="AQ180:BG180" si="83">AQ20</f>
        <v>82519.861713051796</v>
      </c>
      <c r="AR180" s="443">
        <f t="shared" si="83"/>
        <v>10047.9143223763</v>
      </c>
      <c r="AS180" s="443">
        <f t="shared" si="83"/>
        <v>9252.6314907073993</v>
      </c>
      <c r="AT180" s="443">
        <f t="shared" si="83"/>
        <v>7337.5224307179496</v>
      </c>
      <c r="AU180" s="443">
        <f t="shared" si="83"/>
        <v>-32455.425308108301</v>
      </c>
      <c r="AV180" s="443"/>
      <c r="AW180" s="443">
        <f t="shared" si="83"/>
        <v>22474.460273981102</v>
      </c>
      <c r="AX180" s="443">
        <f t="shared" si="83"/>
        <v>720.18845824897301</v>
      </c>
      <c r="AY180" s="443">
        <f t="shared" si="83"/>
        <v>2259.7039258181999</v>
      </c>
      <c r="AZ180" s="443">
        <f t="shared" si="83"/>
        <v>15130.5206237733</v>
      </c>
      <c r="BA180" s="443">
        <f t="shared" si="83"/>
        <v>67011.685314774499</v>
      </c>
      <c r="BB180" s="553">
        <f t="shared" si="83"/>
        <v>-0.58674389636273117</v>
      </c>
      <c r="BC180" s="553">
        <f t="shared" si="83"/>
        <v>-0.23436999418583995</v>
      </c>
      <c r="BD180" s="553">
        <f t="shared" si="83"/>
        <v>-3.7864473396899414</v>
      </c>
      <c r="BE180" s="538">
        <f t="shared" si="83"/>
        <v>-0.78845294194064575</v>
      </c>
      <c r="BF180" s="538">
        <f t="shared" si="83"/>
        <v>-0.20324924439120326</v>
      </c>
      <c r="BG180" s="538">
        <f t="shared" si="83"/>
        <v>-2.9933052100453006</v>
      </c>
    </row>
    <row r="181" spans="1:59" ht="15" customHeight="1">
      <c r="A181" s="449">
        <v>2016</v>
      </c>
      <c r="B181" s="449"/>
      <c r="C181" s="449"/>
      <c r="D181" s="441">
        <v>0.13</v>
      </c>
      <c r="E181" s="441"/>
      <c r="F181" s="441"/>
      <c r="G181" s="441"/>
      <c r="H181" s="441"/>
      <c r="I181" s="441"/>
      <c r="J181" s="438" t="s">
        <v>207</v>
      </c>
      <c r="K181" s="543">
        <f t="shared" si="75"/>
        <v>9.9762319090196829</v>
      </c>
      <c r="L181" s="543">
        <f t="shared" si="75"/>
        <v>9.9606376540427561</v>
      </c>
      <c r="M181" s="543">
        <f t="shared" si="75"/>
        <v>10.355055696395604</v>
      </c>
      <c r="N181" s="543">
        <f t="shared" si="75"/>
        <v>10.382549503273609</v>
      </c>
      <c r="O181" s="543">
        <f t="shared" si="75"/>
        <v>10.246698802221225</v>
      </c>
      <c r="P181" s="550">
        <f t="shared" si="42"/>
        <v>-8.1953931691818763E-2</v>
      </c>
      <c r="Q181" s="550">
        <f t="shared" si="43"/>
        <v>3.8098705589549142E-2</v>
      </c>
      <c r="R181" s="550">
        <f t="shared" si="44"/>
        <v>-6.6423439735422876E-2</v>
      </c>
      <c r="S181" s="550">
        <f t="shared" si="45"/>
        <v>-3.7600143703969892E-2</v>
      </c>
      <c r="T181" s="550">
        <f t="shared" si="46"/>
        <v>-4.1470033984569991E-2</v>
      </c>
      <c r="U181" s="551">
        <f t="shared" si="57"/>
        <v>0.57643165683004027</v>
      </c>
      <c r="V181" s="551">
        <f t="shared" si="47"/>
        <v>0.53745849458159367</v>
      </c>
      <c r="W181" s="551">
        <f t="shared" si="48"/>
        <v>0.60893583635966719</v>
      </c>
      <c r="X181" s="551">
        <f t="shared" si="49"/>
        <v>0.63246080578440689</v>
      </c>
      <c r="Y181" s="551">
        <f t="shared" si="50"/>
        <v>0.57075615491812959</v>
      </c>
      <c r="Z181" s="551">
        <f t="shared" si="51"/>
        <v>1.0095907108031821</v>
      </c>
      <c r="AA181" s="551">
        <f t="shared" si="52"/>
        <v>0.85698851120704411</v>
      </c>
      <c r="AB181" s="551">
        <f t="shared" si="53"/>
        <v>1.0430574989687538</v>
      </c>
      <c r="AC181" s="551">
        <f t="shared" si="54"/>
        <v>0.96760176591232883</v>
      </c>
      <c r="AD181" s="551">
        <f t="shared" si="55"/>
        <v>0.90127453257461565</v>
      </c>
      <c r="AE181" s="51"/>
      <c r="AF181" s="61">
        <f t="shared" si="58"/>
        <v>-3.1907581428035195E-2</v>
      </c>
      <c r="AG181" s="61">
        <f t="shared" si="59"/>
        <v>-4.5364042654561995E-2</v>
      </c>
      <c r="AH181" s="51"/>
      <c r="AI181" s="51"/>
      <c r="AJ181" s="51"/>
      <c r="AK181" s="61">
        <f t="shared" si="60"/>
        <v>-1.20827194403339E-3</v>
      </c>
      <c r="AL181" s="61">
        <f t="shared" si="61"/>
        <v>-9.0029519906711944E-2</v>
      </c>
      <c r="AM181" s="844">
        <f t="shared" si="62"/>
        <v>0.10835689417437987</v>
      </c>
      <c r="AN181" s="846">
        <f t="shared" si="63"/>
        <v>-0.27046689320154133</v>
      </c>
      <c r="AO181" s="552">
        <f t="shared" si="64"/>
        <v>3.8179681441537605E-2</v>
      </c>
      <c r="AP181" s="552">
        <f t="shared" si="65"/>
        <v>5.6755019119106853E-3</v>
      </c>
      <c r="AQ181" s="443">
        <f t="shared" ref="AQ181:BG181" si="84">AQ21</f>
        <v>9024.0317871198095</v>
      </c>
      <c r="AR181" s="443">
        <f t="shared" si="84"/>
        <v>11429.4591331184</v>
      </c>
      <c r="AS181" s="443">
        <f t="shared" si="84"/>
        <v>11778.319174796299</v>
      </c>
      <c r="AT181" s="443">
        <f t="shared" si="84"/>
        <v>12265.6611834466</v>
      </c>
      <c r="AU181" s="443">
        <f t="shared" si="84"/>
        <v>13425.5388219506</v>
      </c>
      <c r="AV181" s="443"/>
      <c r="AW181" s="443">
        <f t="shared" si="84"/>
        <v>3011.3894870877298</v>
      </c>
      <c r="AX181" s="443">
        <f t="shared" si="84"/>
        <v>2603.5673152655399</v>
      </c>
      <c r="AY181" s="443">
        <f t="shared" si="84"/>
        <v>4720.7064762934997</v>
      </c>
      <c r="AZ181" s="443">
        <f t="shared" si="84"/>
        <v>4472.8538029789897</v>
      </c>
      <c r="BA181" s="443">
        <f t="shared" si="84"/>
        <v>6885.2438674718096</v>
      </c>
      <c r="BB181" s="553">
        <f t="shared" si="84"/>
        <v>-0.16978519263423408</v>
      </c>
      <c r="BC181" s="553">
        <f t="shared" si="84"/>
        <v>-0.27144932046892861</v>
      </c>
      <c r="BD181" s="553">
        <f t="shared" si="84"/>
        <v>-0.44203627731764578</v>
      </c>
      <c r="BE181" s="538">
        <f t="shared" si="84"/>
        <v>-0.17089353546845584</v>
      </c>
      <c r="BF181" s="538">
        <f t="shared" si="84"/>
        <v>-0.14612697434616936</v>
      </c>
      <c r="BG181" s="538">
        <f t="shared" si="84"/>
        <v>-0.33705090620649275</v>
      </c>
    </row>
    <row r="182" spans="1:59" ht="15" customHeight="1">
      <c r="A182" s="449">
        <v>2012</v>
      </c>
      <c r="B182" s="449"/>
      <c r="C182" s="450"/>
      <c r="D182" s="647"/>
      <c r="E182" s="647"/>
      <c r="F182" s="647"/>
      <c r="G182" s="647"/>
      <c r="H182" s="647"/>
      <c r="I182" s="647"/>
      <c r="J182" s="438" t="s">
        <v>210</v>
      </c>
      <c r="K182" s="543">
        <f t="shared" si="75"/>
        <v>11.731614222874246</v>
      </c>
      <c r="L182" s="543">
        <f t="shared" si="75"/>
        <v>12.302036070650582</v>
      </c>
      <c r="M182" s="543">
        <f t="shared" si="75"/>
        <v>12.606076251127428</v>
      </c>
      <c r="N182" s="543">
        <f t="shared" si="75"/>
        <v>12.624918605440865</v>
      </c>
      <c r="O182" s="543">
        <f t="shared" si="75"/>
        <v>12.590581812589056</v>
      </c>
      <c r="P182" s="550">
        <f t="shared" si="42"/>
        <v>-0.12080961669385222</v>
      </c>
      <c r="Q182" s="550">
        <f t="shared" si="43"/>
        <v>-0.14662047241361356</v>
      </c>
      <c r="R182" s="550">
        <f t="shared" si="44"/>
        <v>0.30726079726446093</v>
      </c>
      <c r="S182" s="550">
        <f t="shared" si="45"/>
        <v>0.1747291291929772</v>
      </c>
      <c r="T182" s="550">
        <f t="shared" si="46"/>
        <v>0.10691128033100415</v>
      </c>
      <c r="U182" s="551">
        <f t="shared" si="57"/>
        <v>0.86598125719992003</v>
      </c>
      <c r="V182" s="551">
        <f t="shared" si="47"/>
        <v>0.81544934505673605</v>
      </c>
      <c r="W182" s="551">
        <f t="shared" si="48"/>
        <v>0.56296204457806087</v>
      </c>
      <c r="X182" s="551">
        <f t="shared" si="49"/>
        <v>0.60209459127960363</v>
      </c>
      <c r="Y182" s="551">
        <f t="shared" si="50"/>
        <v>0.69767100467275922</v>
      </c>
      <c r="Z182" s="551">
        <f t="shared" si="51"/>
        <v>1.0596991716058954</v>
      </c>
      <c r="AA182" s="551">
        <f t="shared" si="52"/>
        <v>1.0281441960681099</v>
      </c>
      <c r="AB182" s="551">
        <f t="shared" si="53"/>
        <v>1.3494335333472973</v>
      </c>
      <c r="AC182" s="551">
        <f t="shared" si="54"/>
        <v>0.61974354661227804</v>
      </c>
      <c r="AD182" s="551">
        <f t="shared" si="55"/>
        <v>0.48586475581731942</v>
      </c>
      <c r="AE182" s="51"/>
      <c r="AF182" s="61">
        <f t="shared" si="58"/>
        <v>0.36268360019954882</v>
      </c>
      <c r="AG182" s="61">
        <f t="shared" si="59"/>
        <v>-0.17996627384464128</v>
      </c>
      <c r="AH182" s="51"/>
      <c r="AI182" s="51"/>
      <c r="AJ182" s="51"/>
      <c r="AK182" s="61">
        <f t="shared" si="60"/>
        <v>1.1724418336313596</v>
      </c>
      <c r="AL182" s="61">
        <f t="shared" si="61"/>
        <v>-0.70095928293519072</v>
      </c>
      <c r="AM182" s="844">
        <f t="shared" si="62"/>
        <v>1.5494438538372445E-2</v>
      </c>
      <c r="AN182" s="846">
        <f t="shared" si="63"/>
        <v>-0.85896758971480958</v>
      </c>
      <c r="AO182" s="552">
        <f t="shared" si="64"/>
        <v>-0.13470896009469835</v>
      </c>
      <c r="AP182" s="552">
        <f t="shared" si="65"/>
        <v>0.16831025252716081</v>
      </c>
      <c r="AQ182" s="443">
        <f t="shared" ref="AQ182:BG182" si="85">AQ22</f>
        <v>15738.440392</v>
      </c>
      <c r="AR182" s="443">
        <f t="shared" si="85"/>
        <v>39515.701289999997</v>
      </c>
      <c r="AS182" s="443">
        <f t="shared" si="85"/>
        <v>96631.119709000006</v>
      </c>
      <c r="AT182" s="443">
        <f t="shared" si="85"/>
        <v>195209.21463599999</v>
      </c>
      <c r="AU182" s="443">
        <f t="shared" si="85"/>
        <v>182803.543164</v>
      </c>
      <c r="AV182" s="443"/>
      <c r="AW182" s="443">
        <f t="shared" si="85"/>
        <v>78608.846313999995</v>
      </c>
      <c r="AX182" s="443">
        <f t="shared" si="85"/>
        <v>81952.471634999994</v>
      </c>
      <c r="AY182" s="443">
        <f t="shared" si="85"/>
        <v>25181.297430999999</v>
      </c>
      <c r="AZ182" s="443">
        <f t="shared" si="85"/>
        <v>149580.06926399999</v>
      </c>
      <c r="BA182" s="443">
        <f t="shared" si="85"/>
        <v>235281.12022800001</v>
      </c>
      <c r="BB182" s="553">
        <f t="shared" si="85"/>
        <v>0.13349243543877945</v>
      </c>
      <c r="BC182" s="553">
        <f t="shared" si="85"/>
        <v>0.35516001636713884</v>
      </c>
      <c r="BD182" s="553">
        <f t="shared" si="85"/>
        <v>3.6406456018878517</v>
      </c>
      <c r="BE182" s="538">
        <f t="shared" si="85"/>
        <v>-7.1387367468154064E-2</v>
      </c>
      <c r="BF182" s="538">
        <f t="shared" si="85"/>
        <v>2.5169716459563174E-2</v>
      </c>
      <c r="BG182" s="538">
        <f t="shared" si="85"/>
        <v>2.3241198821794966</v>
      </c>
    </row>
    <row r="183" spans="1:59" ht="15" customHeight="1">
      <c r="A183" s="449">
        <v>2007</v>
      </c>
      <c r="B183" s="449"/>
      <c r="C183" s="450"/>
      <c r="D183" s="647"/>
      <c r="E183" s="647"/>
      <c r="F183" s="647"/>
      <c r="G183" s="647"/>
      <c r="H183" s="647"/>
      <c r="I183" s="647"/>
      <c r="J183" s="438" t="s">
        <v>211</v>
      </c>
      <c r="K183" s="543">
        <f t="shared" ref="K183:O192" si="86">LN(K23)</f>
        <v>10.171094484482378</v>
      </c>
      <c r="L183" s="543">
        <f t="shared" si="86"/>
        <v>10.237949663064036</v>
      </c>
      <c r="M183" s="543">
        <f t="shared" si="86"/>
        <v>12.269771509254101</v>
      </c>
      <c r="N183" s="543">
        <f t="shared" si="86"/>
        <v>12.23986716347795</v>
      </c>
      <c r="O183" s="543">
        <f t="shared" si="86"/>
        <v>12.44804833454431</v>
      </c>
      <c r="P183" s="550">
        <f t="shared" si="42"/>
        <v>0.14150799888446619</v>
      </c>
      <c r="Q183" s="550">
        <f t="shared" si="43"/>
        <v>0.39851343624928531</v>
      </c>
      <c r="R183" s="550">
        <f t="shared" si="44"/>
        <v>5.2462887989203788E-2</v>
      </c>
      <c r="S183" s="550">
        <f t="shared" si="45"/>
        <v>2.9776674937965257E-2</v>
      </c>
      <c r="T183" s="550">
        <f t="shared" si="46"/>
        <v>7.1756847846069005E-2</v>
      </c>
      <c r="U183" s="551">
        <f t="shared" si="57"/>
        <v>0.26376275796506327</v>
      </c>
      <c r="V183" s="551">
        <f t="shared" si="47"/>
        <v>0.22279478629887844</v>
      </c>
      <c r="W183" s="551">
        <f t="shared" si="48"/>
        <v>0.76096196868008947</v>
      </c>
      <c r="X183" s="551">
        <f t="shared" si="49"/>
        <v>0.7384615384615385</v>
      </c>
      <c r="Y183" s="551">
        <f t="shared" si="50"/>
        <v>0.8562041710313304</v>
      </c>
      <c r="Z183" s="551">
        <f t="shared" si="51"/>
        <v>0.41663123704398114</v>
      </c>
      <c r="AA183" s="551">
        <f t="shared" si="52"/>
        <v>0.53016065474386176</v>
      </c>
      <c r="AB183" s="551">
        <f t="shared" si="53"/>
        <v>1.3261744966442952</v>
      </c>
      <c r="AC183" s="551">
        <f t="shared" si="54"/>
        <v>1.86</v>
      </c>
      <c r="AD183" s="551">
        <f t="shared" si="55"/>
        <v>1.5540424721455099</v>
      </c>
      <c r="AE183" s="51"/>
      <c r="AF183" s="61">
        <f t="shared" si="58"/>
        <v>-4.1938245148485917E-2</v>
      </c>
      <c r="AG183" s="61">
        <f t="shared" si="59"/>
        <v>-5.2556536593220841E-2</v>
      </c>
      <c r="AH183" s="51"/>
      <c r="AI183" s="51"/>
      <c r="AJ183" s="51"/>
      <c r="AK183" s="61">
        <f t="shared" si="60"/>
        <v>0.24641711812905237</v>
      </c>
      <c r="AL183" s="61">
        <f t="shared" si="61"/>
        <v>-0.69473748192425067</v>
      </c>
      <c r="AM183" s="844">
        <f t="shared" si="62"/>
        <v>-0.17827682529021005</v>
      </c>
      <c r="AN183" s="846">
        <f t="shared" si="63"/>
        <v>-2.276953850061934</v>
      </c>
      <c r="AO183" s="552">
        <f t="shared" si="64"/>
        <v>-9.5242202351240923E-2</v>
      </c>
      <c r="AP183" s="552">
        <f t="shared" si="65"/>
        <v>-0.59244141306626719</v>
      </c>
      <c r="AQ183" s="443">
        <f t="shared" ref="AQ183:BG183" si="87">AQ23</f>
        <v>46186.618122</v>
      </c>
      <c r="AR183" s="443">
        <f t="shared" si="87"/>
        <v>40965.027999999998</v>
      </c>
      <c r="AS183" s="443">
        <f t="shared" si="87"/>
        <v>38420.268199999999</v>
      </c>
      <c r="AT183" s="443">
        <f t="shared" si="87"/>
        <v>29089.039999999997</v>
      </c>
      <c r="AU183" s="443">
        <f t="shared" si="87"/>
        <v>23572.308000000001</v>
      </c>
      <c r="AV183" s="443"/>
      <c r="AW183" s="443">
        <f t="shared" si="87"/>
        <v>1853.912251</v>
      </c>
      <c r="AX183" s="443">
        <f t="shared" si="87"/>
        <v>1901.2629999999999</v>
      </c>
      <c r="AY183" s="443">
        <f t="shared" si="87"/>
        <v>7551.0119999999997</v>
      </c>
      <c r="AZ183" s="443">
        <f t="shared" si="87"/>
        <v>8555.5999999999985</v>
      </c>
      <c r="BA183" s="443">
        <f t="shared" si="87"/>
        <v>15782.5188</v>
      </c>
      <c r="BB183" s="553">
        <f t="shared" si="87"/>
        <v>1.1582591493570722</v>
      </c>
      <c r="BC183" s="553">
        <f t="shared" si="87"/>
        <v>0.72000000000000008</v>
      </c>
      <c r="BD183" s="553">
        <f t="shared" si="87"/>
        <v>1.480952380952381</v>
      </c>
      <c r="BE183" s="538">
        <f t="shared" si="87"/>
        <v>1.00391114915566</v>
      </c>
      <c r="BF183" s="538">
        <f t="shared" si="87"/>
        <v>0.60506821833103386</v>
      </c>
      <c r="BG183" s="538">
        <f t="shared" si="87"/>
        <v>1.2061401265961371</v>
      </c>
    </row>
    <row r="184" spans="1:59" ht="15" customHeight="1">
      <c r="A184" s="449">
        <v>2004</v>
      </c>
      <c r="B184" s="449"/>
      <c r="C184" s="450"/>
      <c r="D184" s="647"/>
      <c r="E184" s="647"/>
      <c r="F184" s="647"/>
      <c r="G184" s="647"/>
      <c r="H184" s="647"/>
      <c r="I184" s="647"/>
      <c r="J184" s="438" t="s">
        <v>212</v>
      </c>
      <c r="K184" s="543">
        <f t="shared" si="86"/>
        <v>10.479856392564475</v>
      </c>
      <c r="L184" s="543">
        <f t="shared" si="86"/>
        <v>10.98544227102701</v>
      </c>
      <c r="M184" s="543">
        <f t="shared" si="86"/>
        <v>10.946472343149781</v>
      </c>
      <c r="N184" s="543">
        <f t="shared" si="86"/>
        <v>10.747878463264898</v>
      </c>
      <c r="O184" s="543">
        <f t="shared" si="86"/>
        <v>10.577635535963427</v>
      </c>
      <c r="P184" s="550">
        <f t="shared" si="42"/>
        <v>0.24519230769230771</v>
      </c>
      <c r="Q184" s="550">
        <f t="shared" si="43"/>
        <v>0.62962962962962954</v>
      </c>
      <c r="R184" s="550">
        <f t="shared" si="44"/>
        <v>0.65479452054794529</v>
      </c>
      <c r="S184" s="550">
        <f t="shared" si="45"/>
        <v>0.66773162939297115</v>
      </c>
      <c r="T184" s="550">
        <f t="shared" si="46"/>
        <v>0.69784172661870503</v>
      </c>
      <c r="U184" s="551">
        <f t="shared" si="57"/>
        <v>0.95912645333882085</v>
      </c>
      <c r="V184" s="551">
        <f t="shared" si="47"/>
        <v>0.93189660048645284</v>
      </c>
      <c r="W184" s="551">
        <f t="shared" si="48"/>
        <v>0.93468118195956451</v>
      </c>
      <c r="X184" s="551">
        <f t="shared" si="49"/>
        <v>0.93248193248193256</v>
      </c>
      <c r="Y184" s="551">
        <f t="shared" si="50"/>
        <v>0.93117928784618587</v>
      </c>
      <c r="Z184" s="551">
        <f t="shared" si="51"/>
        <v>5.3503446856672495E-3</v>
      </c>
      <c r="AA184" s="551">
        <f t="shared" si="52"/>
        <v>1.0690649923638215E-2</v>
      </c>
      <c r="AB184" s="551">
        <f t="shared" si="53"/>
        <v>1.0710408169253791E-2</v>
      </c>
      <c r="AC184" s="551">
        <f t="shared" si="54"/>
        <v>1.0329010329010331E-2</v>
      </c>
      <c r="AD184" s="551">
        <f t="shared" si="55"/>
        <v>9.6480877351287578E-3</v>
      </c>
      <c r="AE184" s="51"/>
      <c r="AF184" s="61">
        <f t="shared" si="58"/>
        <v>2.802783784083291E-4</v>
      </c>
      <c r="AG184" s="61">
        <f t="shared" si="59"/>
        <v>-5.4209748432229761E-3</v>
      </c>
      <c r="AH184" s="51"/>
      <c r="AI184" s="51"/>
      <c r="AJ184" s="51"/>
      <c r="AK184" s="61">
        <f t="shared" si="60"/>
        <v>8.7352411279524672E-2</v>
      </c>
      <c r="AL184" s="61">
        <f t="shared" si="61"/>
        <v>-7.9063207253869575E-2</v>
      </c>
      <c r="AM184" s="844">
        <f t="shared" si="62"/>
        <v>0.36883680718635425</v>
      </c>
      <c r="AN184" s="846">
        <f t="shared" si="63"/>
        <v>-9.7779143398951537E-2</v>
      </c>
      <c r="AO184" s="552">
        <f t="shared" si="64"/>
        <v>3.5018941133786452E-3</v>
      </c>
      <c r="AP184" s="552">
        <f t="shared" si="65"/>
        <v>2.7947165492634984E-2</v>
      </c>
      <c r="AQ184" s="443">
        <f t="shared" ref="AQ184:BG184" si="88">AQ24</f>
        <v>271896.96799999999</v>
      </c>
      <c r="AR184" s="443">
        <f t="shared" si="88"/>
        <v>375908.06400000001</v>
      </c>
      <c r="AS184" s="443">
        <f t="shared" si="88"/>
        <v>346118.51399999997</v>
      </c>
      <c r="AT184" s="443">
        <f t="shared" si="88"/>
        <v>304162.45199999999</v>
      </c>
      <c r="AU184" s="443">
        <f t="shared" si="88"/>
        <v>279953.99099999998</v>
      </c>
      <c r="AV184" s="443"/>
      <c r="AW184" s="443">
        <f t="shared" si="88"/>
        <v>216970.01599999997</v>
      </c>
      <c r="AX184" s="443">
        <f t="shared" si="88"/>
        <v>194198.35199999998</v>
      </c>
      <c r="AY184" s="443">
        <f t="shared" si="88"/>
        <v>195916.13999999998</v>
      </c>
      <c r="AZ184" s="443">
        <f t="shared" si="88"/>
        <v>141228.9</v>
      </c>
      <c r="BA184" s="443">
        <f t="shared" si="88"/>
        <v>98823.9</v>
      </c>
      <c r="BB184" s="553">
        <f t="shared" si="88"/>
        <v>0.27714285714285714</v>
      </c>
      <c r="BC184" s="553">
        <f t="shared" si="88"/>
        <v>0.21999999999999997</v>
      </c>
      <c r="BD184" s="553">
        <f t="shared" si="88"/>
        <v>0.1896825396825397</v>
      </c>
      <c r="BE184" s="538">
        <f t="shared" si="88"/>
        <v>0.25992388368229913</v>
      </c>
      <c r="BF184" s="538">
        <f t="shared" si="88"/>
        <v>0.21209465105995459</v>
      </c>
      <c r="BG184" s="538">
        <f t="shared" si="88"/>
        <v>0.18475830254050327</v>
      </c>
    </row>
    <row r="185" spans="1:59" ht="15" customHeight="1">
      <c r="A185" s="449">
        <v>2008</v>
      </c>
      <c r="B185" s="449"/>
      <c r="C185" s="450"/>
      <c r="D185" s="453">
        <v>0.48</v>
      </c>
      <c r="E185" s="453"/>
      <c r="F185" s="453"/>
      <c r="G185" s="453"/>
      <c r="H185" s="453"/>
      <c r="I185" s="453"/>
      <c r="J185" s="438" t="s">
        <v>245</v>
      </c>
      <c r="K185" s="543">
        <f t="shared" si="86"/>
        <v>12.478299041561542</v>
      </c>
      <c r="L185" s="543">
        <f t="shared" si="86"/>
        <v>12.30382166810195</v>
      </c>
      <c r="M185" s="543">
        <f t="shared" si="86"/>
        <v>12.156084838149832</v>
      </c>
      <c r="N185" s="543">
        <f t="shared" si="86"/>
        <v>12.114268278840257</v>
      </c>
      <c r="O185" s="543">
        <f t="shared" si="86"/>
        <v>11.933230739078434</v>
      </c>
      <c r="P185" s="550">
        <f t="shared" si="42"/>
        <v>-5.4827550556784392E-2</v>
      </c>
      <c r="Q185" s="550">
        <f t="shared" si="43"/>
        <v>-0.5161989880233403</v>
      </c>
      <c r="R185" s="550">
        <f t="shared" si="44"/>
        <v>-1.03521859513606E-2</v>
      </c>
      <c r="S185" s="550">
        <f t="shared" si="45"/>
        <v>-4.4329485493001461E-2</v>
      </c>
      <c r="T185" s="550">
        <f t="shared" si="46"/>
        <v>5.2135210317794826E-2</v>
      </c>
      <c r="U185" s="551">
        <f t="shared" si="57"/>
        <v>0.6094890261995578</v>
      </c>
      <c r="V185" s="551">
        <f t="shared" si="47"/>
        <v>0.5381477640084058</v>
      </c>
      <c r="W185" s="551">
        <f t="shared" si="48"/>
        <v>0.32647952252293511</v>
      </c>
      <c r="X185" s="551">
        <f t="shared" si="49"/>
        <v>0.58850638889552975</v>
      </c>
      <c r="Y185" s="551">
        <f t="shared" si="50"/>
        <v>0.53597011103966552</v>
      </c>
      <c r="Z185" s="551">
        <f t="shared" si="51"/>
        <v>0.83574144918968385</v>
      </c>
      <c r="AA185" s="551">
        <f t="shared" si="52"/>
        <v>0.70771322871540454</v>
      </c>
      <c r="AB185" s="551">
        <f t="shared" si="53"/>
        <v>0.50490375662102549</v>
      </c>
      <c r="AC185" s="551">
        <f t="shared" si="54"/>
        <v>0.26088086477782502</v>
      </c>
      <c r="AD185" s="551">
        <f t="shared" si="55"/>
        <v>0.40035160835850553</v>
      </c>
      <c r="AE185" s="51"/>
      <c r="AF185" s="61">
        <f t="shared" si="58"/>
        <v>-2.6099272878919482E-2</v>
      </c>
      <c r="AG185" s="61">
        <f t="shared" si="59"/>
        <v>-6.6694071860685752E-2</v>
      </c>
      <c r="AH185" s="51"/>
      <c r="AI185" s="51"/>
      <c r="AJ185" s="51"/>
      <c r="AK185" s="61">
        <f t="shared" si="60"/>
        <v>0.10072128812182861</v>
      </c>
      <c r="AL185" s="61">
        <f t="shared" si="61"/>
        <v>-0.15425293666093659</v>
      </c>
      <c r="AM185" s="844">
        <f t="shared" si="62"/>
        <v>0.22285409907139805</v>
      </c>
      <c r="AN185" s="846">
        <f t="shared" si="63"/>
        <v>0.54506830248310822</v>
      </c>
      <c r="AO185" s="552">
        <f t="shared" si="64"/>
        <v>-0.20949058851673041</v>
      </c>
      <c r="AP185" s="552">
        <f t="shared" si="65"/>
        <v>7.3518915159892284E-2</v>
      </c>
      <c r="AQ185" s="443">
        <f t="shared" ref="AQ185:BG185" si="89">AQ25</f>
        <v>122692.415868</v>
      </c>
      <c r="AR185" s="443">
        <f t="shared" si="89"/>
        <v>143922.13527500001</v>
      </c>
      <c r="AS185" s="443">
        <f t="shared" si="89"/>
        <v>253783.14155999999</v>
      </c>
      <c r="AT185" s="443">
        <f t="shared" si="89"/>
        <v>287793.33843</v>
      </c>
      <c r="AU185" s="443">
        <f t="shared" si="89"/>
        <v>176457.53887999998</v>
      </c>
      <c r="AV185" s="443"/>
      <c r="AW185" s="443">
        <f t="shared" si="89"/>
        <v>97864.535736000005</v>
      </c>
      <c r="AX185" s="443">
        <f t="shared" si="89"/>
        <v>101568.747032</v>
      </c>
      <c r="AY185" s="443">
        <f t="shared" si="89"/>
        <v>630.45241999999996</v>
      </c>
      <c r="AZ185" s="443">
        <f t="shared" si="89"/>
        <v>58738.962776</v>
      </c>
      <c r="BA185" s="443">
        <f t="shared" si="89"/>
        <v>142335.92384799998</v>
      </c>
      <c r="BB185" s="553">
        <f t="shared" si="89"/>
        <v>5.5763864928969779E-2</v>
      </c>
      <c r="BC185" s="553">
        <f t="shared" si="89"/>
        <v>-0.13769757220338152</v>
      </c>
      <c r="BD185" s="553">
        <f t="shared" si="89"/>
        <v>-3.1239229599594527</v>
      </c>
      <c r="BE185" s="538">
        <f t="shared" si="89"/>
        <v>-2.022484498975885E-2</v>
      </c>
      <c r="BF185" s="538">
        <f t="shared" si="89"/>
        <v>-0.31661173893591515</v>
      </c>
      <c r="BG185" s="538">
        <f t="shared" si="89"/>
        <v>-1.0247954950658669</v>
      </c>
    </row>
    <row r="186" spans="1:59" ht="15" customHeight="1">
      <c r="A186" s="449">
        <v>2008</v>
      </c>
      <c r="B186" s="449"/>
      <c r="C186" s="450"/>
      <c r="D186" s="648">
        <v>0.3</v>
      </c>
      <c r="E186" s="648"/>
      <c r="F186" s="648"/>
      <c r="G186" s="648"/>
      <c r="H186" s="648"/>
      <c r="I186" s="648"/>
      <c r="J186" s="438" t="s">
        <v>256</v>
      </c>
      <c r="K186" s="543">
        <f t="shared" si="86"/>
        <v>10.873830768729865</v>
      </c>
      <c r="L186" s="543">
        <f t="shared" si="86"/>
        <v>12.054301632049684</v>
      </c>
      <c r="M186" s="543">
        <f t="shared" si="86"/>
        <v>12.605865027441876</v>
      </c>
      <c r="N186" s="543">
        <f t="shared" si="86"/>
        <v>12.659082698399338</v>
      </c>
      <c r="O186" s="543">
        <f t="shared" si="86"/>
        <v>12.170347017445081</v>
      </c>
      <c r="P186" s="550">
        <f t="shared" si="42"/>
        <v>0.10548155446501317</v>
      </c>
      <c r="Q186" s="550">
        <f t="shared" si="43"/>
        <v>-9.2558645693302369E-2</v>
      </c>
      <c r="R186" s="550">
        <f t="shared" si="44"/>
        <v>-0.30464661770079415</v>
      </c>
      <c r="S186" s="550">
        <f t="shared" si="45"/>
        <v>3.5075395412704061E-2</v>
      </c>
      <c r="T186" s="550">
        <f t="shared" si="46"/>
        <v>0.29321021240432998</v>
      </c>
      <c r="U186" s="551">
        <f t="shared" si="57"/>
        <v>0.37424794804366884</v>
      </c>
      <c r="V186" s="551">
        <f t="shared" si="47"/>
        <v>0.15807431216381326</v>
      </c>
      <c r="W186" s="551">
        <f t="shared" si="48"/>
        <v>0.55587717561703787</v>
      </c>
      <c r="X186" s="551">
        <f t="shared" si="49"/>
        <v>0.46795337656529518</v>
      </c>
      <c r="Y186" s="551">
        <f t="shared" si="50"/>
        <v>0.46941448939711949</v>
      </c>
      <c r="Z186" s="551">
        <f t="shared" si="51"/>
        <v>0.262854609929078</v>
      </c>
      <c r="AA186" s="551">
        <f t="shared" si="52"/>
        <v>0.871167914666234</v>
      </c>
      <c r="AB186" s="551">
        <f t="shared" si="53"/>
        <v>0.79802408761857879</v>
      </c>
      <c r="AC186" s="551">
        <f t="shared" si="54"/>
        <v>0.54961426654740608</v>
      </c>
      <c r="AD186" s="551">
        <f t="shared" si="55"/>
        <v>0.34917312006947965</v>
      </c>
      <c r="AE186" s="51"/>
      <c r="AF186" s="61">
        <f t="shared" si="58"/>
        <v>-0.34549646383821697</v>
      </c>
      <c r="AG186" s="61">
        <f t="shared" si="59"/>
        <v>-7.4654811847840896E-2</v>
      </c>
      <c r="AH186" s="51"/>
      <c r="AI186" s="51"/>
      <c r="AJ186" s="51"/>
      <c r="AK186" s="61">
        <f t="shared" si="60"/>
        <v>-0.42441341286285406</v>
      </c>
      <c r="AL186" s="61">
        <f t="shared" si="61"/>
        <v>-0.21725340682627076</v>
      </c>
      <c r="AM186" s="844">
        <f t="shared" si="62"/>
        <v>0.43551800999679458</v>
      </c>
      <c r="AN186" s="846">
        <f t="shared" si="63"/>
        <v>-1.2965162487152166</v>
      </c>
      <c r="AO186" s="552">
        <f t="shared" si="64"/>
        <v>8.6462686219918372E-2</v>
      </c>
      <c r="AP186" s="552">
        <f t="shared" si="65"/>
        <v>-9.5166541353450651E-2</v>
      </c>
      <c r="AQ186" s="443">
        <f t="shared" ref="AQ186:BG186" si="90">AQ26</f>
        <v>125641</v>
      </c>
      <c r="AR186" s="443">
        <f t="shared" si="90"/>
        <v>166070</v>
      </c>
      <c r="AS186" s="443">
        <f t="shared" si="90"/>
        <v>166014</v>
      </c>
      <c r="AT186" s="443">
        <f t="shared" si="90"/>
        <v>304552</v>
      </c>
      <c r="AU186" s="443">
        <f t="shared" si="90"/>
        <v>293245</v>
      </c>
      <c r="AV186" s="443"/>
      <c r="AW186" s="443">
        <f t="shared" si="90"/>
        <v>0</v>
      </c>
      <c r="AX186" s="443">
        <f t="shared" si="90"/>
        <v>0</v>
      </c>
      <c r="AY186" s="443">
        <f t="shared" si="90"/>
        <v>73528</v>
      </c>
      <c r="AZ186" s="443">
        <f t="shared" si="90"/>
        <v>102512</v>
      </c>
      <c r="BA186" s="443">
        <f t="shared" si="90"/>
        <v>141620</v>
      </c>
      <c r="BB186" s="553">
        <f t="shared" si="90"/>
        <v>0.39954808642847056</v>
      </c>
      <c r="BC186" s="553">
        <f t="shared" si="90"/>
        <v>0.10764593413454035</v>
      </c>
      <c r="BD186" s="553">
        <f t="shared" si="90"/>
        <v>-1.2359509302578608</v>
      </c>
      <c r="BE186" s="538">
        <f t="shared" si="90"/>
        <v>0.20780469552750153</v>
      </c>
      <c r="BF186" s="538">
        <f t="shared" si="90"/>
        <v>-5.9094483107973578E-4</v>
      </c>
      <c r="BG186" s="538">
        <f t="shared" si="90"/>
        <v>-0.85857735472255847</v>
      </c>
    </row>
    <row r="187" spans="1:59" ht="15" customHeight="1">
      <c r="A187" s="449">
        <v>2006</v>
      </c>
      <c r="B187" s="449"/>
      <c r="C187" s="450"/>
      <c r="D187" s="648">
        <v>0.31</v>
      </c>
      <c r="E187" s="648"/>
      <c r="F187" s="648"/>
      <c r="G187" s="648"/>
      <c r="H187" s="648"/>
      <c r="I187" s="648"/>
      <c r="J187" s="438" t="s">
        <v>257</v>
      </c>
      <c r="K187" s="543">
        <f t="shared" si="86"/>
        <v>10.722015616534076</v>
      </c>
      <c r="L187" s="543">
        <f t="shared" si="86"/>
        <v>11.036702009124363</v>
      </c>
      <c r="M187" s="543">
        <f t="shared" si="86"/>
        <v>10.840102835715722</v>
      </c>
      <c r="N187" s="543">
        <f t="shared" si="86"/>
        <v>10.602243295465078</v>
      </c>
      <c r="O187" s="543">
        <f t="shared" si="86"/>
        <v>10.648239832876019</v>
      </c>
      <c r="P187" s="550">
        <f t="shared" si="42"/>
        <v>0.13236646547076669</v>
      </c>
      <c r="Q187" s="550">
        <f t="shared" si="43"/>
        <v>0.19654972791478525</v>
      </c>
      <c r="R187" s="550">
        <f t="shared" si="44"/>
        <v>0.15854476435752465</v>
      </c>
      <c r="S187" s="550">
        <f t="shared" si="45"/>
        <v>0.12386193407173406</v>
      </c>
      <c r="T187" s="550">
        <f t="shared" si="46"/>
        <v>0.19273692487734287</v>
      </c>
      <c r="U187" s="551">
        <f t="shared" si="57"/>
        <v>0.66424708003449084</v>
      </c>
      <c r="V187" s="551">
        <f t="shared" si="47"/>
        <v>0.67104305605833858</v>
      </c>
      <c r="W187" s="551">
        <f t="shared" si="48"/>
        <v>0.51261258706890855</v>
      </c>
      <c r="X187" s="551">
        <f t="shared" si="49"/>
        <v>0.47891827383163887</v>
      </c>
      <c r="Y187" s="551">
        <f t="shared" si="50"/>
        <v>0.52261912622427642</v>
      </c>
      <c r="Z187" s="551">
        <f t="shared" si="51"/>
        <v>1.112342243474171</v>
      </c>
      <c r="AA187" s="551">
        <f t="shared" si="52"/>
        <v>1.2893305915589672</v>
      </c>
      <c r="AB187" s="551">
        <f t="shared" si="53"/>
        <v>1.4091978791573336</v>
      </c>
      <c r="AC187" s="551">
        <f t="shared" si="54"/>
        <v>1.4505240877720358</v>
      </c>
      <c r="AD187" s="551">
        <f t="shared" si="55"/>
        <v>1.1923715197534941</v>
      </c>
      <c r="AE187" s="51"/>
      <c r="AF187" s="61">
        <f t="shared" si="58"/>
        <v>-6.3930743444893245E-3</v>
      </c>
      <c r="AG187" s="61">
        <f t="shared" si="59"/>
        <v>-8.2577208866113277E-2</v>
      </c>
      <c r="AH187" s="51"/>
      <c r="AI187" s="51"/>
      <c r="AJ187" s="51"/>
      <c r="AK187" s="61">
        <f t="shared" si="60"/>
        <v>9.763008126560685E-2</v>
      </c>
      <c r="AL187" s="61">
        <f t="shared" si="61"/>
        <v>-0.14690862202808525</v>
      </c>
      <c r="AM187" s="844">
        <f t="shared" si="62"/>
        <v>0.1918630028397027</v>
      </c>
      <c r="AN187" s="846">
        <f t="shared" si="63"/>
        <v>7.3775783658056399E-2</v>
      </c>
      <c r="AO187" s="552">
        <f t="shared" si="64"/>
        <v>-1.0006539155367866E-2</v>
      </c>
      <c r="AP187" s="552">
        <f t="shared" si="65"/>
        <v>0.14162795381021442</v>
      </c>
      <c r="AQ187" s="443">
        <f t="shared" ref="AQ187:BG187" si="91">AQ27</f>
        <v>13686.53728</v>
      </c>
      <c r="AR187" s="443">
        <f t="shared" si="91"/>
        <v>15847.23697</v>
      </c>
      <c r="AS187" s="443">
        <f t="shared" si="91"/>
        <v>17648.149455999999</v>
      </c>
      <c r="AT187" s="443">
        <f t="shared" si="91"/>
        <v>14450.293127999999</v>
      </c>
      <c r="AU187" s="443">
        <f t="shared" si="91"/>
        <v>16862.937538999999</v>
      </c>
      <c r="AV187" s="443"/>
      <c r="AW187" s="443">
        <f t="shared" si="91"/>
        <v>2732.5463099999997</v>
      </c>
      <c r="AX187" s="443">
        <f t="shared" si="91"/>
        <v>2575.4344500000002</v>
      </c>
      <c r="AY187" s="443">
        <f t="shared" si="91"/>
        <v>3093.8760719999996</v>
      </c>
      <c r="AZ187" s="443">
        <f t="shared" si="91"/>
        <v>663.61510799999996</v>
      </c>
      <c r="BA187" s="443">
        <f t="shared" si="91"/>
        <v>1255.7291639999999</v>
      </c>
      <c r="BB187" s="553">
        <f t="shared" si="91"/>
        <v>6.4645864289252106</v>
      </c>
      <c r="BC187" s="553">
        <f t="shared" si="91"/>
        <v>7.5078804987061876</v>
      </c>
      <c r="BD187" s="553">
        <f t="shared" si="91"/>
        <v>2.6148443117084232</v>
      </c>
      <c r="BE187" s="538">
        <f t="shared" si="91"/>
        <v>3.5725174604425858</v>
      </c>
      <c r="BF187" s="538">
        <f t="shared" si="91"/>
        <v>3.9755023729118193</v>
      </c>
      <c r="BG187" s="538">
        <f t="shared" si="91"/>
        <v>1.5860817057688281</v>
      </c>
    </row>
    <row r="188" spans="1:59" ht="15" customHeight="1">
      <c r="A188" s="449">
        <v>2005</v>
      </c>
      <c r="B188" s="449"/>
      <c r="C188" s="450"/>
      <c r="D188" s="647"/>
      <c r="E188" s="647"/>
      <c r="F188" s="647"/>
      <c r="G188" s="647"/>
      <c r="H188" s="647"/>
      <c r="I188" s="647"/>
      <c r="J188" s="438" t="s">
        <v>258</v>
      </c>
      <c r="K188" s="543">
        <f t="shared" si="86"/>
        <v>9.1176931653094169</v>
      </c>
      <c r="L188" s="543">
        <f t="shared" si="86"/>
        <v>9.1123649133096123</v>
      </c>
      <c r="M188" s="543">
        <f t="shared" si="86"/>
        <v>9.0061285305843963</v>
      </c>
      <c r="N188" s="543">
        <f t="shared" si="86"/>
        <v>9.0491331561586819</v>
      </c>
      <c r="O188" s="543">
        <f t="shared" si="86"/>
        <v>9.0012878213055814</v>
      </c>
      <c r="P188" s="550">
        <f t="shared" si="42"/>
        <v>-2.2682445759368837E-3</v>
      </c>
      <c r="Q188" s="550">
        <f t="shared" si="43"/>
        <v>7.294241983882839E-2</v>
      </c>
      <c r="R188" s="550">
        <f t="shared" si="44"/>
        <v>8.9533948607973049E-2</v>
      </c>
      <c r="S188" s="550">
        <f t="shared" si="45"/>
        <v>4.5142314297197561E-2</v>
      </c>
      <c r="T188" s="550">
        <f t="shared" si="46"/>
        <v>0.21038166260512672</v>
      </c>
      <c r="U188" s="551">
        <f t="shared" si="57"/>
        <v>0.58984947382443054</v>
      </c>
      <c r="V188" s="551">
        <f t="shared" si="47"/>
        <v>0.63611702287101712</v>
      </c>
      <c r="W188" s="551">
        <f t="shared" si="48"/>
        <v>0.57422445417957757</v>
      </c>
      <c r="X188" s="551">
        <f t="shared" si="49"/>
        <v>0.48108798901329464</v>
      </c>
      <c r="Y188" s="551">
        <f t="shared" si="50"/>
        <v>0.41335124924538952</v>
      </c>
      <c r="Z188" s="551">
        <f t="shared" si="51"/>
        <v>0.96481379284096747</v>
      </c>
      <c r="AA188" s="551">
        <f t="shared" si="52"/>
        <v>0.79414585893708223</v>
      </c>
      <c r="AB188" s="551">
        <f t="shared" si="53"/>
        <v>0.93004950671368025</v>
      </c>
      <c r="AC188" s="551">
        <f t="shared" si="54"/>
        <v>1.0440803402826788</v>
      </c>
      <c r="AD188" s="551">
        <f t="shared" si="55"/>
        <v>1.0628225351015559</v>
      </c>
      <c r="AE188" s="51"/>
      <c r="AF188" s="61">
        <f t="shared" si="58"/>
        <v>-0.14032736725188766</v>
      </c>
      <c r="AG188" s="61">
        <f t="shared" si="59"/>
        <v>-0.22578680564126161</v>
      </c>
      <c r="AH188" s="51"/>
      <c r="AI188" s="51"/>
      <c r="AJ188" s="51"/>
      <c r="AK188" s="61">
        <f t="shared" si="60"/>
        <v>0.18850047291687488</v>
      </c>
      <c r="AL188" s="61">
        <f t="shared" si="61"/>
        <v>-0.45966256086046842</v>
      </c>
      <c r="AM188" s="844">
        <f t="shared" si="62"/>
        <v>4.8407092788148535E-3</v>
      </c>
      <c r="AN188" s="846">
        <f t="shared" si="63"/>
        <v>0.11640534400383448</v>
      </c>
      <c r="AO188" s="552">
        <f t="shared" si="64"/>
        <v>0.16087320493418805</v>
      </c>
      <c r="AP188" s="552">
        <f t="shared" si="65"/>
        <v>0.17649822457904102</v>
      </c>
      <c r="AQ188" s="443">
        <f t="shared" ref="AQ188:BG188" si="92">AQ28</f>
        <v>3874.9276580000001</v>
      </c>
      <c r="AR188" s="443">
        <f t="shared" si="92"/>
        <v>4154.4282479999993</v>
      </c>
      <c r="AS188" s="443">
        <f t="shared" si="92"/>
        <v>3732.386172</v>
      </c>
      <c r="AT188" s="443">
        <f t="shared" si="92"/>
        <v>4230.0782449999997</v>
      </c>
      <c r="AU188" s="443">
        <f t="shared" si="92"/>
        <v>4478.4427499999993</v>
      </c>
      <c r="AV188" s="443"/>
      <c r="AW188" s="443">
        <f t="shared" si="92"/>
        <v>1510.2024000000001</v>
      </c>
      <c r="AX188" s="443">
        <f t="shared" si="92"/>
        <v>1296.8578479999999</v>
      </c>
      <c r="AY188" s="443">
        <f t="shared" si="92"/>
        <v>887.00565599999993</v>
      </c>
      <c r="AZ188" s="443">
        <f t="shared" si="92"/>
        <v>1306.1075999999998</v>
      </c>
      <c r="BA188" s="443">
        <f t="shared" si="92"/>
        <v>1782.3087179999998</v>
      </c>
      <c r="BB188" s="553">
        <f t="shared" si="92"/>
        <v>0.95771123529902413</v>
      </c>
      <c r="BC188" s="553">
        <f t="shared" si="92"/>
        <v>0.29416666666666669</v>
      </c>
      <c r="BD188" s="553">
        <f t="shared" si="92"/>
        <v>0.82294966561070049</v>
      </c>
      <c r="BE188" s="538">
        <f t="shared" si="92"/>
        <v>0.39284992389905105</v>
      </c>
      <c r="BF188" s="538">
        <f t="shared" si="92"/>
        <v>0.22854665934996327</v>
      </c>
      <c r="BG188" s="538">
        <f t="shared" si="92"/>
        <v>0.55062399160075182</v>
      </c>
    </row>
    <row r="189" spans="1:59" ht="15" customHeight="1">
      <c r="A189" s="680">
        <v>2013</v>
      </c>
      <c r="B189" s="680"/>
      <c r="C189" s="735"/>
      <c r="D189" s="705">
        <v>0.1</v>
      </c>
      <c r="E189" s="705"/>
      <c r="F189" s="705"/>
      <c r="G189" s="705"/>
      <c r="H189" s="705"/>
      <c r="I189" s="705"/>
      <c r="J189" s="708" t="s">
        <v>259</v>
      </c>
      <c r="K189" s="748">
        <f t="shared" si="86"/>
        <v>8.2545288819397449</v>
      </c>
      <c r="L189" s="748">
        <f t="shared" si="86"/>
        <v>8.3923100092695471</v>
      </c>
      <c r="M189" s="748">
        <f t="shared" si="86"/>
        <v>8.4071550862073003</v>
      </c>
      <c r="N189" s="748">
        <f t="shared" si="86"/>
        <v>7.5485698345472692</v>
      </c>
      <c r="O189" s="748">
        <f t="shared" si="86"/>
        <v>6.7740699874141974</v>
      </c>
      <c r="P189" s="747">
        <f t="shared" si="42"/>
        <v>-11.498829648894668</v>
      </c>
      <c r="Q189" s="747">
        <f t="shared" si="43"/>
        <v>-7.2032630863358262</v>
      </c>
      <c r="R189" s="747">
        <f t="shared" si="44"/>
        <v>-5.7593212770707751</v>
      </c>
      <c r="S189" s="747">
        <f t="shared" si="45"/>
        <v>-7.2154246100520298</v>
      </c>
      <c r="T189" s="747">
        <f t="shared" si="46"/>
        <v>-9.5885491483685534</v>
      </c>
      <c r="U189" s="747">
        <f t="shared" si="57"/>
        <v>0.19819655443947221</v>
      </c>
      <c r="V189" s="747">
        <f t="shared" si="47"/>
        <v>0.17340264967298341</v>
      </c>
      <c r="W189" s="747">
        <f t="shared" si="48"/>
        <v>0.11563847146788768</v>
      </c>
      <c r="X189" s="747">
        <f t="shared" si="49"/>
        <v>0.12160379577270373</v>
      </c>
      <c r="Y189" s="747">
        <f t="shared" si="50"/>
        <v>0.24589179860433769</v>
      </c>
      <c r="Z189" s="747">
        <f t="shared" si="51"/>
        <v>3.6923579234447924E-2</v>
      </c>
      <c r="AA189" s="747">
        <f t="shared" si="52"/>
        <v>0.14801274526245178</v>
      </c>
      <c r="AB189" s="747">
        <f t="shared" si="53"/>
        <v>0.10908692369517037</v>
      </c>
      <c r="AC189" s="747">
        <f t="shared" si="54"/>
        <v>3.9334785380003283E-2</v>
      </c>
      <c r="AD189" s="747">
        <f t="shared" si="55"/>
        <v>0.12188289437482813</v>
      </c>
      <c r="AE189" s="751"/>
      <c r="AF189" s="61">
        <f t="shared" si="58"/>
        <v>0.540413482370662</v>
      </c>
      <c r="AG189" s="61">
        <f t="shared" si="59"/>
        <v>0.74410217541407142</v>
      </c>
      <c r="AH189" s="751"/>
      <c r="AI189" s="751"/>
      <c r="AJ189" s="751"/>
      <c r="AK189" s="766">
        <f t="shared" si="60"/>
        <v>0.16211623704038636</v>
      </c>
      <c r="AL189" s="61">
        <f t="shared" si="61"/>
        <v>1.9165869141101899</v>
      </c>
      <c r="AM189" s="844">
        <f t="shared" si="62"/>
        <v>1.6330850987931023</v>
      </c>
      <c r="AN189" s="846">
        <f t="shared" si="63"/>
        <v>1.4804588945255466</v>
      </c>
      <c r="AO189" s="552">
        <f t="shared" si="64"/>
        <v>-0.13025332713644999</v>
      </c>
      <c r="AP189" s="552">
        <f t="shared" si="65"/>
        <v>-4.769524416486548E-2</v>
      </c>
      <c r="AQ189" s="756">
        <f t="shared" ref="AQ189:BG189" si="93">AQ29</f>
        <v>83495</v>
      </c>
      <c r="AR189" s="756">
        <f t="shared" si="93"/>
        <v>24645</v>
      </c>
      <c r="AS189" s="756">
        <f t="shared" si="93"/>
        <v>36311</v>
      </c>
      <c r="AT189" s="756">
        <f t="shared" si="93"/>
        <v>42385.361437886997</v>
      </c>
      <c r="AU189" s="756">
        <f t="shared" si="93"/>
        <v>5412.9263833165196</v>
      </c>
      <c r="AV189" s="756"/>
      <c r="AW189" s="756">
        <f t="shared" si="93"/>
        <v>12850</v>
      </c>
      <c r="AX189" s="756">
        <f t="shared" si="93"/>
        <v>0</v>
      </c>
      <c r="AY189" s="756">
        <f t="shared" si="93"/>
        <v>0</v>
      </c>
      <c r="AZ189" s="756">
        <f t="shared" si="93"/>
        <v>0</v>
      </c>
      <c r="BA189" s="756">
        <f t="shared" si="93"/>
        <v>0</v>
      </c>
      <c r="BB189" s="743" t="e">
        <f t="shared" si="93"/>
        <v>#DIV/0!</v>
      </c>
      <c r="BC189" s="743" t="e">
        <f t="shared" si="93"/>
        <v>#DIV/0!</v>
      </c>
      <c r="BD189" s="743" t="e">
        <f t="shared" si="93"/>
        <v>#DIV/0!</v>
      </c>
      <c r="BE189" s="766" t="e">
        <f t="shared" si="93"/>
        <v>#DIV/0!</v>
      </c>
      <c r="BF189" s="766" t="e">
        <f t="shared" si="93"/>
        <v>#DIV/0!</v>
      </c>
      <c r="BG189" s="766" t="e">
        <f t="shared" si="93"/>
        <v>#DIV/0!</v>
      </c>
    </row>
    <row r="190" spans="1:59" ht="15" customHeight="1">
      <c r="A190" s="680">
        <v>2010</v>
      </c>
      <c r="B190" s="680"/>
      <c r="C190" s="735"/>
      <c r="D190" s="705">
        <v>0.21</v>
      </c>
      <c r="E190" s="705"/>
      <c r="F190" s="705"/>
      <c r="G190" s="705"/>
      <c r="H190" s="705"/>
      <c r="I190" s="705"/>
      <c r="J190" s="708" t="s">
        <v>260</v>
      </c>
      <c r="K190" s="748">
        <f t="shared" si="86"/>
        <v>4.1267663818563527</v>
      </c>
      <c r="L190" s="748">
        <f t="shared" si="86"/>
        <v>3.8227935484987974</v>
      </c>
      <c r="M190" s="748">
        <f t="shared" si="86"/>
        <v>4.214907197875311</v>
      </c>
      <c r="N190" s="748">
        <f t="shared" si="86"/>
        <v>-1.7978117473700186</v>
      </c>
      <c r="O190" s="748">
        <f t="shared" si="86"/>
        <v>-1.8340199979426568</v>
      </c>
      <c r="P190" s="747">
        <f t="shared" si="42"/>
        <v>19.55769230769231</v>
      </c>
      <c r="Q190" s="747">
        <f t="shared" si="43"/>
        <v>-246.15037593984962</v>
      </c>
      <c r="R190" s="747">
        <f t="shared" si="44"/>
        <v>-55.646437994722959</v>
      </c>
      <c r="S190" s="747">
        <f t="shared" si="45"/>
        <v>4047</v>
      </c>
      <c r="T190" s="747">
        <f t="shared" si="46"/>
        <v>-72484</v>
      </c>
      <c r="U190" s="747">
        <f t="shared" si="57"/>
        <v>1.0076767335920365E-2</v>
      </c>
      <c r="V190" s="747">
        <f t="shared" si="47"/>
        <v>6.1208660993213411E-3</v>
      </c>
      <c r="W190" s="747">
        <f t="shared" si="48"/>
        <v>4.8626686416894816E-3</v>
      </c>
      <c r="X190" s="747">
        <f t="shared" si="49"/>
        <v>9.2721690694176385E-3</v>
      </c>
      <c r="Y190" s="747">
        <f t="shared" si="50"/>
        <v>1.0385561595393882E-2</v>
      </c>
      <c r="Z190" s="747">
        <f t="shared" si="51"/>
        <v>7.6767335920364433E-4</v>
      </c>
      <c r="AA190" s="747">
        <f t="shared" si="52"/>
        <v>5.7309059571259292E-4</v>
      </c>
      <c r="AB190" s="747">
        <f t="shared" si="53"/>
        <v>7.2159413281139924E-4</v>
      </c>
      <c r="AC190" s="747">
        <f t="shared" si="54"/>
        <v>1.7170683461884517E-6</v>
      </c>
      <c r="AD190" s="747">
        <f t="shared" si="55"/>
        <v>1.7300619016148395E-6</v>
      </c>
      <c r="AE190" s="751"/>
      <c r="AF190" s="61">
        <f t="shared" si="58"/>
        <v>8.5247663707804622E-2</v>
      </c>
      <c r="AG190" s="61">
        <f t="shared" si="59"/>
        <v>0.14041572622876747</v>
      </c>
      <c r="AH190" s="751"/>
      <c r="AI190" s="751"/>
      <c r="AJ190" s="751"/>
      <c r="AK190" s="766">
        <f t="shared" si="60"/>
        <v>-5.5097405371630645E-2</v>
      </c>
      <c r="AL190" s="61">
        <f t="shared" si="61"/>
        <v>0.12705547403674203</v>
      </c>
      <c r="AM190" s="844">
        <f t="shared" si="62"/>
        <v>6.048927195817968</v>
      </c>
      <c r="AN190" s="846">
        <f t="shared" si="63"/>
        <v>5.9607863797990097</v>
      </c>
      <c r="AO190" s="552">
        <f t="shared" si="64"/>
        <v>-5.5228929537043999E-3</v>
      </c>
      <c r="AP190" s="552">
        <f t="shared" si="65"/>
        <v>-3.0879425947351671E-4</v>
      </c>
      <c r="AQ190" s="756">
        <f t="shared" ref="AQ190:BG190" si="94">AQ30</f>
        <v>79920.264993999997</v>
      </c>
      <c r="AR190" s="756">
        <f t="shared" si="94"/>
        <v>79310.088516000003</v>
      </c>
      <c r="AS190" s="756">
        <f t="shared" si="94"/>
        <v>93347.128511999996</v>
      </c>
      <c r="AT190" s="756">
        <f t="shared" si="94"/>
        <v>95584.409068000008</v>
      </c>
      <c r="AU190" s="756">
        <f t="shared" si="94"/>
        <v>91390.197469999999</v>
      </c>
      <c r="AV190" s="756"/>
      <c r="AW190" s="756">
        <f t="shared" si="94"/>
        <v>462.785706</v>
      </c>
      <c r="AX190" s="756">
        <f t="shared" si="94"/>
        <v>0</v>
      </c>
      <c r="AY190" s="756">
        <f t="shared" si="94"/>
        <v>0</v>
      </c>
      <c r="AZ190" s="756">
        <f t="shared" si="94"/>
        <v>0</v>
      </c>
      <c r="BA190" s="756">
        <f t="shared" si="94"/>
        <v>0</v>
      </c>
      <c r="BB190" s="743" t="e">
        <f t="shared" si="94"/>
        <v>#DIV/0!</v>
      </c>
      <c r="BC190" s="743" t="e">
        <f t="shared" si="94"/>
        <v>#DIV/0!</v>
      </c>
      <c r="BD190" s="743" t="e">
        <f t="shared" si="94"/>
        <v>#DIV/0!</v>
      </c>
      <c r="BE190" s="766" t="e">
        <f t="shared" si="94"/>
        <v>#DIV/0!</v>
      </c>
      <c r="BF190" s="766" t="e">
        <f t="shared" si="94"/>
        <v>#DIV/0!</v>
      </c>
      <c r="BG190" s="766" t="e">
        <f t="shared" si="94"/>
        <v>#DIV/0!</v>
      </c>
    </row>
    <row r="191" spans="1:59" ht="15" customHeight="1">
      <c r="A191" s="449">
        <v>2010</v>
      </c>
      <c r="B191" s="449"/>
      <c r="C191" s="450"/>
      <c r="D191" s="647"/>
      <c r="E191" s="647"/>
      <c r="F191" s="647"/>
      <c r="G191" s="647"/>
      <c r="H191" s="647"/>
      <c r="I191" s="647"/>
      <c r="J191" s="438" t="s">
        <v>309</v>
      </c>
      <c r="K191" s="543">
        <f t="shared" si="86"/>
        <v>11.074969959169394</v>
      </c>
      <c r="L191" s="543">
        <f t="shared" si="86"/>
        <v>11.193168590023484</v>
      </c>
      <c r="M191" s="543">
        <f t="shared" si="86"/>
        <v>11.362179948009736</v>
      </c>
      <c r="N191" s="543">
        <f t="shared" si="86"/>
        <v>11.48137929496605</v>
      </c>
      <c r="O191" s="543">
        <f t="shared" si="86"/>
        <v>11.551911534346811</v>
      </c>
      <c r="P191" s="550">
        <f t="shared" si="42"/>
        <v>-3.611371281577732E-2</v>
      </c>
      <c r="Q191" s="550">
        <f t="shared" si="43"/>
        <v>8.8297602901041258E-2</v>
      </c>
      <c r="R191" s="550">
        <f t="shared" si="44"/>
        <v>6.9248355901829636E-2</v>
      </c>
      <c r="S191" s="550">
        <f t="shared" si="45"/>
        <v>5.3963347392788817E-2</v>
      </c>
      <c r="T191" s="550">
        <f t="shared" si="46"/>
        <v>5.6842296126358563E-2</v>
      </c>
      <c r="U191" s="551">
        <f t="shared" si="57"/>
        <v>0.56807067177270376</v>
      </c>
      <c r="V191" s="551">
        <f t="shared" si="47"/>
        <v>0.4936612402175321</v>
      </c>
      <c r="W191" s="551">
        <f t="shared" si="48"/>
        <v>0.35831920605280798</v>
      </c>
      <c r="X191" s="551">
        <f t="shared" si="49"/>
        <v>0.42909988635918334</v>
      </c>
      <c r="Y191" s="551">
        <f t="shared" si="50"/>
        <v>0.65627484760137822</v>
      </c>
      <c r="Z191" s="551">
        <f t="shared" si="51"/>
        <v>0.88182672666105189</v>
      </c>
      <c r="AA191" s="551">
        <f t="shared" si="52"/>
        <v>1.0731033887154582</v>
      </c>
      <c r="AB191" s="551">
        <f t="shared" si="53"/>
        <v>1.7259928820010682</v>
      </c>
      <c r="AC191" s="551">
        <f t="shared" si="54"/>
        <v>2.2920059563462516</v>
      </c>
      <c r="AD191" s="551">
        <f t="shared" si="55"/>
        <v>1.9600480688143025</v>
      </c>
      <c r="AE191" s="51"/>
      <c r="AF191" s="61">
        <f t="shared" si="58"/>
        <v>8.1085366273948162E-3</v>
      </c>
      <c r="AG191" s="61">
        <f t="shared" si="59"/>
        <v>-0.14325966990935399</v>
      </c>
      <c r="AH191" s="51"/>
      <c r="AI191" s="51"/>
      <c r="AJ191" s="51"/>
      <c r="AK191" s="61">
        <f t="shared" si="60"/>
        <v>0.28304143148332372</v>
      </c>
      <c r="AL191" s="61">
        <f t="shared" si="61"/>
        <v>-0.31528297650456139</v>
      </c>
      <c r="AM191" s="844">
        <f t="shared" si="62"/>
        <v>-0.18973158633707526</v>
      </c>
      <c r="AN191" s="846">
        <f t="shared" si="63"/>
        <v>-0.47694157517741737</v>
      </c>
      <c r="AO191" s="552">
        <f t="shared" si="64"/>
        <v>-0.29795564154857024</v>
      </c>
      <c r="AP191" s="552">
        <f t="shared" si="65"/>
        <v>-8.8204175828674458E-2</v>
      </c>
      <c r="AQ191" s="443">
        <f t="shared" ref="AQ191:BG191" si="95">AQ31</f>
        <v>31610.238817000001</v>
      </c>
      <c r="AR191" s="443">
        <f t="shared" si="95"/>
        <v>34271.330159999998</v>
      </c>
      <c r="AS191" s="443">
        <f t="shared" si="95"/>
        <v>31975.292052000001</v>
      </c>
      <c r="AT191" s="443">
        <f t="shared" si="95"/>
        <v>24134.985429</v>
      </c>
      <c r="AU191" s="443">
        <f t="shared" si="95"/>
        <v>18233.751250000001</v>
      </c>
      <c r="AV191" s="443"/>
      <c r="AW191" s="443">
        <f t="shared" si="95"/>
        <v>20991.537361999999</v>
      </c>
      <c r="AX191" s="443">
        <f t="shared" si="95"/>
        <v>10631.436312</v>
      </c>
      <c r="AY191" s="443">
        <f t="shared" si="95"/>
        <v>331.29558000000003</v>
      </c>
      <c r="AZ191" s="443">
        <f t="shared" si="95"/>
        <v>421.93856700000003</v>
      </c>
      <c r="BA191" s="443">
        <f t="shared" si="95"/>
        <v>686.69146000000001</v>
      </c>
      <c r="BB191" s="553">
        <f t="shared" si="95"/>
        <v>8.6067938576081904</v>
      </c>
      <c r="BC191" s="553">
        <f t="shared" si="95"/>
        <v>12.392226148409893</v>
      </c>
      <c r="BD191" s="553">
        <f t="shared" si="95"/>
        <v>17.977358490566036</v>
      </c>
      <c r="BE191" s="538">
        <f t="shared" si="95"/>
        <v>5.6241032072171917</v>
      </c>
      <c r="BF191" s="538">
        <f t="shared" si="95"/>
        <v>5.4280190604850782</v>
      </c>
      <c r="BG191" s="538">
        <f t="shared" si="95"/>
        <v>6.577832285224896</v>
      </c>
    </row>
    <row r="192" spans="1:59" ht="15" customHeight="1">
      <c r="A192" s="449">
        <v>2016</v>
      </c>
      <c r="B192" s="449"/>
      <c r="C192" s="450"/>
      <c r="D192" s="648">
        <v>0.2</v>
      </c>
      <c r="E192" s="648"/>
      <c r="F192" s="648"/>
      <c r="G192" s="648"/>
      <c r="H192" s="648"/>
      <c r="I192" s="648"/>
      <c r="J192" s="438" t="s">
        <v>310</v>
      </c>
      <c r="K192" s="543">
        <f t="shared" si="86"/>
        <v>9.0186886212975761</v>
      </c>
      <c r="L192" s="543">
        <f t="shared" si="86"/>
        <v>8.4545545718421593</v>
      </c>
      <c r="M192" s="543">
        <f t="shared" si="86"/>
        <v>8.4401917886495887</v>
      </c>
      <c r="N192" s="543">
        <f t="shared" si="86"/>
        <v>8.3164909724127796</v>
      </c>
      <c r="O192" s="543">
        <f t="shared" si="86"/>
        <v>8.5964254232968269</v>
      </c>
      <c r="P192" s="550">
        <f t="shared" si="42"/>
        <v>2.2539560121744642</v>
      </c>
      <c r="Q192" s="550">
        <f t="shared" si="43"/>
        <v>3.2247964606403308</v>
      </c>
      <c r="R192" s="550">
        <f t="shared" si="44"/>
        <v>3.2427887758571092</v>
      </c>
      <c r="S192" s="550">
        <f t="shared" si="45"/>
        <v>1.4435842961497045</v>
      </c>
      <c r="T192" s="550">
        <f t="shared" si="46"/>
        <v>-3.7527543150936468E-2</v>
      </c>
      <c r="U192" s="551">
        <f t="shared" si="57"/>
        <v>0.46564206902355315</v>
      </c>
      <c r="V192" s="551">
        <f t="shared" si="47"/>
        <v>0.37324192468352413</v>
      </c>
      <c r="W192" s="551">
        <f t="shared" si="48"/>
        <v>0.38145706570403221</v>
      </c>
      <c r="X192" s="551">
        <f t="shared" si="49"/>
        <v>0.38409890698920968</v>
      </c>
      <c r="Y192" s="551">
        <f t="shared" si="50"/>
        <v>0.84497325735529905</v>
      </c>
      <c r="Z192" s="551">
        <f t="shared" si="51"/>
        <v>2.3592150267678354E-2</v>
      </c>
      <c r="AA192" s="551">
        <f t="shared" si="52"/>
        <v>2.4360830330665478E-2</v>
      </c>
      <c r="AB192" s="551">
        <f t="shared" si="53"/>
        <v>2.6960580400894007E-2</v>
      </c>
      <c r="AC192" s="551">
        <f t="shared" si="54"/>
        <v>2.6692923784443046E-2</v>
      </c>
      <c r="AD192" s="551">
        <f t="shared" si="55"/>
        <v>7.4711352634223377E-2</v>
      </c>
      <c r="AE192" s="51"/>
      <c r="AF192" s="61">
        <f t="shared" si="58"/>
        <v>9.0231201024457905E-2</v>
      </c>
      <c r="AG192" s="61">
        <f t="shared" si="59"/>
        <v>5.5979402445802663E-2</v>
      </c>
      <c r="AH192" s="51"/>
      <c r="AI192" s="51"/>
      <c r="AJ192" s="51"/>
      <c r="AK192" s="61">
        <f t="shared" si="60"/>
        <v>2.8770981221361361E-2</v>
      </c>
      <c r="AL192" s="61">
        <f t="shared" si="61"/>
        <v>0.1367944998648154</v>
      </c>
      <c r="AM192" s="844">
        <f t="shared" si="62"/>
        <v>-0.15623363464723675</v>
      </c>
      <c r="AN192" s="846">
        <f t="shared" si="63"/>
        <v>0.42226319800074996</v>
      </c>
      <c r="AO192" s="552">
        <f t="shared" si="64"/>
        <v>-0.46351619165126684</v>
      </c>
      <c r="AP192" s="552">
        <f t="shared" si="65"/>
        <v>-0.37933118833174589</v>
      </c>
      <c r="AQ192" s="443">
        <f t="shared" ref="AQ192:BG192" si="96">AQ32</f>
        <v>186995.620826</v>
      </c>
      <c r="AR192" s="443">
        <f t="shared" si="96"/>
        <v>120829.607556</v>
      </c>
      <c r="AS192" s="443">
        <f t="shared" si="96"/>
        <v>106210.838602</v>
      </c>
      <c r="AT192" s="443">
        <f t="shared" si="96"/>
        <v>94388.909043000007</v>
      </c>
      <c r="AU192" s="443">
        <f t="shared" si="96"/>
        <v>11230.403078000001</v>
      </c>
      <c r="AV192" s="443"/>
      <c r="AW192" s="443">
        <f t="shared" si="96"/>
        <v>208129.56679899999</v>
      </c>
      <c r="AX192" s="443">
        <f t="shared" si="96"/>
        <v>78412.991664000001</v>
      </c>
      <c r="AY192" s="443">
        <f t="shared" si="96"/>
        <v>71647.827327999999</v>
      </c>
      <c r="AZ192" s="443">
        <f t="shared" si="96"/>
        <v>87736.822668000008</v>
      </c>
      <c r="BA192" s="443">
        <f t="shared" si="96"/>
        <v>50610.541982000002</v>
      </c>
      <c r="BB192" s="553">
        <f t="shared" si="96"/>
        <v>-4.013185831367649E-3</v>
      </c>
      <c r="BC192" s="553">
        <f t="shared" si="96"/>
        <v>6.7307953256368083E-2</v>
      </c>
      <c r="BD192" s="553">
        <f t="shared" si="96"/>
        <v>0.2095291040337407</v>
      </c>
      <c r="BE192" s="538">
        <f t="shared" si="96"/>
        <v>1.5352019091153211E-2</v>
      </c>
      <c r="BF192" s="538">
        <f t="shared" si="96"/>
        <v>0.10802161674725078</v>
      </c>
      <c r="BG192" s="538">
        <f t="shared" si="96"/>
        <v>0.17250630259004651</v>
      </c>
    </row>
    <row r="193" spans="1:59" ht="15" customHeight="1">
      <c r="A193" s="449">
        <v>2008</v>
      </c>
      <c r="B193" s="449"/>
      <c r="C193" s="450"/>
      <c r="D193" s="647"/>
      <c r="E193" s="647"/>
      <c r="F193" s="647"/>
      <c r="G193" s="647"/>
      <c r="H193" s="647"/>
      <c r="I193" s="647"/>
      <c r="J193" s="438" t="s">
        <v>311</v>
      </c>
      <c r="K193" s="543">
        <f t="shared" ref="K193:O202" si="97">LN(K33)</f>
        <v>12.587163072462419</v>
      </c>
      <c r="L193" s="543">
        <f t="shared" si="97"/>
        <v>12.679691696791746</v>
      </c>
      <c r="M193" s="543">
        <f t="shared" si="97"/>
        <v>12.391983673167102</v>
      </c>
      <c r="N193" s="543">
        <f t="shared" si="97"/>
        <v>12.75834169234283</v>
      </c>
      <c r="O193" s="543">
        <f t="shared" si="97"/>
        <v>12.220800691951617</v>
      </c>
      <c r="P193" s="550">
        <f t="shared" si="42"/>
        <v>0.32633530976258451</v>
      </c>
      <c r="Q193" s="550">
        <f t="shared" si="43"/>
        <v>0.35313403333862908</v>
      </c>
      <c r="R193" s="550">
        <f t="shared" si="44"/>
        <v>0.31734171950587742</v>
      </c>
      <c r="S193" s="550">
        <f t="shared" si="45"/>
        <v>0.32937078171434131</v>
      </c>
      <c r="T193" s="550">
        <f t="shared" si="46"/>
        <v>0.29542045934510064</v>
      </c>
      <c r="U193" s="551">
        <f t="shared" si="57"/>
        <v>0.49784489087703493</v>
      </c>
      <c r="V193" s="551">
        <f t="shared" si="47"/>
        <v>0.59005557848127999</v>
      </c>
      <c r="W193" s="551">
        <f t="shared" si="48"/>
        <v>0.53695582457180535</v>
      </c>
      <c r="X193" s="551">
        <f t="shared" si="49"/>
        <v>0.56613250317365427</v>
      </c>
      <c r="Y193" s="551">
        <f t="shared" si="50"/>
        <v>0.63177327034397446</v>
      </c>
      <c r="Z193" s="551">
        <f t="shared" si="51"/>
        <v>0.29001095776219638</v>
      </c>
      <c r="AA193" s="551">
        <f t="shared" si="52"/>
        <v>0.30604821306168506</v>
      </c>
      <c r="AB193" s="551">
        <f t="shared" si="53"/>
        <v>0.26874388220171036</v>
      </c>
      <c r="AC193" s="551">
        <f t="shared" si="54"/>
        <v>0.34068132068443396</v>
      </c>
      <c r="AD193" s="551">
        <f t="shared" si="55"/>
        <v>0.21590862344321038</v>
      </c>
      <c r="AE193" s="51"/>
      <c r="AF193" s="61">
        <f t="shared" si="58"/>
        <v>2.1499820970414169E-2</v>
      </c>
      <c r="AG193" s="61">
        <f t="shared" si="59"/>
        <v>3.0856991021708607E-2</v>
      </c>
      <c r="AH193" s="51"/>
      <c r="AI193" s="51"/>
      <c r="AJ193" s="51"/>
      <c r="AK193" s="61">
        <f t="shared" si="60"/>
        <v>-2.5625756169515013E-2</v>
      </c>
      <c r="AL193" s="61">
        <f t="shared" si="61"/>
        <v>8.4535606348615511E-3</v>
      </c>
      <c r="AM193" s="844">
        <f t="shared" si="62"/>
        <v>0.17118298121548664</v>
      </c>
      <c r="AN193" s="846">
        <f t="shared" si="63"/>
        <v>0.36636238051080156</v>
      </c>
      <c r="AO193" s="552">
        <f t="shared" si="64"/>
        <v>-9.4817445772169107E-2</v>
      </c>
      <c r="AP193" s="552">
        <f t="shared" si="65"/>
        <v>-0.13392837946693953</v>
      </c>
      <c r="AQ193" s="443">
        <f t="shared" ref="AQ193:BG193" si="98">AQ33</f>
        <v>506942.60284800001</v>
      </c>
      <c r="AR193" s="443">
        <f t="shared" si="98"/>
        <v>430184.84025800001</v>
      </c>
      <c r="AS193" s="443">
        <f t="shared" si="98"/>
        <v>415005.61063000001</v>
      </c>
      <c r="AT193" s="443">
        <f t="shared" si="98"/>
        <v>442472.583102</v>
      </c>
      <c r="AU193" s="443">
        <f t="shared" si="98"/>
        <v>346155.64042399998</v>
      </c>
      <c r="AV193" s="443"/>
      <c r="AW193" s="443">
        <f t="shared" si="98"/>
        <v>402308.74292400002</v>
      </c>
      <c r="AX193" s="443">
        <f t="shared" si="98"/>
        <v>405075.93381000002</v>
      </c>
      <c r="AY193" s="443">
        <f t="shared" si="98"/>
        <v>391702.67681999999</v>
      </c>
      <c r="AZ193" s="443">
        <f t="shared" si="98"/>
        <v>411854.308158</v>
      </c>
      <c r="BA193" s="443">
        <f t="shared" si="98"/>
        <v>394433.69343999994</v>
      </c>
      <c r="BB193" s="553">
        <f t="shared" si="98"/>
        <v>0.15201724855972792</v>
      </c>
      <c r="BC193" s="553">
        <f t="shared" si="98"/>
        <v>0.27785540703412731</v>
      </c>
      <c r="BD193" s="553">
        <f t="shared" si="98"/>
        <v>0.19513751057444204</v>
      </c>
      <c r="BE193" s="538">
        <f t="shared" si="98"/>
        <v>0.17112421772195252</v>
      </c>
      <c r="BF193" s="538">
        <f t="shared" si="98"/>
        <v>0.27374030694414603</v>
      </c>
      <c r="BG193" s="538">
        <f t="shared" si="98"/>
        <v>0.18733203986938851</v>
      </c>
    </row>
    <row r="194" spans="1:59" ht="15" customHeight="1">
      <c r="A194" s="449">
        <v>2008</v>
      </c>
      <c r="B194" s="449"/>
      <c r="C194" s="450"/>
      <c r="D194" s="647"/>
      <c r="E194" s="647"/>
      <c r="F194" s="647"/>
      <c r="G194" s="647"/>
      <c r="H194" s="647"/>
      <c r="I194" s="647"/>
      <c r="J194" s="438" t="s">
        <v>313</v>
      </c>
      <c r="K194" s="543">
        <f t="shared" si="97"/>
        <v>11.588700469709837</v>
      </c>
      <c r="L194" s="543">
        <f t="shared" si="97"/>
        <v>11.690582668897068</v>
      </c>
      <c r="M194" s="543">
        <f t="shared" si="97"/>
        <v>11.717525014187153</v>
      </c>
      <c r="N194" s="543">
        <f t="shared" si="97"/>
        <v>11.706776197994026</v>
      </c>
      <c r="O194" s="543">
        <f t="shared" si="97"/>
        <v>11.637583868800165</v>
      </c>
      <c r="P194" s="550">
        <f t="shared" si="42"/>
        <v>0.14238410596026491</v>
      </c>
      <c r="Q194" s="550">
        <f t="shared" si="43"/>
        <v>-0.78502080443828015</v>
      </c>
      <c r="R194" s="550">
        <f t="shared" si="44"/>
        <v>-0.44401041666666669</v>
      </c>
      <c r="S194" s="550">
        <f t="shared" si="45"/>
        <v>-1.6014514218009479</v>
      </c>
      <c r="T194" s="550">
        <f t="shared" si="46"/>
        <v>-6.1646525679758311</v>
      </c>
      <c r="U194" s="551">
        <f t="shared" si="57"/>
        <v>0.14731839782756281</v>
      </c>
      <c r="V194" s="551">
        <f t="shared" si="47"/>
        <v>0.10162856248042594</v>
      </c>
      <c r="W194" s="551">
        <f t="shared" si="48"/>
        <v>0.31541218637992829</v>
      </c>
      <c r="X194" s="551">
        <f t="shared" si="49"/>
        <v>0.41521332653408127</v>
      </c>
      <c r="Y194" s="551">
        <f t="shared" si="50"/>
        <v>0.48158529430936708</v>
      </c>
      <c r="Z194" s="551">
        <f t="shared" si="51"/>
        <v>0.20502376103190767</v>
      </c>
      <c r="AA194" s="551">
        <f t="shared" si="52"/>
        <v>0.11290322580645162</v>
      </c>
      <c r="AB194" s="551">
        <f t="shared" si="53"/>
        <v>8.3414793092212447E-2</v>
      </c>
      <c r="AC194" s="551">
        <f t="shared" si="54"/>
        <v>5.738568757436683E-2</v>
      </c>
      <c r="AD194" s="551">
        <f t="shared" si="55"/>
        <v>4.3152336875040741E-2</v>
      </c>
      <c r="AE194" s="51"/>
      <c r="AF194" s="61">
        <f t="shared" si="58"/>
        <v>0.22898212729384099</v>
      </c>
      <c r="AG194" s="61">
        <f t="shared" si="59"/>
        <v>0.29521128924601719</v>
      </c>
      <c r="AH194" s="51"/>
      <c r="AI194" s="51"/>
      <c r="AJ194" s="51"/>
      <c r="AK194" s="61">
        <f t="shared" si="60"/>
        <v>-7.0513126398555781E-2</v>
      </c>
      <c r="AL194" s="61">
        <f t="shared" si="61"/>
        <v>0.45322704874989816</v>
      </c>
      <c r="AM194" s="844">
        <f t="shared" si="62"/>
        <v>7.9941145386986934E-2</v>
      </c>
      <c r="AN194" s="846">
        <f t="shared" si="63"/>
        <v>-4.8883399090328579E-2</v>
      </c>
      <c r="AO194" s="552">
        <f t="shared" si="64"/>
        <v>-0.16617310792943879</v>
      </c>
      <c r="AP194" s="552">
        <f t="shared" si="65"/>
        <v>-0.3342668964818043</v>
      </c>
      <c r="AQ194" s="443">
        <f t="shared" ref="AQ194:BG194" si="99">AQ34</f>
        <v>448633.152</v>
      </c>
      <c r="AR194" s="443">
        <f t="shared" si="99"/>
        <v>950397.15700000001</v>
      </c>
      <c r="AS194" s="443">
        <f t="shared" si="99"/>
        <v>1007030.3099999999</v>
      </c>
      <c r="AT194" s="443">
        <f t="shared" si="99"/>
        <v>1237035.5516000001</v>
      </c>
      <c r="AU194" s="443">
        <f t="shared" si="99"/>
        <v>1361024.848</v>
      </c>
      <c r="AV194" s="443"/>
      <c r="AW194" s="443">
        <f t="shared" si="99"/>
        <v>16966.62</v>
      </c>
      <c r="AX194" s="443">
        <f t="shared" si="99"/>
        <v>97408.668000000005</v>
      </c>
      <c r="AY194" s="443">
        <f t="shared" si="99"/>
        <v>447675.54</v>
      </c>
      <c r="AZ194" s="443">
        <f t="shared" si="99"/>
        <v>735666.3334</v>
      </c>
      <c r="BA194" s="443">
        <f t="shared" si="99"/>
        <v>1003229.656</v>
      </c>
      <c r="BB194" s="553">
        <f t="shared" si="99"/>
        <v>-0.69606003752345214</v>
      </c>
      <c r="BC194" s="553">
        <f t="shared" si="99"/>
        <v>-0.26425376964246439</v>
      </c>
      <c r="BD194" s="553">
        <f t="shared" si="99"/>
        <v>-0.12169878658101356</v>
      </c>
      <c r="BE194" s="538">
        <f t="shared" si="99"/>
        <v>-0.32380690648510124</v>
      </c>
      <c r="BF194" s="538">
        <f t="shared" si="99"/>
        <v>-0.16574625190090791</v>
      </c>
      <c r="BG194" s="538">
        <f t="shared" si="99"/>
        <v>-7.1626211049106048E-2</v>
      </c>
    </row>
    <row r="195" spans="1:59" ht="15" customHeight="1">
      <c r="A195" s="680">
        <v>2008</v>
      </c>
      <c r="B195" s="680"/>
      <c r="C195" s="735"/>
      <c r="D195" s="721"/>
      <c r="E195" s="721"/>
      <c r="F195" s="721"/>
      <c r="G195" s="721"/>
      <c r="H195" s="721"/>
      <c r="I195" s="721"/>
      <c r="J195" s="708" t="s">
        <v>314</v>
      </c>
      <c r="K195" s="748">
        <f t="shared" si="97"/>
        <v>10.193579186212212</v>
      </c>
      <c r="L195" s="748">
        <f t="shared" si="97"/>
        <v>10.02031640376998</v>
      </c>
      <c r="M195" s="748">
        <f t="shared" si="97"/>
        <v>9.835644223464902</v>
      </c>
      <c r="N195" s="748">
        <f t="shared" si="97"/>
        <v>9.9072705723847161</v>
      </c>
      <c r="O195" s="748">
        <f t="shared" si="97"/>
        <v>8.3148150645445646</v>
      </c>
      <c r="P195" s="747">
        <f t="shared" si="42"/>
        <v>0.22751598484696639</v>
      </c>
      <c r="Q195" s="747">
        <f t="shared" si="43"/>
        <v>0.15334217702115116</v>
      </c>
      <c r="R195" s="747">
        <f t="shared" si="44"/>
        <v>0.11112346006206772</v>
      </c>
      <c r="S195" s="747">
        <f t="shared" si="45"/>
        <v>0.19221779429543723</v>
      </c>
      <c r="T195" s="747">
        <f t="shared" si="46"/>
        <v>-1.1941174005949639E-2</v>
      </c>
      <c r="U195" s="747">
        <f t="shared" si="57"/>
        <v>0.21849280934073759</v>
      </c>
      <c r="V195" s="747">
        <f t="shared" si="47"/>
        <v>0.18776082149190987</v>
      </c>
      <c r="W195" s="747">
        <f t="shared" si="48"/>
        <v>0.1279419077872388</v>
      </c>
      <c r="X195" s="747">
        <f t="shared" si="49"/>
        <v>0.15018377547917655</v>
      </c>
      <c r="Y195" s="747">
        <f t="shared" si="50"/>
        <v>0.12676812891674127</v>
      </c>
      <c r="Z195" s="747">
        <f t="shared" si="51"/>
        <v>0.53279581375480567</v>
      </c>
      <c r="AA195" s="747">
        <f t="shared" si="52"/>
        <v>0.59418036914588479</v>
      </c>
      <c r="AB195" s="747">
        <f t="shared" si="53"/>
        <v>0.59355241391209035</v>
      </c>
      <c r="AC195" s="747">
        <f t="shared" si="54"/>
        <v>0.59568327669812271</v>
      </c>
      <c r="AD195" s="747">
        <f t="shared" si="55"/>
        <v>0.15827447859677043</v>
      </c>
      <c r="AE195" s="751"/>
      <c r="AF195" s="61">
        <f t="shared" si="58"/>
        <v>6.7847581051729056E-2</v>
      </c>
      <c r="AG195" s="61">
        <f t="shared" si="59"/>
        <v>0.12310954737839047</v>
      </c>
      <c r="AH195" s="751"/>
      <c r="AI195" s="751"/>
      <c r="AJ195" s="751"/>
      <c r="AK195" s="766">
        <f t="shared" si="60"/>
        <v>-9.9882110803906937E-2</v>
      </c>
      <c r="AL195" s="61">
        <f t="shared" si="61"/>
        <v>0.17620456582521488</v>
      </c>
      <c r="AM195" s="844">
        <f t="shared" si="62"/>
        <v>1.5208291589203375</v>
      </c>
      <c r="AN195" s="846">
        <f t="shared" si="63"/>
        <v>1.8787641216676467</v>
      </c>
      <c r="AO195" s="552">
        <f t="shared" si="64"/>
        <v>1.1737788704975216E-3</v>
      </c>
      <c r="AP195" s="552">
        <f t="shared" si="65"/>
        <v>9.1724680423996313E-2</v>
      </c>
      <c r="AQ195" s="756">
        <f t="shared" ref="AQ195:BG195" si="100">AQ35</f>
        <v>39208.965840000004</v>
      </c>
      <c r="AR195" s="756">
        <f t="shared" si="100"/>
        <v>30727.796246000002</v>
      </c>
      <c r="AS195" s="756">
        <f t="shared" si="100"/>
        <v>27456.794040000001</v>
      </c>
      <c r="AT195" s="756">
        <f t="shared" si="100"/>
        <v>28640.628944</v>
      </c>
      <c r="AU195" s="756">
        <f t="shared" si="100"/>
        <v>22531.857047999998</v>
      </c>
      <c r="AV195" s="756"/>
      <c r="AW195" s="756">
        <f t="shared" si="100"/>
        <v>0</v>
      </c>
      <c r="AX195" s="756">
        <f t="shared" si="100"/>
        <v>0</v>
      </c>
      <c r="AY195" s="756">
        <f t="shared" si="100"/>
        <v>0</v>
      </c>
      <c r="AZ195" s="756">
        <f t="shared" si="100"/>
        <v>0</v>
      </c>
      <c r="BA195" s="756">
        <f t="shared" si="100"/>
        <v>13.175623999999999</v>
      </c>
      <c r="BB195" s="743">
        <f t="shared" si="100"/>
        <v>-3.7012987012987013</v>
      </c>
      <c r="BC195" s="743" t="e">
        <f t="shared" si="100"/>
        <v>#DIV/0!</v>
      </c>
      <c r="BD195" s="743" t="e">
        <f t="shared" si="100"/>
        <v>#DIV/0!</v>
      </c>
      <c r="BE195" s="766">
        <f t="shared" si="100"/>
        <v>-0.31733350578576014</v>
      </c>
      <c r="BF195" s="766" t="e">
        <f t="shared" si="100"/>
        <v>#DIV/0!</v>
      </c>
      <c r="BG195" s="766" t="e">
        <f t="shared" si="100"/>
        <v>#DIV/0!</v>
      </c>
    </row>
    <row r="196" spans="1:59" ht="15" customHeight="1">
      <c r="A196" s="680">
        <v>2008</v>
      </c>
      <c r="B196" s="680"/>
      <c r="C196" s="735"/>
      <c r="D196" s="721"/>
      <c r="E196" s="721"/>
      <c r="F196" s="721"/>
      <c r="G196" s="721"/>
      <c r="H196" s="721"/>
      <c r="I196" s="721"/>
      <c r="J196" s="770" t="s">
        <v>315</v>
      </c>
      <c r="K196" s="748">
        <f t="shared" si="97"/>
        <v>7.3708404130376524</v>
      </c>
      <c r="L196" s="748">
        <f t="shared" si="97"/>
        <v>7.9036820125746345</v>
      </c>
      <c r="M196" s="748">
        <f t="shared" si="97"/>
        <v>7.5482548379409939</v>
      </c>
      <c r="N196" s="748">
        <f t="shared" si="97"/>
        <v>7.7007158989805173</v>
      </c>
      <c r="O196" s="748">
        <f t="shared" si="97"/>
        <v>7.4741709035377708</v>
      </c>
      <c r="P196" s="747">
        <f t="shared" si="42"/>
        <v>4.3622569405417551</v>
      </c>
      <c r="Q196" s="747">
        <f t="shared" si="43"/>
        <v>2.0610084444988375</v>
      </c>
      <c r="R196" s="747">
        <f t="shared" si="44"/>
        <v>2.8636746379252274</v>
      </c>
      <c r="S196" s="747">
        <f t="shared" si="45"/>
        <v>-1.2530100878620241</v>
      </c>
      <c r="T196" s="747">
        <f t="shared" si="46"/>
        <v>1.6214431387782848</v>
      </c>
      <c r="U196" s="747">
        <f t="shared" si="57"/>
        <v>0.6584325465494566</v>
      </c>
      <c r="V196" s="747">
        <f t="shared" si="47"/>
        <v>0.78404871767357021</v>
      </c>
      <c r="W196" s="747">
        <f t="shared" si="48"/>
        <v>0.8574143502374042</v>
      </c>
      <c r="X196" s="747">
        <f t="shared" si="49"/>
        <v>0.70232111090871741</v>
      </c>
      <c r="Y196" s="747">
        <f t="shared" si="50"/>
        <v>0.52152500840820648</v>
      </c>
      <c r="Z196" s="747">
        <f t="shared" si="51"/>
        <v>3.8489824877137119E-2</v>
      </c>
      <c r="AA196" s="747">
        <f t="shared" si="52"/>
        <v>4.3840540830561221E-2</v>
      </c>
      <c r="AB196" s="747">
        <f t="shared" si="53"/>
        <v>3.6169493486993783E-2</v>
      </c>
      <c r="AC196" s="747">
        <f t="shared" si="54"/>
        <v>4.7639163950500538E-2</v>
      </c>
      <c r="AD196" s="747">
        <f t="shared" si="55"/>
        <v>8.2456477522061533E-2</v>
      </c>
      <c r="AE196" s="751"/>
      <c r="AF196" s="61">
        <f t="shared" si="58"/>
        <v>-3.0120828560666779E-2</v>
      </c>
      <c r="AG196" s="61">
        <f t="shared" si="59"/>
        <v>3.4204015984555552E-2</v>
      </c>
      <c r="AH196" s="751"/>
      <c r="AI196" s="751"/>
      <c r="AJ196" s="751"/>
      <c r="AK196" s="766">
        <f t="shared" si="60"/>
        <v>5.1838724174616546E-3</v>
      </c>
      <c r="AL196" s="61">
        <f t="shared" si="61"/>
        <v>0.19512417839398355</v>
      </c>
      <c r="AM196" s="844">
        <f t="shared" si="62"/>
        <v>7.4083934403222598E-2</v>
      </c>
      <c r="AN196" s="846">
        <f t="shared" si="63"/>
        <v>-0.1033304905001188</v>
      </c>
      <c r="AO196" s="552">
        <f t="shared" si="64"/>
        <v>0.33588934182919772</v>
      </c>
      <c r="AP196" s="552">
        <f t="shared" si="65"/>
        <v>0.13690753814125012</v>
      </c>
      <c r="AQ196" s="756">
        <f t="shared" ref="AQ196:BG196" si="101">AQ36</f>
        <v>14100.868584</v>
      </c>
      <c r="AR196" s="756">
        <f t="shared" si="101"/>
        <v>13335.379178000001</v>
      </c>
      <c r="AS196" s="756">
        <f t="shared" si="101"/>
        <v>7479.9520899999998</v>
      </c>
      <c r="AT196" s="756">
        <f t="shared" si="101"/>
        <v>13809.003087999999</v>
      </c>
      <c r="AU196" s="756">
        <f t="shared" si="101"/>
        <v>10224.113111999999</v>
      </c>
      <c r="AV196" s="756"/>
      <c r="AW196" s="756">
        <f t="shared" si="101"/>
        <v>0</v>
      </c>
      <c r="AX196" s="756">
        <f t="shared" si="101"/>
        <v>0</v>
      </c>
      <c r="AY196" s="756">
        <f t="shared" si="101"/>
        <v>0</v>
      </c>
      <c r="AZ196" s="756">
        <f t="shared" si="101"/>
        <v>0</v>
      </c>
      <c r="BA196" s="756">
        <f t="shared" si="101"/>
        <v>0</v>
      </c>
      <c r="BB196" s="743" t="e">
        <f t="shared" si="101"/>
        <v>#DIV/0!</v>
      </c>
      <c r="BC196" s="743" t="e">
        <f t="shared" si="101"/>
        <v>#DIV/0!</v>
      </c>
      <c r="BD196" s="743" t="e">
        <f t="shared" si="101"/>
        <v>#DIV/0!</v>
      </c>
      <c r="BE196" s="766" t="e">
        <f t="shared" si="101"/>
        <v>#DIV/0!</v>
      </c>
      <c r="BF196" s="766" t="e">
        <f t="shared" si="101"/>
        <v>#DIV/0!</v>
      </c>
      <c r="BG196" s="766" t="e">
        <f t="shared" si="101"/>
        <v>#DIV/0!</v>
      </c>
    </row>
    <row r="197" spans="1:59" ht="15" customHeight="1">
      <c r="A197" s="449">
        <v>2006</v>
      </c>
      <c r="B197" s="449"/>
      <c r="C197" s="450"/>
      <c r="D197" s="647"/>
      <c r="E197" s="647"/>
      <c r="F197" s="647"/>
      <c r="G197" s="647"/>
      <c r="H197" s="647"/>
      <c r="I197" s="647"/>
      <c r="J197" s="437" t="s">
        <v>316</v>
      </c>
      <c r="K197" s="543">
        <f t="shared" si="97"/>
        <v>11.893854260535866</v>
      </c>
      <c r="L197" s="543">
        <f t="shared" si="97"/>
        <v>11.851558486613129</v>
      </c>
      <c r="M197" s="543">
        <f t="shared" si="97"/>
        <v>11.791517865679912</v>
      </c>
      <c r="N197" s="543">
        <f t="shared" si="97"/>
        <v>11.64111831813724</v>
      </c>
      <c r="O197" s="543">
        <f t="shared" si="97"/>
        <v>11.420164367375508</v>
      </c>
      <c r="P197" s="550">
        <f t="shared" si="42"/>
        <v>1.1222647457575315E-2</v>
      </c>
      <c r="Q197" s="550">
        <f t="shared" si="43"/>
        <v>4.463164477157517E-3</v>
      </c>
      <c r="R197" s="550">
        <f t="shared" si="44"/>
        <v>2.4986855158087771E-2</v>
      </c>
      <c r="S197" s="550">
        <f t="shared" si="45"/>
        <v>9.1953265329663986E-3</v>
      </c>
      <c r="T197" s="550">
        <f t="shared" si="46"/>
        <v>2.6197714609371536E-2</v>
      </c>
      <c r="U197" s="551">
        <f t="shared" si="57"/>
        <v>0.29455691274514573</v>
      </c>
      <c r="V197" s="551">
        <f t="shared" si="47"/>
        <v>0.24979880640500304</v>
      </c>
      <c r="W197" s="551">
        <f t="shared" si="48"/>
        <v>0.30039584798349867</v>
      </c>
      <c r="X197" s="551">
        <f t="shared" si="49"/>
        <v>0.63418841726601904</v>
      </c>
      <c r="Y197" s="551">
        <f t="shared" si="50"/>
        <v>0.69598513677313123</v>
      </c>
      <c r="Z197" s="551">
        <f t="shared" si="51"/>
        <v>1.1145238211105162</v>
      </c>
      <c r="AA197" s="551">
        <f t="shared" si="52"/>
        <v>1.0278826004091046</v>
      </c>
      <c r="AB197" s="551">
        <f t="shared" si="53"/>
        <v>0.95429395574857023</v>
      </c>
      <c r="AC197" s="551">
        <f t="shared" si="54"/>
        <v>0.84994362468748463</v>
      </c>
      <c r="AD197" s="551">
        <f t="shared" si="55"/>
        <v>0.9909234912353958</v>
      </c>
      <c r="AE197" s="51"/>
      <c r="AF197" s="61">
        <f t="shared" si="58"/>
        <v>-2.1151259725788289E-3</v>
      </c>
      <c r="AG197" s="61">
        <f t="shared" si="59"/>
        <v>-1.3452022895713914E-2</v>
      </c>
      <c r="AH197" s="51"/>
      <c r="AI197" s="51"/>
      <c r="AJ197" s="51"/>
      <c r="AK197" s="61">
        <f t="shared" si="60"/>
        <v>2.8446886808341735E-2</v>
      </c>
      <c r="AL197" s="61">
        <f t="shared" si="61"/>
        <v>-7.4852063800273455E-2</v>
      </c>
      <c r="AM197" s="844">
        <f t="shared" si="62"/>
        <v>0.37135349830440423</v>
      </c>
      <c r="AN197" s="846">
        <f t="shared" si="63"/>
        <v>0.4736898931603577</v>
      </c>
      <c r="AO197" s="552">
        <f t="shared" si="64"/>
        <v>-0.39558928878963256</v>
      </c>
      <c r="AP197" s="552">
        <f t="shared" si="65"/>
        <v>-0.4014282240279855</v>
      </c>
      <c r="AQ197" s="443">
        <f t="shared" ref="AQ197:BG197" si="102">AQ37</f>
        <v>92641.835649999994</v>
      </c>
      <c r="AR197" s="443">
        <f t="shared" si="102"/>
        <v>102399.81309</v>
      </c>
      <c r="AS197" s="443">
        <f t="shared" si="102"/>
        <v>96863.423183999999</v>
      </c>
      <c r="AT197" s="443">
        <f t="shared" si="102"/>
        <v>48926.120495999996</v>
      </c>
      <c r="AU197" s="443">
        <f t="shared" si="102"/>
        <v>27962.053336999998</v>
      </c>
      <c r="AV197" s="443"/>
      <c r="AW197" s="443">
        <f t="shared" si="102"/>
        <v>199.87226999999999</v>
      </c>
      <c r="AX197" s="443">
        <f t="shared" si="102"/>
        <v>2654.3605040000002</v>
      </c>
      <c r="AY197" s="443">
        <f t="shared" si="102"/>
        <v>3762.2395439999996</v>
      </c>
      <c r="AZ197" s="443">
        <f t="shared" si="102"/>
        <v>5539.8045959999999</v>
      </c>
      <c r="BA197" s="443">
        <f t="shared" si="102"/>
        <v>22871.654455</v>
      </c>
      <c r="BB197" s="553">
        <f t="shared" si="102"/>
        <v>0.104395118800775</v>
      </c>
      <c r="BC197" s="553">
        <f t="shared" si="102"/>
        <v>0.18868881562262238</v>
      </c>
      <c r="BD197" s="553">
        <f t="shared" si="102"/>
        <v>0.87751853367899213</v>
      </c>
      <c r="BE197" s="538">
        <f t="shared" si="102"/>
        <v>7.7778135875075621E-2</v>
      </c>
      <c r="BF197" s="538">
        <f t="shared" si="102"/>
        <v>0.12196342354836681</v>
      </c>
      <c r="BG197" s="538">
        <f t="shared" si="102"/>
        <v>0.29528890877088565</v>
      </c>
    </row>
    <row r="198" spans="1:59" ht="15" customHeight="1">
      <c r="A198" s="449">
        <v>2005</v>
      </c>
      <c r="B198" s="449"/>
      <c r="C198" s="450"/>
      <c r="D198" s="647"/>
      <c r="E198" s="647"/>
      <c r="F198" s="647"/>
      <c r="G198" s="647"/>
      <c r="H198" s="647"/>
      <c r="I198" s="647"/>
      <c r="J198" s="437" t="s">
        <v>305</v>
      </c>
      <c r="K198" s="543">
        <f t="shared" si="97"/>
        <v>10.133331102806116</v>
      </c>
      <c r="L198" s="543">
        <f t="shared" si="97"/>
        <v>9.9431950752553249</v>
      </c>
      <c r="M198" s="543">
        <f t="shared" si="97"/>
        <v>9.6749815275763602</v>
      </c>
      <c r="N198" s="543">
        <f t="shared" si="97"/>
        <v>9.5276547903243305</v>
      </c>
      <c r="O198" s="543">
        <f t="shared" si="97"/>
        <v>9.3448571235750588</v>
      </c>
      <c r="P198" s="550">
        <f t="shared" si="42"/>
        <v>0.19492960161155518</v>
      </c>
      <c r="Q198" s="550">
        <f t="shared" si="43"/>
        <v>0.18325563038062112</v>
      </c>
      <c r="R198" s="550">
        <f t="shared" si="44"/>
        <v>0.15750649860218746</v>
      </c>
      <c r="S198" s="550">
        <f t="shared" si="45"/>
        <v>0.16808558813540134</v>
      </c>
      <c r="T198" s="550">
        <f t="shared" si="46"/>
        <v>6.0869113213431754E-2</v>
      </c>
      <c r="U198" s="551">
        <f t="shared" si="57"/>
        <v>0.85162121748711284</v>
      </c>
      <c r="V198" s="551">
        <f t="shared" si="47"/>
        <v>0.8618290660518545</v>
      </c>
      <c r="W198" s="551">
        <f t="shared" si="48"/>
        <v>0.84405148909395966</v>
      </c>
      <c r="X198" s="551">
        <f t="shared" si="49"/>
        <v>0.8174378931655828</v>
      </c>
      <c r="Y198" s="551">
        <f t="shared" si="50"/>
        <v>0.67274167987321709</v>
      </c>
      <c r="Z198" s="551">
        <f t="shared" si="51"/>
        <v>1.377139652933538</v>
      </c>
      <c r="AA198" s="551">
        <f t="shared" si="52"/>
        <v>1.2297961412449945</v>
      </c>
      <c r="AB198" s="551">
        <f t="shared" si="53"/>
        <v>1.3363176384228186</v>
      </c>
      <c r="AC198" s="551">
        <f t="shared" si="54"/>
        <v>1.1772310480861499</v>
      </c>
      <c r="AD198" s="551">
        <f t="shared" si="55"/>
        <v>1.3858233683907217</v>
      </c>
      <c r="AE198" s="51"/>
      <c r="AF198" s="61">
        <f t="shared" si="58"/>
        <v>0.12612487274392795</v>
      </c>
      <c r="AG198" s="61">
        <f t="shared" si="59"/>
        <v>0.18409144440541575</v>
      </c>
      <c r="AH198" s="51"/>
      <c r="AI198" s="51"/>
      <c r="AJ198" s="51"/>
      <c r="AK198" s="61">
        <f t="shared" si="60"/>
        <v>-0.68566948792449489</v>
      </c>
      <c r="AL198" s="61">
        <f t="shared" si="61"/>
        <v>1.6477648271575447</v>
      </c>
      <c r="AM198" s="844">
        <f t="shared" si="62"/>
        <v>0.33012440400130078</v>
      </c>
      <c r="AN198" s="846">
        <f t="shared" si="63"/>
        <v>0.78847397923105622</v>
      </c>
      <c r="AO198" s="552">
        <f t="shared" si="64"/>
        <v>0.17130980922074257</v>
      </c>
      <c r="AP198" s="552">
        <f t="shared" si="65"/>
        <v>0.17887953761389574</v>
      </c>
      <c r="AQ198" s="443">
        <f t="shared" ref="AQ198:BG198" si="103">AQ38</f>
        <v>2711.7122380000001</v>
      </c>
      <c r="AR198" s="443">
        <f t="shared" si="103"/>
        <v>2338.2454799999996</v>
      </c>
      <c r="AS198" s="443">
        <f t="shared" si="103"/>
        <v>1857.3729839999999</v>
      </c>
      <c r="AT198" s="443">
        <f t="shared" si="103"/>
        <v>2129.8883219999998</v>
      </c>
      <c r="AU198" s="443">
        <f t="shared" si="103"/>
        <v>2701.4858639999998</v>
      </c>
      <c r="AV198" s="443"/>
      <c r="AW198" s="443">
        <f t="shared" si="103"/>
        <v>4841.9965519999996</v>
      </c>
      <c r="AX198" s="443">
        <f t="shared" si="103"/>
        <v>4246.9998399999995</v>
      </c>
      <c r="AY198" s="443">
        <f t="shared" si="103"/>
        <v>3368.4984239999999</v>
      </c>
      <c r="AZ198" s="443">
        <f t="shared" si="103"/>
        <v>2613.3036229999998</v>
      </c>
      <c r="BA198" s="443">
        <f t="shared" si="103"/>
        <v>2826.956592</v>
      </c>
      <c r="BB198" s="553">
        <f t="shared" si="103"/>
        <v>0.24631888935633151</v>
      </c>
      <c r="BC198" s="553">
        <f t="shared" si="103"/>
        <v>0.88338192419825068</v>
      </c>
      <c r="BD198" s="553">
        <f t="shared" si="103"/>
        <v>0.74413754750208538</v>
      </c>
      <c r="BE198" s="538">
        <f t="shared" si="103"/>
        <v>0.80156755040375616</v>
      </c>
      <c r="BF198" s="538">
        <f t="shared" si="103"/>
        <v>1.0539865316105788</v>
      </c>
      <c r="BG198" s="538">
        <f t="shared" si="103"/>
        <v>0.82417283145099718</v>
      </c>
    </row>
    <row r="199" spans="1:59" ht="15" customHeight="1">
      <c r="A199" s="449">
        <v>2005</v>
      </c>
      <c r="B199" s="449"/>
      <c r="C199" s="450"/>
      <c r="D199" s="646">
        <v>0.17899999999999999</v>
      </c>
      <c r="E199" s="646"/>
      <c r="F199" s="646"/>
      <c r="G199" s="646"/>
      <c r="H199" s="646"/>
      <c r="I199" s="646"/>
      <c r="J199" s="437" t="s">
        <v>326</v>
      </c>
      <c r="K199" s="543">
        <f t="shared" si="97"/>
        <v>10.567919262748541</v>
      </c>
      <c r="L199" s="543">
        <f t="shared" si="97"/>
        <v>10.747787795495315</v>
      </c>
      <c r="M199" s="543">
        <f t="shared" si="97"/>
        <v>10.19346532785322</v>
      </c>
      <c r="N199" s="543">
        <f t="shared" si="97"/>
        <v>10.029729701697129</v>
      </c>
      <c r="O199" s="543">
        <f t="shared" si="97"/>
        <v>10.084773798819414</v>
      </c>
      <c r="P199" s="550">
        <f t="shared" si="42"/>
        <v>2.6022332159633E-2</v>
      </c>
      <c r="Q199" s="550">
        <f t="shared" si="43"/>
        <v>0.25316732284246485</v>
      </c>
      <c r="R199" s="550">
        <f t="shared" si="44"/>
        <v>0.11457891308115728</v>
      </c>
      <c r="S199" s="550">
        <f t="shared" si="45"/>
        <v>0.58779838431444054</v>
      </c>
      <c r="T199" s="550">
        <f t="shared" si="46"/>
        <v>0.36815137076168747</v>
      </c>
      <c r="U199" s="551">
        <f t="shared" si="57"/>
        <v>0.92606917606139127</v>
      </c>
      <c r="V199" s="551">
        <f t="shared" si="47"/>
        <v>0.94300868553583561</v>
      </c>
      <c r="W199" s="551">
        <f t="shared" si="48"/>
        <v>0.9341476363396658</v>
      </c>
      <c r="X199" s="551">
        <f t="shared" si="49"/>
        <v>0.91166118919973127</v>
      </c>
      <c r="Y199" s="551">
        <f t="shared" si="50"/>
        <v>0.93260833304548263</v>
      </c>
      <c r="Z199" s="551">
        <f t="shared" si="51"/>
        <v>2.5827488921881653E-2</v>
      </c>
      <c r="AA199" s="551">
        <f t="shared" si="52"/>
        <v>1.8419635102265512E-2</v>
      </c>
      <c r="AB199" s="551">
        <f t="shared" si="53"/>
        <v>1.4359597827930295E-2</v>
      </c>
      <c r="AC199" s="551">
        <f t="shared" si="54"/>
        <v>1.8139108098428822E-2</v>
      </c>
      <c r="AD199" s="551">
        <f t="shared" si="55"/>
        <v>1.9463476848193603E-2</v>
      </c>
      <c r="AE199" s="51"/>
      <c r="AF199" s="61">
        <f t="shared" si="58"/>
        <v>-5.5201985700440419E-3</v>
      </c>
      <c r="AG199" s="61">
        <f t="shared" si="59"/>
        <v>-6.493414185876397E-3</v>
      </c>
      <c r="AH199" s="51"/>
      <c r="AI199" s="51"/>
      <c r="AJ199" s="51"/>
      <c r="AK199" s="61">
        <f t="shared" si="60"/>
        <v>1.8352080261838634E-2</v>
      </c>
      <c r="AL199" s="61">
        <f t="shared" si="61"/>
        <v>-0.1064367543269029</v>
      </c>
      <c r="AM199" s="844">
        <f t="shared" si="62"/>
        <v>0.10869152903380605</v>
      </c>
      <c r="AN199" s="846">
        <f t="shared" si="63"/>
        <v>0.48314546392912694</v>
      </c>
      <c r="AO199" s="552">
        <f t="shared" si="64"/>
        <v>1.5393032941831697E-3</v>
      </c>
      <c r="AP199" s="552">
        <f t="shared" si="65"/>
        <v>-6.5391569840913544E-3</v>
      </c>
      <c r="AQ199" s="443">
        <f t="shared" ref="AQ199:BG199" si="104">AQ39</f>
        <v>111258.147830769</v>
      </c>
      <c r="AR199" s="443">
        <f t="shared" si="104"/>
        <v>143957.11722326299</v>
      </c>
      <c r="AS199" s="443">
        <f t="shared" si="104"/>
        <v>122572.845569193</v>
      </c>
      <c r="AT199" s="443">
        <f t="shared" si="104"/>
        <v>110507.38537617</v>
      </c>
      <c r="AU199" s="443">
        <f t="shared" si="104"/>
        <v>83013.4100517482</v>
      </c>
      <c r="AV199" s="443"/>
      <c r="AW199" s="443">
        <f t="shared" si="104"/>
        <v>29653.715611338601</v>
      </c>
      <c r="AX199" s="443">
        <f t="shared" si="104"/>
        <v>37723.475248575203</v>
      </c>
      <c r="AY199" s="443">
        <f t="shared" si="104"/>
        <v>30617.093180984299</v>
      </c>
      <c r="AZ199" s="443">
        <f t="shared" si="104"/>
        <v>2845.19940534234</v>
      </c>
      <c r="BA199" s="443">
        <f t="shared" si="104"/>
        <v>42798.0129644275</v>
      </c>
      <c r="BB199" s="553">
        <f t="shared" si="104"/>
        <v>0.20623597678916822</v>
      </c>
      <c r="BC199" s="553">
        <f t="shared" si="104"/>
        <v>4.6878309625168679</v>
      </c>
      <c r="BD199" s="553">
        <f t="shared" si="104"/>
        <v>0.10002452220825085</v>
      </c>
      <c r="BE199" s="538">
        <f t="shared" si="104"/>
        <v>0.1928715175781085</v>
      </c>
      <c r="BF199" s="538">
        <f t="shared" si="104"/>
        <v>4.2815221940795887</v>
      </c>
      <c r="BG199" s="538">
        <f t="shared" si="104"/>
        <v>9.5168156036385274E-2</v>
      </c>
    </row>
    <row r="200" spans="1:59" ht="15" customHeight="1">
      <c r="A200" s="449">
        <v>2007</v>
      </c>
      <c r="B200" s="449"/>
      <c r="C200" s="449"/>
      <c r="D200" s="647"/>
      <c r="E200" s="647"/>
      <c r="F200" s="647"/>
      <c r="G200" s="647"/>
      <c r="H200" s="647"/>
      <c r="I200" s="647"/>
      <c r="J200" s="437" t="s">
        <v>327</v>
      </c>
      <c r="K200" s="543">
        <f t="shared" si="97"/>
        <v>6.8853212433727657</v>
      </c>
      <c r="L200" s="543">
        <f t="shared" si="97"/>
        <v>7.2272779483488812</v>
      </c>
      <c r="M200" s="543">
        <f t="shared" si="97"/>
        <v>7.4543065488224141</v>
      </c>
      <c r="N200" s="543">
        <f t="shared" si="97"/>
        <v>6.7442572957550713</v>
      </c>
      <c r="O200" s="543">
        <f t="shared" si="97"/>
        <v>0</v>
      </c>
      <c r="P200" s="550">
        <f t="shared" si="42"/>
        <v>-0.1</v>
      </c>
      <c r="Q200" s="550">
        <f t="shared" si="43"/>
        <v>3.8771995977878304</v>
      </c>
      <c r="R200" s="550">
        <f t="shared" si="44"/>
        <v>-2.3304110495409858</v>
      </c>
      <c r="S200" s="550">
        <f t="shared" si="45"/>
        <v>2.0430996952546838</v>
      </c>
      <c r="T200" s="550">
        <f t="shared" si="46"/>
        <v>504.63259658217402</v>
      </c>
      <c r="U200" s="551">
        <f t="shared" si="57"/>
        <v>0.15918261368804398</v>
      </c>
      <c r="V200" s="551">
        <f t="shared" si="47"/>
        <v>0.20355522923680405</v>
      </c>
      <c r="W200" s="551">
        <f t="shared" si="48"/>
        <v>0.27670562866384396</v>
      </c>
      <c r="X200" s="551">
        <f t="shared" si="49"/>
        <v>4.5757604375037675E-2</v>
      </c>
      <c r="Y200" s="551">
        <f t="shared" si="50"/>
        <v>4.7901054268746746E-2</v>
      </c>
      <c r="Z200" s="551">
        <f t="shared" si="51"/>
        <v>4.6204162728964559E-3</v>
      </c>
      <c r="AA200" s="551">
        <f t="shared" si="52"/>
        <v>6.072174618523816E-3</v>
      </c>
      <c r="AB200" s="551">
        <f t="shared" si="53"/>
        <v>8.6332835895494998E-3</v>
      </c>
      <c r="AC200" s="551">
        <f t="shared" si="54"/>
        <v>7.8881171713356211E-3</v>
      </c>
      <c r="AD200" s="551">
        <f t="shared" si="55"/>
        <v>1.2912780748392049E-5</v>
      </c>
      <c r="AE200" s="51"/>
      <c r="AF200" s="61">
        <f t="shared" si="58"/>
        <v>-2.6635309549064408E-2</v>
      </c>
      <c r="AG200" s="61">
        <f t="shared" si="59"/>
        <v>-6.9782517054470337E-3</v>
      </c>
      <c r="AH200" s="51"/>
      <c r="AI200" s="51"/>
      <c r="AJ200" s="51"/>
      <c r="AK200" s="61">
        <f t="shared" si="60"/>
        <v>-3.1990274673715097E-2</v>
      </c>
      <c r="AL200" s="61">
        <f t="shared" si="61"/>
        <v>-1.1459445426191088E-2</v>
      </c>
      <c r="AM200" s="844">
        <f t="shared" si="62"/>
        <v>7.4543065488224141</v>
      </c>
      <c r="AN200" s="846">
        <f t="shared" si="63"/>
        <v>6.8853212433727657</v>
      </c>
      <c r="AO200" s="552">
        <f t="shared" si="64"/>
        <v>0.22880457439509722</v>
      </c>
      <c r="AP200" s="552">
        <f t="shared" si="65"/>
        <v>0.11128155941929724</v>
      </c>
      <c r="AQ200" s="443">
        <f t="shared" ref="AQ200:BG200" si="105">AQ40</f>
        <v>177941.64485409899</v>
      </c>
      <c r="AR200" s="443">
        <f t="shared" si="105"/>
        <v>180542.03990832</v>
      </c>
      <c r="AS200" s="443">
        <f t="shared" si="105"/>
        <v>144711.43504053398</v>
      </c>
      <c r="AT200" s="443">
        <f t="shared" si="105"/>
        <v>102725.878554761</v>
      </c>
      <c r="AU200" s="443">
        <f t="shared" si="105"/>
        <v>73733.068367153406</v>
      </c>
      <c r="AV200" s="443"/>
      <c r="AW200" s="443">
        <f t="shared" si="105"/>
        <v>32346.246938779997</v>
      </c>
      <c r="AX200" s="443">
        <f t="shared" si="105"/>
        <v>41187.888905107997</v>
      </c>
      <c r="AY200" s="443">
        <f t="shared" si="105"/>
        <v>40318.430373802803</v>
      </c>
      <c r="AZ200" s="443">
        <f t="shared" si="105"/>
        <v>2977.4491841793101</v>
      </c>
      <c r="BA200" s="443">
        <f t="shared" si="105"/>
        <v>3264.377053231</v>
      </c>
      <c r="BB200" s="553">
        <f t="shared" si="105"/>
        <v>0.15458771715194514</v>
      </c>
      <c r="BC200" s="553">
        <f t="shared" si="105"/>
        <v>0.5826918301465116</v>
      </c>
      <c r="BD200" s="553">
        <f t="shared" si="105"/>
        <v>-9.9837366110498912E-2</v>
      </c>
      <c r="BE200" s="538">
        <f t="shared" si="105"/>
        <v>6.8855173053414239E-3</v>
      </c>
      <c r="BF200" s="538">
        <f t="shared" si="105"/>
        <v>5.7977498174708361E-2</v>
      </c>
      <c r="BG200" s="538">
        <f t="shared" si="105"/>
        <v>-5.1158537915513509E-2</v>
      </c>
    </row>
    <row r="201" spans="1:59" ht="15" customHeight="1">
      <c r="A201" s="449">
        <v>2007</v>
      </c>
      <c r="B201" s="449"/>
      <c r="C201" s="449"/>
      <c r="D201" s="646">
        <v>0.17899999999999999</v>
      </c>
      <c r="E201" s="646"/>
      <c r="F201" s="646"/>
      <c r="G201" s="646"/>
      <c r="H201" s="646"/>
      <c r="I201" s="646"/>
      <c r="J201" s="437" t="s">
        <v>328</v>
      </c>
      <c r="K201" s="543">
        <f t="shared" si="97"/>
        <v>5.8292467538767774</v>
      </c>
      <c r="L201" s="543">
        <f t="shared" si="97"/>
        <v>6.0680410378643357</v>
      </c>
      <c r="M201" s="543">
        <f t="shared" si="97"/>
        <v>5.7647432191493708</v>
      </c>
      <c r="N201" s="543">
        <f t="shared" si="97"/>
        <v>6.579969792573535</v>
      </c>
      <c r="O201" s="543">
        <f t="shared" si="97"/>
        <v>6.4319842687858317</v>
      </c>
      <c r="P201" s="550">
        <f t="shared" si="42"/>
        <v>-65.321123933768121</v>
      </c>
      <c r="Q201" s="550">
        <f t="shared" si="43"/>
        <v>-6.4919871794871824</v>
      </c>
      <c r="R201" s="550">
        <f t="shared" si="44"/>
        <v>2.8405017921146931</v>
      </c>
      <c r="S201" s="550">
        <f t="shared" si="45"/>
        <v>-8.9851205746536653</v>
      </c>
      <c r="T201" s="550">
        <f t="shared" si="46"/>
        <v>-0.38431876606683807</v>
      </c>
      <c r="U201" s="551">
        <f t="shared" si="57"/>
        <v>0.45728911406106781</v>
      </c>
      <c r="V201" s="551">
        <f t="shared" si="47"/>
        <v>0.31398964787128941</v>
      </c>
      <c r="W201" s="551">
        <f t="shared" si="48"/>
        <v>0.21066272823364215</v>
      </c>
      <c r="X201" s="551">
        <f t="shared" si="49"/>
        <v>0.18928181661529042</v>
      </c>
      <c r="Y201" s="551">
        <f t="shared" si="50"/>
        <v>5.3743100074566764E-2</v>
      </c>
      <c r="Z201" s="551">
        <f t="shared" si="51"/>
        <v>1.4981132642783097E-2</v>
      </c>
      <c r="AA201" s="551">
        <f t="shared" si="52"/>
        <v>8.4828999554783773E-3</v>
      </c>
      <c r="AB201" s="551">
        <f t="shared" si="53"/>
        <v>8.0795795143564705E-3</v>
      </c>
      <c r="AC201" s="551">
        <f t="shared" si="54"/>
        <v>1.4926573359627798E-2</v>
      </c>
      <c r="AD201" s="551">
        <f t="shared" si="55"/>
        <v>1.9467423343892808E-2</v>
      </c>
      <c r="AE201" s="51"/>
      <c r="AF201" s="61">
        <f t="shared" si="58"/>
        <v>3.043175620808836E-2</v>
      </c>
      <c r="AG201" s="61">
        <f t="shared" si="59"/>
        <v>-0.97110272590942825</v>
      </c>
      <c r="AH201" s="51"/>
      <c r="AI201" s="51"/>
      <c r="AJ201" s="51"/>
      <c r="AK201" s="61">
        <f t="shared" si="60"/>
        <v>0.96627044220859237</v>
      </c>
      <c r="AL201" s="61">
        <f t="shared" si="61"/>
        <v>-0.92953165319271225</v>
      </c>
      <c r="AM201" s="844">
        <f t="shared" si="62"/>
        <v>-0.66724104963646025</v>
      </c>
      <c r="AN201" s="846">
        <f t="shared" si="63"/>
        <v>-0.60273751490905458</v>
      </c>
      <c r="AO201" s="552">
        <f t="shared" si="64"/>
        <v>0.1569196281590754</v>
      </c>
      <c r="AP201" s="552">
        <f t="shared" si="65"/>
        <v>0.40354601398650103</v>
      </c>
      <c r="AQ201" s="443">
        <f t="shared" ref="AQ201:BG201" si="106">AQ41</f>
        <v>12320.4782746732</v>
      </c>
      <c r="AR201" s="443">
        <f t="shared" si="106"/>
        <v>34922.318026870496</v>
      </c>
      <c r="AS201" s="443">
        <f t="shared" si="106"/>
        <v>31150.715678259701</v>
      </c>
      <c r="AT201" s="443">
        <f t="shared" si="106"/>
        <v>39134.0113005042</v>
      </c>
      <c r="AU201" s="443">
        <f t="shared" si="106"/>
        <v>30204.792854368701</v>
      </c>
      <c r="AV201" s="443"/>
      <c r="AW201" s="443">
        <f t="shared" si="106"/>
        <v>77.645054087042794</v>
      </c>
      <c r="AX201" s="443">
        <f t="shared" si="106"/>
        <v>180.96885651350001</v>
      </c>
      <c r="AY201" s="443">
        <f t="shared" si="106"/>
        <v>240.000010728836</v>
      </c>
      <c r="AZ201" s="443">
        <f t="shared" si="106"/>
        <v>177.26432627439499</v>
      </c>
      <c r="BA201" s="443">
        <f t="shared" si="106"/>
        <v>327.316299587488</v>
      </c>
      <c r="BB201" s="553">
        <f t="shared" si="106"/>
        <v>-0.72962420693021013</v>
      </c>
      <c r="BC201" s="553">
        <f t="shared" si="106"/>
        <v>-36.5213764337852</v>
      </c>
      <c r="BD201" s="553">
        <f t="shared" si="106"/>
        <v>3.7738095238095228</v>
      </c>
      <c r="BE201" s="538">
        <f t="shared" si="106"/>
        <v>-0.92916472491622959</v>
      </c>
      <c r="BF201" s="538">
        <f t="shared" si="106"/>
        <v>-6.9816295643528363</v>
      </c>
      <c r="BG201" s="538">
        <f t="shared" si="106"/>
        <v>0.81534723749366655</v>
      </c>
    </row>
    <row r="202" spans="1:59" ht="15" customHeight="1">
      <c r="A202" s="449">
        <v>2005</v>
      </c>
      <c r="B202" s="449"/>
      <c r="C202" s="450"/>
      <c r="D202" s="648">
        <v>0.49</v>
      </c>
      <c r="E202" s="648"/>
      <c r="F202" s="648"/>
      <c r="G202" s="648"/>
      <c r="H202" s="648"/>
      <c r="I202" s="648"/>
      <c r="J202" s="437" t="s">
        <v>343</v>
      </c>
      <c r="K202" s="543">
        <f t="shared" si="97"/>
        <v>14.701248792229137</v>
      </c>
      <c r="L202" s="543">
        <f t="shared" si="97"/>
        <v>14.691200207581929</v>
      </c>
      <c r="M202" s="543">
        <f t="shared" si="97"/>
        <v>13.690914195319959</v>
      </c>
      <c r="N202" s="543">
        <f t="shared" si="97"/>
        <v>12.574075765936394</v>
      </c>
      <c r="O202" s="543">
        <f t="shared" si="97"/>
        <v>12.758023002321853</v>
      </c>
      <c r="P202" s="550">
        <f t="shared" si="42"/>
        <v>-0.21138874471713501</v>
      </c>
      <c r="Q202" s="550">
        <f t="shared" si="43"/>
        <v>3.5640459049112556E-4</v>
      </c>
      <c r="R202" s="550">
        <f t="shared" si="44"/>
        <v>0.32720939279272909</v>
      </c>
      <c r="S202" s="550">
        <f t="shared" si="45"/>
        <v>0.20175737373248209</v>
      </c>
      <c r="T202" s="550">
        <f t="shared" si="46"/>
        <v>-9.3835870903235641E-2</v>
      </c>
      <c r="U202" s="551">
        <f t="shared" si="57"/>
        <v>0.57670654468684035</v>
      </c>
      <c r="V202" s="551">
        <f t="shared" si="47"/>
        <v>0.46150196264504162</v>
      </c>
      <c r="W202" s="551">
        <f t="shared" si="48"/>
        <v>0.50320979169256186</v>
      </c>
      <c r="X202" s="551">
        <f t="shared" si="49"/>
        <v>0.57285525398980175</v>
      </c>
      <c r="Y202" s="551">
        <f t="shared" si="50"/>
        <v>0.88716815115481551</v>
      </c>
      <c r="Z202" s="551">
        <f t="shared" si="51"/>
        <v>0.5932002111189304</v>
      </c>
      <c r="AA202" s="551">
        <f t="shared" si="52"/>
        <v>0.60514169865849976</v>
      </c>
      <c r="AB202" s="551">
        <f t="shared" si="53"/>
        <v>0.20675006763228509</v>
      </c>
      <c r="AC202" s="551">
        <f t="shared" si="54"/>
        <v>0.46197827941053282</v>
      </c>
      <c r="AD202" s="551">
        <f t="shared" si="55"/>
        <v>0.77674430820613705</v>
      </c>
      <c r="AE202" s="51"/>
      <c r="AF202" s="61">
        <f t="shared" si="58"/>
        <v>0.14053704271946982</v>
      </c>
      <c r="AG202" s="61">
        <f t="shared" si="59"/>
        <v>-5.2509369364716035E-2</v>
      </c>
      <c r="AH202" s="51"/>
      <c r="AI202" s="51"/>
      <c r="AJ202" s="51"/>
      <c r="AK202" s="61">
        <f t="shared" si="60"/>
        <v>0.50701249913847457</v>
      </c>
      <c r="AL202" s="61">
        <f t="shared" si="61"/>
        <v>2.1148786068466277</v>
      </c>
      <c r="AM202" s="844">
        <f t="shared" si="62"/>
        <v>0.93289119299810519</v>
      </c>
      <c r="AN202" s="846">
        <f t="shared" si="63"/>
        <v>1.9432257899072831</v>
      </c>
      <c r="AO202" s="552">
        <f t="shared" si="64"/>
        <v>-0.38395835946225365</v>
      </c>
      <c r="AP202" s="552">
        <f t="shared" si="65"/>
        <v>-0.31046160646797516</v>
      </c>
      <c r="AQ202" s="443">
        <f t="shared" ref="AQ202:BG202" si="107">AQ42</f>
        <v>1730440.25</v>
      </c>
      <c r="AR202" s="443">
        <f t="shared" si="107"/>
        <v>2136162.2079999996</v>
      </c>
      <c r="AS202" s="443">
        <f t="shared" si="107"/>
        <v>2121367.2228000001</v>
      </c>
      <c r="AT202" s="443">
        <f t="shared" si="107"/>
        <v>267180.79141399998</v>
      </c>
      <c r="AU202" s="443">
        <f t="shared" si="107"/>
        <v>50452.909559999993</v>
      </c>
      <c r="AV202" s="443"/>
      <c r="AW202" s="443">
        <f t="shared" si="107"/>
        <v>1366014.0279999999</v>
      </c>
      <c r="AX202" s="443">
        <f t="shared" si="107"/>
        <v>1230808.6159999999</v>
      </c>
      <c r="AY202" s="443">
        <f t="shared" si="107"/>
        <v>1480746.8232</v>
      </c>
      <c r="AZ202" s="443">
        <f t="shared" si="107"/>
        <v>253583.74483099999</v>
      </c>
      <c r="BA202" s="443">
        <f t="shared" si="107"/>
        <v>328572.15775199997</v>
      </c>
      <c r="BB202" s="553">
        <f t="shared" si="107"/>
        <v>-9.9192107849258623E-2</v>
      </c>
      <c r="BC202" s="553">
        <f t="shared" si="107"/>
        <v>0.22991098665198337</v>
      </c>
      <c r="BD202" s="553">
        <f t="shared" si="107"/>
        <v>0.19508929512724818</v>
      </c>
      <c r="BE202" s="538">
        <f t="shared" si="107"/>
        <v>-0.11791457643946976</v>
      </c>
      <c r="BF202" s="538">
        <f t="shared" si="107"/>
        <v>0.13187738802535109</v>
      </c>
      <c r="BG202" s="538">
        <f t="shared" si="107"/>
        <v>0.21833731156729663</v>
      </c>
    </row>
    <row r="203" spans="1:59" ht="15" customHeight="1">
      <c r="A203" s="449">
        <v>2007</v>
      </c>
      <c r="B203" s="449"/>
      <c r="C203" s="450"/>
      <c r="D203" s="647"/>
      <c r="E203" s="647"/>
      <c r="F203" s="647"/>
      <c r="G203" s="647"/>
      <c r="H203" s="647"/>
      <c r="I203" s="647"/>
      <c r="J203" s="437" t="s">
        <v>335</v>
      </c>
      <c r="K203" s="543">
        <f t="shared" ref="K203:O206" si="108">LN(K43)</f>
        <v>11.696942430413046</v>
      </c>
      <c r="L203" s="543">
        <f t="shared" si="108"/>
        <v>11.658250392169123</v>
      </c>
      <c r="M203" s="543">
        <f t="shared" si="108"/>
        <v>11.890898068479409</v>
      </c>
      <c r="N203" s="543">
        <f t="shared" si="108"/>
        <v>11.594051760119978</v>
      </c>
      <c r="O203" s="543">
        <f t="shared" si="108"/>
        <v>11.512172489555381</v>
      </c>
      <c r="P203" s="550">
        <f t="shared" si="42"/>
        <v>0.12582690187431092</v>
      </c>
      <c r="Q203" s="550">
        <f t="shared" si="43"/>
        <v>-0.78985907709311953</v>
      </c>
      <c r="R203" s="550">
        <f t="shared" si="44"/>
        <v>-1.2568966366884315</v>
      </c>
      <c r="S203" s="550">
        <f t="shared" si="45"/>
        <v>1.7444114862732722</v>
      </c>
      <c r="T203" s="550">
        <f t="shared" si="46"/>
        <v>1.1090454616466177</v>
      </c>
      <c r="U203" s="551">
        <f t="shared" si="57"/>
        <v>0.77556728046158019</v>
      </c>
      <c r="V203" s="551">
        <f t="shared" si="47"/>
        <v>0.76664611912697322</v>
      </c>
      <c r="W203" s="551">
        <f t="shared" si="48"/>
        <v>0.72386596403998671</v>
      </c>
      <c r="X203" s="551">
        <f t="shared" si="49"/>
        <v>0.65004866939705042</v>
      </c>
      <c r="Y203" s="551">
        <f t="shared" si="50"/>
        <v>0.71257325265615323</v>
      </c>
      <c r="Z203" s="551">
        <f t="shared" si="51"/>
        <v>8.5265396773170077E-2</v>
      </c>
      <c r="AA203" s="551">
        <f t="shared" si="52"/>
        <v>7.5621911339107534E-2</v>
      </c>
      <c r="AB203" s="551">
        <f t="shared" si="53"/>
        <v>7.1053414800679296E-2</v>
      </c>
      <c r="AC203" s="551">
        <f t="shared" si="54"/>
        <v>5.8201252548256165E-2</v>
      </c>
      <c r="AD203" s="551">
        <f t="shared" si="55"/>
        <v>6.0993853923483735E-2</v>
      </c>
      <c r="AE203" s="51"/>
      <c r="AF203" s="61">
        <f t="shared" si="58"/>
        <v>-0.15695175497037822</v>
      </c>
      <c r="AG203" s="61">
        <f t="shared" si="59"/>
        <v>-5.6916276169124522E-2</v>
      </c>
      <c r="AH203" s="51"/>
      <c r="AI203" s="51"/>
      <c r="AJ203" s="51"/>
      <c r="AK203" s="61">
        <f t="shared" si="60"/>
        <v>-0.34580940460030046</v>
      </c>
      <c r="AL203" s="61">
        <f t="shared" si="61"/>
        <v>-0.25018000857874767</v>
      </c>
      <c r="AM203" s="844">
        <f t="shared" si="62"/>
        <v>0.37872557892402881</v>
      </c>
      <c r="AN203" s="846">
        <f t="shared" si="63"/>
        <v>0.18476994085766524</v>
      </c>
      <c r="AO203" s="552">
        <f t="shared" si="64"/>
        <v>1.1292711383833476E-2</v>
      </c>
      <c r="AP203" s="552">
        <f t="shared" si="65"/>
        <v>6.2994027805426955E-2</v>
      </c>
      <c r="AQ203" s="443">
        <f t="shared" ref="AQ203:BG203" si="109">AQ43</f>
        <v>316395.94390000001</v>
      </c>
      <c r="AR203" s="443">
        <f t="shared" si="109"/>
        <v>356846.29499999998</v>
      </c>
      <c r="AS203" s="443">
        <f t="shared" si="109"/>
        <v>567152.91559999995</v>
      </c>
      <c r="AT203" s="443">
        <f t="shared" si="109"/>
        <v>652090.72079999989</v>
      </c>
      <c r="AU203" s="443">
        <f t="shared" si="109"/>
        <v>470899.78200000001</v>
      </c>
      <c r="AV203" s="443"/>
      <c r="AW203" s="443">
        <f t="shared" si="109"/>
        <v>1057115.9732000001</v>
      </c>
      <c r="AX203" s="443">
        <f t="shared" si="109"/>
        <v>1140406.3059999999</v>
      </c>
      <c r="AY203" s="443">
        <f t="shared" si="109"/>
        <v>1398393.4865999999</v>
      </c>
      <c r="AZ203" s="443">
        <f t="shared" si="109"/>
        <v>1188886.176</v>
      </c>
      <c r="BA203" s="443">
        <f t="shared" si="109"/>
        <v>1128848.1695999999</v>
      </c>
      <c r="BB203" s="553">
        <f t="shared" si="109"/>
        <v>9.8171811041044374E-2</v>
      </c>
      <c r="BC203" s="553">
        <f t="shared" si="109"/>
        <v>0.15912607944732296</v>
      </c>
      <c r="BD203" s="553">
        <f t="shared" si="109"/>
        <v>-0.1311660945475116</v>
      </c>
      <c r="BE203" s="538">
        <f t="shared" si="109"/>
        <v>8.2868723800118088E-2</v>
      </c>
      <c r="BF203" s="538">
        <f t="shared" si="109"/>
        <v>3.425190406624827E-2</v>
      </c>
      <c r="BG203" s="538">
        <f t="shared" si="109"/>
        <v>-0.17803041185975499</v>
      </c>
    </row>
    <row r="204" spans="1:59" ht="15" customHeight="1">
      <c r="A204" s="449">
        <v>2003</v>
      </c>
      <c r="B204" s="449"/>
      <c r="C204" s="450"/>
      <c r="D204" s="648">
        <v>0.32</v>
      </c>
      <c r="E204" s="648"/>
      <c r="F204" s="648"/>
      <c r="G204" s="648"/>
      <c r="H204" s="648"/>
      <c r="I204" s="648"/>
      <c r="J204" s="437" t="s">
        <v>344</v>
      </c>
      <c r="K204" s="543">
        <f t="shared" si="108"/>
        <v>10.450943576489607</v>
      </c>
      <c r="L204" s="543">
        <f t="shared" si="108"/>
        <v>10.334937975253958</v>
      </c>
      <c r="M204" s="543">
        <f t="shared" si="108"/>
        <v>10.347148134765753</v>
      </c>
      <c r="N204" s="543">
        <f t="shared" si="108"/>
        <v>10.257251886195386</v>
      </c>
      <c r="O204" s="543">
        <f t="shared" si="108"/>
        <v>10.574633203510292</v>
      </c>
      <c r="P204" s="550">
        <f t="shared" si="42"/>
        <v>-6.0904584322825899E-3</v>
      </c>
      <c r="Q204" s="550">
        <f t="shared" si="43"/>
        <v>-9.6581641155646686E-2</v>
      </c>
      <c r="R204" s="550">
        <f t="shared" si="44"/>
        <v>2.2932694830127304E-2</v>
      </c>
      <c r="S204" s="550">
        <f t="shared" si="45"/>
        <v>-0.17746986996511258</v>
      </c>
      <c r="T204" s="550">
        <f t="shared" si="46"/>
        <v>-0.17453437073875031</v>
      </c>
      <c r="U204" s="551">
        <f t="shared" si="57"/>
        <v>0.70832084961528896</v>
      </c>
      <c r="V204" s="551">
        <f t="shared" si="47"/>
        <v>0.67886530818158886</v>
      </c>
      <c r="W204" s="551">
        <f t="shared" si="48"/>
        <v>0.53425784628800077</v>
      </c>
      <c r="X204" s="551">
        <f t="shared" si="49"/>
        <v>0.60814561044230508</v>
      </c>
      <c r="Y204" s="551">
        <f t="shared" si="50"/>
        <v>0.48019309725429815</v>
      </c>
      <c r="Z204" s="551">
        <f t="shared" si="51"/>
        <v>1.4119499461340845</v>
      </c>
      <c r="AA204" s="551">
        <f t="shared" si="52"/>
        <v>1.3499792068610541</v>
      </c>
      <c r="AB204" s="551">
        <f t="shared" si="53"/>
        <v>1.4743707850155767</v>
      </c>
      <c r="AC204" s="551">
        <f t="shared" si="54"/>
        <v>1.2873739210319814</v>
      </c>
      <c r="AD204" s="551">
        <f t="shared" si="55"/>
        <v>1.6662122572919338</v>
      </c>
      <c r="AE204" s="51"/>
      <c r="AF204" s="61">
        <f t="shared" si="58"/>
        <v>0.32462260312285784</v>
      </c>
      <c r="AG204" s="61">
        <f t="shared" si="59"/>
        <v>0.2822118853882471</v>
      </c>
      <c r="AH204" s="51"/>
      <c r="AI204" s="51"/>
      <c r="AJ204" s="51"/>
      <c r="AK204" s="61">
        <f t="shared" si="60"/>
        <v>0.10631281501368543</v>
      </c>
      <c r="AL204" s="61">
        <f t="shared" si="61"/>
        <v>0.44052525779984741</v>
      </c>
      <c r="AM204" s="844">
        <f t="shared" si="62"/>
        <v>-0.22748506874453905</v>
      </c>
      <c r="AN204" s="846">
        <f t="shared" si="63"/>
        <v>-0.12368962702068415</v>
      </c>
      <c r="AO204" s="552">
        <f t="shared" si="64"/>
        <v>5.4064749033702619E-2</v>
      </c>
      <c r="AP204" s="552">
        <f t="shared" si="65"/>
        <v>0.22812775236099081</v>
      </c>
      <c r="AQ204" s="443">
        <f t="shared" ref="AQ204:BG204" si="110">AQ44</f>
        <v>7142.8776479999997</v>
      </c>
      <c r="AR204" s="443">
        <f t="shared" si="110"/>
        <v>7324.3093449999997</v>
      </c>
      <c r="AS204" s="443">
        <f t="shared" si="110"/>
        <v>9845.8842599999989</v>
      </c>
      <c r="AT204" s="443">
        <f t="shared" si="110"/>
        <v>8671.3736939999999</v>
      </c>
      <c r="AU204" s="443">
        <f t="shared" si="110"/>
        <v>12207.214217999999</v>
      </c>
      <c r="AV204" s="443"/>
      <c r="AW204" s="443">
        <f t="shared" si="110"/>
        <v>1742.3213880000001</v>
      </c>
      <c r="AX204" s="443">
        <f t="shared" si="110"/>
        <v>6342.0853319999997</v>
      </c>
      <c r="AY204" s="443">
        <f t="shared" si="110"/>
        <v>4285.033488</v>
      </c>
      <c r="AZ204" s="443">
        <f t="shared" si="110"/>
        <v>4860.5829329999997</v>
      </c>
      <c r="BA204" s="443">
        <f t="shared" si="110"/>
        <v>642.54442799999993</v>
      </c>
      <c r="BB204" s="553">
        <f t="shared" si="110"/>
        <v>-10.628761234857366</v>
      </c>
      <c r="BC204" s="553">
        <f t="shared" si="110"/>
        <v>-1.0401696244445089</v>
      </c>
      <c r="BD204" s="553">
        <f t="shared" si="110"/>
        <v>0.16680543991118513</v>
      </c>
      <c r="BE204" s="538">
        <f t="shared" si="110"/>
        <v>-5.1189907780567676</v>
      </c>
      <c r="BF204" s="538">
        <f t="shared" si="110"/>
        <v>-0.76830608663543765</v>
      </c>
      <c r="BG204" s="538">
        <f t="shared" si="110"/>
        <v>0.12507210986530864</v>
      </c>
    </row>
    <row r="205" spans="1:59" ht="15" customHeight="1">
      <c r="A205" s="449">
        <v>2018</v>
      </c>
      <c r="B205" s="449"/>
      <c r="C205" s="450"/>
      <c r="D205" s="648">
        <v>0.31</v>
      </c>
      <c r="E205" s="648"/>
      <c r="F205" s="648"/>
      <c r="G205" s="648"/>
      <c r="H205" s="648"/>
      <c r="I205" s="648"/>
      <c r="J205" s="436" t="s">
        <v>341</v>
      </c>
      <c r="K205" s="543">
        <f t="shared" si="108"/>
        <v>14.913303545440741</v>
      </c>
      <c r="L205" s="543">
        <f t="shared" si="108"/>
        <v>14.648299917376944</v>
      </c>
      <c r="M205" s="543">
        <f t="shared" si="108"/>
        <v>14.254428054547491</v>
      </c>
      <c r="N205" s="543">
        <f t="shared" si="108"/>
        <v>13.855828967519521</v>
      </c>
      <c r="O205" s="543">
        <f t="shared" si="108"/>
        <v>13.698266480102426</v>
      </c>
      <c r="P205" s="550">
        <f t="shared" si="42"/>
        <v>8.5832195685877251E-3</v>
      </c>
      <c r="Q205" s="550">
        <f t="shared" si="43"/>
        <v>6.1424857892410072E-3</v>
      </c>
      <c r="R205" s="550">
        <f t="shared" si="44"/>
        <v>-8.9844191740062534E-4</v>
      </c>
      <c r="S205" s="550">
        <f t="shared" si="45"/>
        <v>1.69814377985761E-3</v>
      </c>
      <c r="T205" s="550">
        <f t="shared" si="46"/>
        <v>-6.1121282241753732E-3</v>
      </c>
      <c r="U205" s="551">
        <f t="shared" si="57"/>
        <v>0.80888944505374516</v>
      </c>
      <c r="V205" s="551">
        <f t="shared" si="47"/>
        <v>0.82529860042384073</v>
      </c>
      <c r="W205" s="551">
        <f t="shared" si="48"/>
        <v>0.85990332730584729</v>
      </c>
      <c r="X205" s="551">
        <f t="shared" si="49"/>
        <v>0.82932502182527756</v>
      </c>
      <c r="Y205" s="551">
        <f t="shared" si="50"/>
        <v>0.81664440583668696</v>
      </c>
      <c r="Z205" s="551">
        <f t="shared" si="51"/>
        <v>2.3414125134967394</v>
      </c>
      <c r="AA205" s="551">
        <f t="shared" si="52"/>
        <v>3.1065420184821648</v>
      </c>
      <c r="AB205" s="551">
        <f t="shared" si="53"/>
        <v>3.2589629726063651</v>
      </c>
      <c r="AC205" s="551">
        <f t="shared" si="54"/>
        <v>2.6337414274473545</v>
      </c>
      <c r="AD205" s="551">
        <f t="shared" si="55"/>
        <v>2.3653965953402207</v>
      </c>
      <c r="AE205" s="51"/>
      <c r="AF205" s="61">
        <f t="shared" si="58"/>
        <v>1.1529618349901195E-2</v>
      </c>
      <c r="AG205" s="61">
        <f t="shared" si="59"/>
        <v>3.455446499572868E-2</v>
      </c>
      <c r="AH205" s="51"/>
      <c r="AI205" s="51"/>
      <c r="AJ205" s="51"/>
      <c r="AK205" s="61">
        <f t="shared" si="60"/>
        <v>-0.15836430629124498</v>
      </c>
      <c r="AL205" s="61">
        <f t="shared" si="61"/>
        <v>0.24626963068427232</v>
      </c>
      <c r="AM205" s="844">
        <f t="shared" si="62"/>
        <v>0.55616157444506553</v>
      </c>
      <c r="AN205" s="846">
        <f t="shared" si="63"/>
        <v>1.2150370653383153</v>
      </c>
      <c r="AO205" s="552">
        <f t="shared" si="64"/>
        <v>4.3258921469160327E-2</v>
      </c>
      <c r="AP205" s="552">
        <f t="shared" si="65"/>
        <v>-7.7549607829417999E-3</v>
      </c>
      <c r="AQ205" s="443">
        <f t="shared" ref="AQ205:BG205" si="111">AQ45</f>
        <v>244665.18505113601</v>
      </c>
      <c r="AR205" s="443">
        <f t="shared" si="111"/>
        <v>129328.718861669</v>
      </c>
      <c r="AS205" s="443">
        <f t="shared" si="111"/>
        <v>66675.739553876207</v>
      </c>
      <c r="AT205" s="443">
        <f t="shared" si="111"/>
        <v>67469.390013083801</v>
      </c>
      <c r="AU205" s="443">
        <f t="shared" si="111"/>
        <v>68940.073384657502</v>
      </c>
      <c r="AV205" s="443">
        <f>261179*BT8</f>
        <v>31619.896814000003</v>
      </c>
      <c r="AW205" s="443">
        <f t="shared" si="111"/>
        <v>232588.881575957</v>
      </c>
      <c r="AX205" s="443">
        <f t="shared" si="111"/>
        <v>53876.083035156102</v>
      </c>
      <c r="AY205" s="443">
        <f t="shared" si="111"/>
        <v>52446.582541741402</v>
      </c>
      <c r="AZ205" s="443">
        <f t="shared" si="111"/>
        <v>58128.308322504199</v>
      </c>
      <c r="BA205" s="443">
        <f t="shared" si="111"/>
        <v>59933.008789643602</v>
      </c>
      <c r="BB205" s="553">
        <f t="shared" si="111"/>
        <v>-9.0700132100396347E-2</v>
      </c>
      <c r="BC205" s="553">
        <f t="shared" si="111"/>
        <v>3.0415631464855836E-2</v>
      </c>
      <c r="BD205" s="553">
        <f t="shared" si="111"/>
        <v>-2.6570043063666143E-2</v>
      </c>
      <c r="BE205" s="538">
        <f t="shared" si="111"/>
        <v>-4.8842192666801537E-2</v>
      </c>
      <c r="BF205" s="538">
        <f t="shared" si="111"/>
        <v>4.9825507915297898E-2</v>
      </c>
      <c r="BG205" s="538">
        <f t="shared" si="111"/>
        <v>-2.5758334351453999E-2</v>
      </c>
    </row>
    <row r="206" spans="1:59" ht="15" customHeight="1">
      <c r="A206" s="449">
        <v>2006</v>
      </c>
      <c r="B206" s="449"/>
      <c r="C206" s="449"/>
      <c r="D206" s="455"/>
      <c r="E206" s="455"/>
      <c r="F206" s="455"/>
      <c r="G206" s="455"/>
      <c r="H206" s="455"/>
      <c r="I206" s="455"/>
      <c r="J206" s="437" t="s">
        <v>349</v>
      </c>
      <c r="K206" s="543">
        <f t="shared" si="108"/>
        <v>13.199767668235239</v>
      </c>
      <c r="L206" s="543">
        <f t="shared" si="108"/>
        <v>13.213224728224306</v>
      </c>
      <c r="M206" s="543">
        <f t="shared" si="108"/>
        <v>13.051886025026352</v>
      </c>
      <c r="N206" s="543">
        <f t="shared" si="108"/>
        <v>12.793651240253862</v>
      </c>
      <c r="O206" s="543">
        <f t="shared" si="108"/>
        <v>12.599659162513897</v>
      </c>
      <c r="P206" s="550">
        <f t="shared" si="42"/>
        <v>8.1438014382982926E-2</v>
      </c>
      <c r="Q206" s="550">
        <f t="shared" si="43"/>
        <v>9.752585111765677E-2</v>
      </c>
      <c r="R206" s="550">
        <f t="shared" si="44"/>
        <v>5.6917692446385941E-2</v>
      </c>
      <c r="S206" s="550">
        <f t="shared" si="45"/>
        <v>5.3416961020395413E-2</v>
      </c>
      <c r="T206" s="550">
        <f t="shared" si="46"/>
        <v>6.5378204502851658E-2</v>
      </c>
      <c r="U206" s="551">
        <f t="shared" si="57"/>
        <v>0.76170049196715628</v>
      </c>
      <c r="V206" s="551">
        <f t="shared" si="47"/>
        <v>0.86217341025421612</v>
      </c>
      <c r="W206" s="551">
        <f t="shared" si="48"/>
        <v>0.78192298702418617</v>
      </c>
      <c r="X206" s="551">
        <f t="shared" si="49"/>
        <v>0.80178514517123056</v>
      </c>
      <c r="Y206" s="551">
        <f t="shared" si="50"/>
        <v>0.38999120420108957</v>
      </c>
      <c r="Z206" s="551">
        <f t="shared" si="51"/>
        <v>0.83051252514485152</v>
      </c>
      <c r="AA206" s="551">
        <f t="shared" si="52"/>
        <v>0.76200637804822513</v>
      </c>
      <c r="AB206" s="551">
        <f t="shared" si="53"/>
        <v>0.77247081689987429</v>
      </c>
      <c r="AC206" s="551">
        <f t="shared" si="54"/>
        <v>0.77267013387248296</v>
      </c>
      <c r="AD206" s="551">
        <f t="shared" si="55"/>
        <v>0.84399563884192919</v>
      </c>
      <c r="AE206" s="51"/>
      <c r="AF206" s="61">
        <f t="shared" si="58"/>
        <v>-1.1211663095607019E-2</v>
      </c>
      <c r="AG206" s="61">
        <f t="shared" si="59"/>
        <v>1.2456371492271308E-2</v>
      </c>
      <c r="AH206" s="51"/>
      <c r="AI206" s="51"/>
      <c r="AJ206" s="51"/>
      <c r="AK206" s="61">
        <f t="shared" si="60"/>
        <v>-0.10942778613401535</v>
      </c>
      <c r="AL206" s="61">
        <f t="shared" si="61"/>
        <v>0.24304147975294549</v>
      </c>
      <c r="AM206" s="844">
        <f t="shared" si="62"/>
        <v>0.45222686251245625</v>
      </c>
      <c r="AN206" s="846">
        <f t="shared" si="63"/>
        <v>0.60010850572134367</v>
      </c>
      <c r="AO206" s="552">
        <f t="shared" si="64"/>
        <v>0.3919317828230966</v>
      </c>
      <c r="AP206" s="552">
        <f t="shared" si="65"/>
        <v>0.37170928776606671</v>
      </c>
      <c r="AQ206" s="443">
        <f t="shared" ref="AQ206:BG206" si="112">AQ46</f>
        <v>155011.09078</v>
      </c>
      <c r="AR206" s="443">
        <f t="shared" si="112"/>
        <v>99038.534033999997</v>
      </c>
      <c r="AS206" s="443">
        <f t="shared" si="112"/>
        <v>131549.70781599998</v>
      </c>
      <c r="AT206" s="443">
        <f t="shared" si="112"/>
        <v>92332.418219999992</v>
      </c>
      <c r="AU206" s="443">
        <f t="shared" si="112"/>
        <v>214268.35118099998</v>
      </c>
      <c r="AV206" s="443"/>
      <c r="AW206" s="443">
        <f t="shared" si="112"/>
        <v>2029640</v>
      </c>
      <c r="AX206" s="443">
        <f t="shared" si="112"/>
        <v>2061191</v>
      </c>
      <c r="AY206" s="443">
        <f t="shared" si="112"/>
        <v>1741283</v>
      </c>
      <c r="AZ206" s="443">
        <f t="shared" si="112"/>
        <v>1600934</v>
      </c>
      <c r="BA206" s="443">
        <f t="shared" si="112"/>
        <v>308857</v>
      </c>
      <c r="BB206" s="553">
        <f t="shared" si="112"/>
        <v>6.2753505146394606E-2</v>
      </c>
      <c r="BC206" s="553">
        <f t="shared" si="112"/>
        <v>1.2009305300530815E-2</v>
      </c>
      <c r="BD206" s="553">
        <f t="shared" si="112"/>
        <v>1.5231406318214786E-2</v>
      </c>
      <c r="BE206" s="538">
        <f t="shared" si="112"/>
        <v>0.23575452302707831</v>
      </c>
      <c r="BF206" s="538">
        <f t="shared" si="112"/>
        <v>0.10143663876673255</v>
      </c>
      <c r="BG206" s="538">
        <f t="shared" si="112"/>
        <v>6.3578759435542281E-2</v>
      </c>
    </row>
    <row r="207" spans="1:59" ht="15" customHeight="1">
      <c r="A207" s="464"/>
      <c r="B207" s="464"/>
      <c r="C207" s="464"/>
      <c r="D207" s="464"/>
      <c r="E207" s="464"/>
      <c r="F207" s="464"/>
      <c r="G207" s="464"/>
      <c r="H207" s="464"/>
      <c r="I207" s="464"/>
      <c r="J207" s="464" t="s">
        <v>491</v>
      </c>
      <c r="K207" s="937" t="s">
        <v>108</v>
      </c>
      <c r="L207" s="938"/>
      <c r="M207" s="938"/>
      <c r="N207" s="938"/>
      <c r="O207" s="939"/>
      <c r="P207" s="930" t="s">
        <v>110</v>
      </c>
      <c r="Q207" s="930"/>
      <c r="R207" s="930"/>
      <c r="S207" s="930"/>
      <c r="T207" s="930"/>
      <c r="U207" s="933" t="s">
        <v>109</v>
      </c>
      <c r="V207" s="933"/>
      <c r="W207" s="933"/>
      <c r="X207" s="933"/>
      <c r="Y207" s="933"/>
      <c r="Z207" s="931" t="s">
        <v>111</v>
      </c>
      <c r="AA207" s="931"/>
      <c r="AB207" s="931"/>
      <c r="AC207" s="931"/>
      <c r="AD207" s="931"/>
      <c r="AE207" s="940" t="s">
        <v>113</v>
      </c>
      <c r="AF207" s="940"/>
      <c r="AG207" s="940"/>
      <c r="AH207" s="838"/>
      <c r="AI207" s="838"/>
      <c r="AJ207" s="949" t="s">
        <v>114</v>
      </c>
      <c r="AK207" s="949"/>
      <c r="AL207" s="949"/>
      <c r="AM207" s="953" t="s">
        <v>115</v>
      </c>
      <c r="AN207" s="954"/>
      <c r="AO207" s="951" t="s">
        <v>1103</v>
      </c>
      <c r="AP207" s="952"/>
      <c r="AQ207" s="943" t="s">
        <v>105</v>
      </c>
      <c r="AR207" s="944"/>
      <c r="AS207" s="944"/>
      <c r="AT207" s="944"/>
      <c r="AU207" s="945"/>
      <c r="AV207" s="837"/>
      <c r="AW207" s="926" t="s">
        <v>563</v>
      </c>
      <c r="AX207" s="927"/>
      <c r="AY207" s="927"/>
      <c r="AZ207" s="927"/>
      <c r="BA207" s="928"/>
      <c r="BB207" s="917" t="s">
        <v>565</v>
      </c>
      <c r="BC207" s="918"/>
      <c r="BD207" s="918"/>
      <c r="BE207" s="919" t="s">
        <v>564</v>
      </c>
      <c r="BF207" s="919"/>
      <c r="BG207" s="919"/>
    </row>
    <row r="208" spans="1:59" ht="1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 t="s">
        <v>117</v>
      </c>
      <c r="L208" s="52" t="s">
        <v>118</v>
      </c>
      <c r="M208" s="52" t="s">
        <v>119</v>
      </c>
      <c r="N208" s="52" t="s">
        <v>120</v>
      </c>
      <c r="O208" s="52" t="s">
        <v>121</v>
      </c>
      <c r="P208" s="69" t="s">
        <v>122</v>
      </c>
      <c r="Q208" s="69" t="s">
        <v>123</v>
      </c>
      <c r="R208" s="69" t="s">
        <v>124</v>
      </c>
      <c r="S208" s="69" t="s">
        <v>125</v>
      </c>
      <c r="T208" s="69" t="s">
        <v>126</v>
      </c>
      <c r="U208" s="70" t="s">
        <v>127</v>
      </c>
      <c r="V208" s="70" t="s">
        <v>128</v>
      </c>
      <c r="W208" s="70" t="s">
        <v>129</v>
      </c>
      <c r="X208" s="70" t="s">
        <v>130</v>
      </c>
      <c r="Y208" s="70" t="s">
        <v>131</v>
      </c>
      <c r="Z208" s="69" t="s">
        <v>132</v>
      </c>
      <c r="AA208" s="69" t="s">
        <v>133</v>
      </c>
      <c r="AB208" s="69" t="s">
        <v>134</v>
      </c>
      <c r="AC208" s="69" t="s">
        <v>135</v>
      </c>
      <c r="AD208" s="69" t="s">
        <v>136</v>
      </c>
      <c r="AE208" s="697"/>
      <c r="AF208" s="838" t="s">
        <v>1100</v>
      </c>
      <c r="AG208" s="838" t="s">
        <v>1101</v>
      </c>
      <c r="AH208" s="838"/>
      <c r="AI208" s="838"/>
      <c r="AJ208" s="839"/>
      <c r="AK208" s="839" t="s">
        <v>1098</v>
      </c>
      <c r="AL208" s="839" t="s">
        <v>1099</v>
      </c>
      <c r="AM208" s="64" t="s">
        <v>1104</v>
      </c>
      <c r="AN208" s="64" t="s">
        <v>1105</v>
      </c>
      <c r="AO208" s="847" t="s">
        <v>1106</v>
      </c>
      <c r="AP208" s="847" t="s">
        <v>1107</v>
      </c>
      <c r="AQ208" s="58" t="s">
        <v>107</v>
      </c>
      <c r="AR208" s="58" t="s">
        <v>106</v>
      </c>
      <c r="AS208" s="58" t="s">
        <v>104</v>
      </c>
      <c r="AT208" s="58" t="s">
        <v>103</v>
      </c>
      <c r="AU208" s="58" t="s">
        <v>102</v>
      </c>
      <c r="AV208" s="58"/>
      <c r="AW208" s="516" t="s">
        <v>89</v>
      </c>
      <c r="AX208" s="516" t="s">
        <v>88</v>
      </c>
      <c r="AY208" s="516" t="s">
        <v>87</v>
      </c>
      <c r="AZ208" s="516" t="s">
        <v>86</v>
      </c>
      <c r="BA208" s="516" t="s">
        <v>85</v>
      </c>
      <c r="BB208" s="557" t="s">
        <v>566</v>
      </c>
      <c r="BC208" s="557" t="s">
        <v>567</v>
      </c>
      <c r="BD208" s="557" t="s">
        <v>568</v>
      </c>
      <c r="BE208" s="519" t="s">
        <v>99</v>
      </c>
      <c r="BF208" s="519" t="s">
        <v>100</v>
      </c>
      <c r="BG208" s="519" t="s">
        <v>101</v>
      </c>
    </row>
    <row r="209" spans="1:59" s="800" customFormat="1" ht="15" customHeight="1">
      <c r="A209" s="449">
        <v>2012</v>
      </c>
      <c r="B209" s="793"/>
      <c r="C209" s="793"/>
      <c r="D209" s="793"/>
      <c r="E209" s="793"/>
      <c r="F209" s="793"/>
      <c r="G209" s="793"/>
      <c r="H209" s="793"/>
      <c r="I209" s="51" t="s">
        <v>206</v>
      </c>
      <c r="J209" s="818" t="s">
        <v>1080</v>
      </c>
      <c r="K209" s="543">
        <f t="shared" ref="K209:O218" si="113">LN(K51)</f>
        <v>9.2904558897374621</v>
      </c>
      <c r="L209" s="543">
        <f t="shared" si="113"/>
        <v>9.5396750405831554</v>
      </c>
      <c r="M209" s="543">
        <f t="shared" si="113"/>
        <v>9.0629978020361115</v>
      </c>
      <c r="N209" s="543">
        <f t="shared" si="113"/>
        <v>8.3918299810900887</v>
      </c>
      <c r="O209" s="543">
        <f t="shared" si="113"/>
        <v>8.414862903975969</v>
      </c>
      <c r="P209" s="149">
        <f>P51/K51</f>
        <v>8.3520346737298325</v>
      </c>
      <c r="Q209" s="149">
        <f t="shared" ref="Q209:Q240" si="114">Q51/L51</f>
        <v>8.4300193547648234</v>
      </c>
      <c r="R209" s="149">
        <f t="shared" ref="R209:R240" si="115">R51/M51</f>
        <v>17.136707112557961</v>
      </c>
      <c r="S209" s="149">
        <f t="shared" ref="S209:S240" si="116">S51/N51</f>
        <v>18.939390396008729</v>
      </c>
      <c r="T209" s="149">
        <f t="shared" ref="T209:T240" si="117">T51/O51</f>
        <v>22.043287302655006</v>
      </c>
      <c r="U209" s="51">
        <f t="shared" ref="U209:U240" si="118">U51/Z51</f>
        <v>6.630384100084534E-2</v>
      </c>
      <c r="V209" s="51">
        <f t="shared" ref="V209:V240" si="119">V51/AA51</f>
        <v>7.5048920356665091E-2</v>
      </c>
      <c r="W209" s="51">
        <f t="shared" ref="W209:W240" si="120">W51/AB51</f>
        <v>8.1474551367411441E-2</v>
      </c>
      <c r="X209" s="51">
        <f t="shared" ref="X209:X240" si="121">X51/AC51</f>
        <v>0.17698843989236943</v>
      </c>
      <c r="Y209" s="51">
        <f t="shared" ref="Y209:Y240" si="122">Y51/AD51</f>
        <v>0.18001260796956392</v>
      </c>
      <c r="Z209" s="51">
        <f t="shared" ref="Z209:Z240" si="123">K51/Z51</f>
        <v>1.4972610387657266E-2</v>
      </c>
      <c r="AA209" s="51">
        <f t="shared" ref="AA209:AA240" si="124">L51/AA51</f>
        <v>1.6380323201709072E-2</v>
      </c>
      <c r="AB209" s="51">
        <f t="shared" ref="AB209:AB240" si="125">M51/AB51</f>
        <v>1.041720831970851E-2</v>
      </c>
      <c r="AC209" s="51">
        <f t="shared" ref="AC209:AC240" si="126">N51/AC51</f>
        <v>5.5222991671565269E-3</v>
      </c>
      <c r="AD209" s="62">
        <f t="shared" ref="AD209:AD240" si="127">O51/AD51</f>
        <v>5.590196750682932E-3</v>
      </c>
      <c r="AE209" s="801"/>
      <c r="AF209" s="701">
        <f>AG51-AE51</f>
        <v>5.3464886791385807E-2</v>
      </c>
      <c r="AG209" s="61">
        <f>AE51-AI51</f>
        <v>1.8254480602886147E-3</v>
      </c>
      <c r="AH209" s="840"/>
      <c r="AI209" s="840"/>
      <c r="AJ209" s="803"/>
      <c r="AK209" s="701">
        <f>AL51-AN51</f>
        <v>4.6536437583487744E-2</v>
      </c>
      <c r="AL209" s="61">
        <f>AJ51-AN51</f>
        <v>-3.8097457113951405E-2</v>
      </c>
      <c r="AM209" s="845">
        <f>LN(M51/O51)</f>
        <v>0.64813489806014335</v>
      </c>
      <c r="AN209" s="845">
        <f>LN(K51/O51)</f>
        <v>0.87559298576149347</v>
      </c>
      <c r="AO209" s="536">
        <f>W209-Y209</f>
        <v>-9.853805660215248E-2</v>
      </c>
      <c r="AP209" s="552">
        <f>U209-Y209</f>
        <v>-0.11370876696871858</v>
      </c>
      <c r="AQ209" s="827">
        <f t="shared" ref="AQ209:BG209" si="128">AQ51</f>
        <v>675618.87770199997</v>
      </c>
      <c r="AR209" s="827">
        <f t="shared" si="128"/>
        <v>784918.42966500006</v>
      </c>
      <c r="AS209" s="827">
        <f t="shared" si="128"/>
        <v>760939.22809800005</v>
      </c>
      <c r="AT209" s="827">
        <f t="shared" si="128"/>
        <v>657372.21680399997</v>
      </c>
      <c r="AU209" s="827">
        <f t="shared" si="128"/>
        <v>662077.33930800005</v>
      </c>
      <c r="AV209" s="827"/>
      <c r="AW209" s="827">
        <f t="shared" si="128"/>
        <v>11423.20183</v>
      </c>
      <c r="AX209" s="827">
        <f t="shared" si="128"/>
        <v>17049.466110000001</v>
      </c>
      <c r="AY209" s="827">
        <f t="shared" si="128"/>
        <v>19360.890303</v>
      </c>
      <c r="AZ209" s="827">
        <f t="shared" si="128"/>
        <v>90651.227100000004</v>
      </c>
      <c r="BA209" s="827">
        <f t="shared" si="128"/>
        <v>22033.38852</v>
      </c>
      <c r="BB209" s="829">
        <f t="shared" si="128"/>
        <v>4.5156845262219338</v>
      </c>
      <c r="BC209" s="829">
        <f t="shared" si="128"/>
        <v>0.92154757953629496</v>
      </c>
      <c r="BD209" s="829">
        <f t="shared" si="128"/>
        <v>7.6385686269336643</v>
      </c>
      <c r="BE209" s="829">
        <f t="shared" si="128"/>
        <v>0.91448390928770695</v>
      </c>
      <c r="BF209" s="829">
        <f t="shared" si="128"/>
        <v>0.2878770484832619</v>
      </c>
      <c r="BG209" s="829">
        <f t="shared" si="128"/>
        <v>0.81390079129588289</v>
      </c>
    </row>
    <row r="210" spans="1:59" s="800" customFormat="1" ht="15" customHeight="1">
      <c r="A210" s="449">
        <v>2012</v>
      </c>
      <c r="B210" s="793"/>
      <c r="C210" s="793"/>
      <c r="D210" s="793"/>
      <c r="E210" s="793"/>
      <c r="F210" s="793"/>
      <c r="G210" s="793"/>
      <c r="H210" s="793"/>
      <c r="I210" s="51" t="s">
        <v>206</v>
      </c>
      <c r="J210" s="818" t="s">
        <v>657</v>
      </c>
      <c r="K210" s="543">
        <f t="shared" si="113"/>
        <v>12.845406814928216</v>
      </c>
      <c r="L210" s="543">
        <f t="shared" si="113"/>
        <v>12.875465117137466</v>
      </c>
      <c r="M210" s="543">
        <f t="shared" si="113"/>
        <v>13.035840896715969</v>
      </c>
      <c r="N210" s="543">
        <f t="shared" si="113"/>
        <v>12.91765808959458</v>
      </c>
      <c r="O210" s="543">
        <f t="shared" si="113"/>
        <v>13.358690196018586</v>
      </c>
      <c r="P210" s="149">
        <f t="shared" ref="P210:P240" si="129">P52/K52</f>
        <v>-1.3162832327677607E-2</v>
      </c>
      <c r="Q210" s="149">
        <f t="shared" si="114"/>
        <v>-8.8924373323421603E-3</v>
      </c>
      <c r="R210" s="149">
        <f t="shared" si="115"/>
        <v>-8.4422169141386325E-2</v>
      </c>
      <c r="S210" s="149">
        <f t="shared" si="116"/>
        <v>0.19005859304124298</v>
      </c>
      <c r="T210" s="149">
        <f t="shared" si="117"/>
        <v>6.4569274489637363E-3</v>
      </c>
      <c r="U210" s="51">
        <f t="shared" si="118"/>
        <v>0.71754580973808324</v>
      </c>
      <c r="V210" s="51">
        <f t="shared" si="119"/>
        <v>0.74689246465962555</v>
      </c>
      <c r="W210" s="51">
        <f t="shared" si="120"/>
        <v>0.74527403707409701</v>
      </c>
      <c r="X210" s="51">
        <f t="shared" si="121"/>
        <v>0.63571518223920309</v>
      </c>
      <c r="Y210" s="51">
        <f t="shared" si="122"/>
        <v>0.76185243110116008</v>
      </c>
      <c r="Z210" s="51">
        <f t="shared" si="123"/>
        <v>1.0085076762442478</v>
      </c>
      <c r="AA210" s="51">
        <f t="shared" si="124"/>
        <v>1.0174917695669501</v>
      </c>
      <c r="AB210" s="51">
        <f t="shared" si="125"/>
        <v>1.2106156270761919</v>
      </c>
      <c r="AC210" s="51">
        <f t="shared" si="126"/>
        <v>1.0083226079575551</v>
      </c>
      <c r="AD210" s="62">
        <f t="shared" si="127"/>
        <v>1.0048531625044312</v>
      </c>
      <c r="AE210" s="801"/>
      <c r="AF210" s="701">
        <f t="shared" ref="AF210:AF240" si="130">AG52-AE52</f>
        <v>-8.8927979790652922E-2</v>
      </c>
      <c r="AG210" s="61">
        <f t="shared" ref="AG210:AG273" si="131">AE52-AI52</f>
        <v>-1.9763081410731687E-2</v>
      </c>
      <c r="AH210" s="840"/>
      <c r="AI210" s="840"/>
      <c r="AJ210" s="803"/>
      <c r="AK210" s="701">
        <f t="shared" ref="AK210:AK273" si="132">AL52-AN52</f>
        <v>-0.34661542171392729</v>
      </c>
      <c r="AL210" s="61">
        <f t="shared" ref="AL210:AL273" si="133">AJ52-AN52</f>
        <v>-7.7967962123078438E-2</v>
      </c>
      <c r="AM210" s="845">
        <f t="shared" ref="AM210:AM273" si="134">LN(M52/O52)</f>
        <v>-0.32284929930261635</v>
      </c>
      <c r="AN210" s="845">
        <f t="shared" ref="AN210:AN273" si="135">LN(K52/O52)</f>
        <v>-0.51328338109037019</v>
      </c>
      <c r="AO210" s="536">
        <f t="shared" ref="AO210:AO273" si="136">W210-Y210</f>
        <v>-1.657839402706307E-2</v>
      </c>
      <c r="AP210" s="552">
        <f t="shared" ref="AP210:AP273" si="137">U210-Y210</f>
        <v>-4.4306621363076837E-2</v>
      </c>
      <c r="AQ210" s="827">
        <f t="shared" ref="AQ210:BG210" si="138">AQ52</f>
        <v>106159.31591600001</v>
      </c>
      <c r="AR210" s="827">
        <f t="shared" si="138"/>
        <v>97166.737785000005</v>
      </c>
      <c r="AS210" s="827">
        <f t="shared" si="138"/>
        <v>96485.200890000007</v>
      </c>
      <c r="AT210" s="827">
        <f t="shared" si="138"/>
        <v>147200.46917999999</v>
      </c>
      <c r="AU210" s="827">
        <f t="shared" si="138"/>
        <v>150089.04226799999</v>
      </c>
      <c r="AV210" s="827"/>
      <c r="AW210" s="827">
        <f t="shared" si="138"/>
        <v>6407.7013059999999</v>
      </c>
      <c r="AX210" s="827">
        <f t="shared" si="138"/>
        <v>19020.459405000001</v>
      </c>
      <c r="AY210" s="827">
        <f t="shared" si="138"/>
        <v>49342.354998000003</v>
      </c>
      <c r="AZ210" s="827">
        <f t="shared" si="138"/>
        <v>19605.869112</v>
      </c>
      <c r="BA210" s="827">
        <f t="shared" si="138"/>
        <v>109737.955008</v>
      </c>
      <c r="BB210" s="829">
        <f t="shared" si="138"/>
        <v>3.7262713850480432E-2</v>
      </c>
      <c r="BC210" s="829">
        <f t="shared" si="138"/>
        <v>3.9497448219014712</v>
      </c>
      <c r="BD210" s="829">
        <f t="shared" si="138"/>
        <v>-0.78456765840562603</v>
      </c>
      <c r="BE210" s="829">
        <f t="shared" si="138"/>
        <v>1.6701185388852374E-2</v>
      </c>
      <c r="BF210" s="829">
        <f t="shared" si="138"/>
        <v>2.4978446181224028</v>
      </c>
      <c r="BG210" s="829">
        <f t="shared" si="138"/>
        <v>-0.66565050607134424</v>
      </c>
    </row>
    <row r="211" spans="1:59" ht="15" customHeight="1">
      <c r="A211" s="449">
        <v>2016</v>
      </c>
      <c r="B211" s="449"/>
      <c r="C211" s="50"/>
      <c r="D211" s="51"/>
      <c r="E211" s="51"/>
      <c r="F211" s="51"/>
      <c r="G211" s="51"/>
      <c r="H211" s="51"/>
      <c r="I211" s="50" t="s">
        <v>207</v>
      </c>
      <c r="J211" s="437" t="s">
        <v>526</v>
      </c>
      <c r="K211" s="543">
        <f t="shared" si="113"/>
        <v>10.163483454222181</v>
      </c>
      <c r="L211" s="543">
        <f t="shared" si="113"/>
        <v>10.112624317132726</v>
      </c>
      <c r="M211" s="543">
        <f t="shared" si="113"/>
        <v>10.021324173156811</v>
      </c>
      <c r="N211" s="543">
        <f t="shared" si="113"/>
        <v>10.757879688274317</v>
      </c>
      <c r="O211" s="543">
        <f t="shared" si="113"/>
        <v>10.250974319885531</v>
      </c>
      <c r="P211" s="149">
        <f t="shared" si="129"/>
        <v>0.28963437353427229</v>
      </c>
      <c r="Q211" s="149">
        <f t="shared" si="114"/>
        <v>-0.33760404562297702</v>
      </c>
      <c r="R211" s="149">
        <f t="shared" si="115"/>
        <v>2.9334065070833266E-2</v>
      </c>
      <c r="S211" s="149">
        <f t="shared" si="116"/>
        <v>3.2722602609600963E-2</v>
      </c>
      <c r="T211" s="149">
        <f t="shared" si="117"/>
        <v>8.3908167026486222E-2</v>
      </c>
      <c r="U211" s="51">
        <f t="shared" si="118"/>
        <v>0.18003935243036959</v>
      </c>
      <c r="V211" s="51">
        <f t="shared" si="119"/>
        <v>0.30238250456943339</v>
      </c>
      <c r="W211" s="51">
        <f t="shared" si="120"/>
        <v>0.48152095586172972</v>
      </c>
      <c r="X211" s="51">
        <f t="shared" si="121"/>
        <v>0.33238407681822568</v>
      </c>
      <c r="Y211" s="51">
        <f t="shared" si="122"/>
        <v>0.28989065974796147</v>
      </c>
      <c r="Z211" s="51">
        <f t="shared" si="123"/>
        <v>0.45249146107798682</v>
      </c>
      <c r="AA211" s="51">
        <f t="shared" si="124"/>
        <v>0.40097627894141125</v>
      </c>
      <c r="AB211" s="51">
        <f t="shared" si="125"/>
        <v>0.80198404308109206</v>
      </c>
      <c r="AC211" s="51">
        <f t="shared" si="126"/>
        <v>1.4123398576830746</v>
      </c>
      <c r="AD211" s="62">
        <f t="shared" si="127"/>
        <v>0.87986471460340987</v>
      </c>
      <c r="AE211" s="699"/>
      <c r="AF211" s="701">
        <f t="shared" si="130"/>
        <v>-0.10753162875341955</v>
      </c>
      <c r="AG211" s="61">
        <f t="shared" si="131"/>
        <v>5.7229245425275702E-2</v>
      </c>
      <c r="AH211" s="209"/>
      <c r="AI211" s="209"/>
      <c r="AJ211" s="700"/>
      <c r="AK211" s="701">
        <f t="shared" si="132"/>
        <v>-6.8058884554749954E-2</v>
      </c>
      <c r="AL211" s="61">
        <f t="shared" si="133"/>
        <v>6.3179593234216652E-2</v>
      </c>
      <c r="AM211" s="845">
        <f t="shared" si="134"/>
        <v>-0.2296501467287192</v>
      </c>
      <c r="AN211" s="845">
        <f t="shared" si="135"/>
        <v>-8.7490865663350584E-2</v>
      </c>
      <c r="AO211" s="536">
        <f t="shared" si="136"/>
        <v>0.19163029611376825</v>
      </c>
      <c r="AP211" s="552">
        <f t="shared" si="137"/>
        <v>-0.10985130731759188</v>
      </c>
      <c r="AQ211" s="827">
        <f t="shared" ref="AQ211:BG211" si="139">AQ53</f>
        <v>47003.424894999996</v>
      </c>
      <c r="AR211" s="827">
        <f t="shared" si="139"/>
        <v>42889.957992000003</v>
      </c>
      <c r="AS211" s="827">
        <f t="shared" si="139"/>
        <v>14546.927362</v>
      </c>
      <c r="AT211" s="827">
        <f t="shared" si="139"/>
        <v>22216.599383000001</v>
      </c>
      <c r="AU211" s="827">
        <f t="shared" si="139"/>
        <v>22848.142824000002</v>
      </c>
      <c r="AV211" s="827"/>
      <c r="AW211" s="827">
        <f t="shared" si="139"/>
        <v>1993.2922309999999</v>
      </c>
      <c r="AX211" s="827">
        <f t="shared" si="139"/>
        <v>2074.9596419999998</v>
      </c>
      <c r="AY211" s="827">
        <f t="shared" si="139"/>
        <v>1784.0285760000002</v>
      </c>
      <c r="AZ211" s="827">
        <f t="shared" si="139"/>
        <v>1463.16137</v>
      </c>
      <c r="BA211" s="827">
        <f t="shared" si="139"/>
        <v>1289.9627840000001</v>
      </c>
      <c r="BB211" s="829">
        <f t="shared" si="139"/>
        <v>1.8414869029275809</v>
      </c>
      <c r="BC211" s="829">
        <f t="shared" si="139"/>
        <v>1.0510984540276649</v>
      </c>
      <c r="BD211" s="829">
        <f t="shared" si="139"/>
        <v>0.36997828447339842</v>
      </c>
      <c r="BE211" s="829">
        <f t="shared" si="139"/>
        <v>0.65252210790950294</v>
      </c>
      <c r="BF211" s="829">
        <f t="shared" si="139"/>
        <v>0.15588933285796863</v>
      </c>
      <c r="BG211" s="829">
        <f t="shared" si="139"/>
        <v>0.19676982783491248</v>
      </c>
    </row>
    <row r="212" spans="1:59" ht="15" customHeight="1">
      <c r="A212" s="449">
        <v>2016</v>
      </c>
      <c r="B212" s="449"/>
      <c r="C212" s="50"/>
      <c r="D212" s="51"/>
      <c r="E212" s="51"/>
      <c r="F212" s="51"/>
      <c r="G212" s="51"/>
      <c r="H212" s="51"/>
      <c r="I212" s="50" t="s">
        <v>207</v>
      </c>
      <c r="J212" s="437" t="s">
        <v>527</v>
      </c>
      <c r="K212" s="543">
        <f t="shared" si="113"/>
        <v>10.373903557868156</v>
      </c>
      <c r="L212" s="543">
        <f t="shared" si="113"/>
        <v>10.013055983188636</v>
      </c>
      <c r="M212" s="543">
        <f t="shared" si="113"/>
        <v>9.8130261105105472</v>
      </c>
      <c r="N212" s="543">
        <f t="shared" si="113"/>
        <v>9.7467884333356523</v>
      </c>
      <c r="O212" s="543">
        <f t="shared" si="113"/>
        <v>9.7252787692029425</v>
      </c>
      <c r="P212" s="149">
        <f t="shared" si="129"/>
        <v>0.11305743795195272</v>
      </c>
      <c r="Q212" s="149">
        <f t="shared" si="114"/>
        <v>-0.2022367913613575</v>
      </c>
      <c r="R212" s="149">
        <f t="shared" si="115"/>
        <v>-0.22991697092988581</v>
      </c>
      <c r="S212" s="149">
        <f t="shared" si="116"/>
        <v>0.24583817805844305</v>
      </c>
      <c r="T212" s="149">
        <f t="shared" si="117"/>
        <v>-0.26854814165992419</v>
      </c>
      <c r="U212" s="51">
        <f t="shared" si="118"/>
        <v>0.18947589294040845</v>
      </c>
      <c r="V212" s="51">
        <f t="shared" si="119"/>
        <v>0.23726189034412359</v>
      </c>
      <c r="W212" s="51">
        <f t="shared" si="120"/>
        <v>0.17111049452867549</v>
      </c>
      <c r="X212" s="51">
        <f t="shared" si="121"/>
        <v>0.11861774141073497</v>
      </c>
      <c r="Y212" s="51">
        <f t="shared" si="122"/>
        <v>0.15318191713228357</v>
      </c>
      <c r="Z212" s="51">
        <f t="shared" si="123"/>
        <v>1.0940501725263452</v>
      </c>
      <c r="AA212" s="51">
        <f t="shared" si="124"/>
        <v>0.78509143756812405</v>
      </c>
      <c r="AB212" s="51">
        <f t="shared" si="125"/>
        <v>0.57359016947992958</v>
      </c>
      <c r="AC212" s="51">
        <f t="shared" si="126"/>
        <v>0.50245407572476575</v>
      </c>
      <c r="AD212" s="62">
        <f t="shared" si="127"/>
        <v>0.5430866974659152</v>
      </c>
      <c r="AE212" s="699"/>
      <c r="AF212" s="701">
        <f t="shared" si="130"/>
        <v>-0.25556862381870571</v>
      </c>
      <c r="AG212" s="61">
        <f t="shared" si="131"/>
        <v>0.2695354328614174</v>
      </c>
      <c r="AH212" s="209"/>
      <c r="AI212" s="209"/>
      <c r="AJ212" s="700"/>
      <c r="AK212" s="701">
        <f t="shared" si="132"/>
        <v>-9.2010735740027383E-3</v>
      </c>
      <c r="AL212" s="61">
        <f t="shared" si="133"/>
        <v>0.29921706542516702</v>
      </c>
      <c r="AM212" s="845">
        <f t="shared" si="134"/>
        <v>8.7747341307604185E-2</v>
      </c>
      <c r="AN212" s="845">
        <f t="shared" si="135"/>
        <v>0.64862478866521311</v>
      </c>
      <c r="AO212" s="536">
        <f t="shared" si="136"/>
        <v>1.792857739639192E-2</v>
      </c>
      <c r="AP212" s="552">
        <f t="shared" si="137"/>
        <v>3.6293975808124879E-2</v>
      </c>
      <c r="AQ212" s="827">
        <f t="shared" ref="AQ212:BG212" si="140">AQ54</f>
        <v>23716.891589999999</v>
      </c>
      <c r="AR212" s="827">
        <f t="shared" si="140"/>
        <v>21680.543532</v>
      </c>
      <c r="AS212" s="827">
        <f t="shared" si="140"/>
        <v>26402.073280000001</v>
      </c>
      <c r="AT212" s="827">
        <f t="shared" si="140"/>
        <v>29994.569979</v>
      </c>
      <c r="AU212" s="827">
        <f t="shared" si="140"/>
        <v>26094.913560000001</v>
      </c>
      <c r="AV212" s="827"/>
      <c r="AW212" s="827">
        <f t="shared" si="140"/>
        <v>1141.1032359999999</v>
      </c>
      <c r="AX212" s="827">
        <f t="shared" si="140"/>
        <v>295.19334600000002</v>
      </c>
      <c r="AY212" s="827">
        <f t="shared" si="140"/>
        <v>575.30563200000006</v>
      </c>
      <c r="AZ212" s="827">
        <f t="shared" si="140"/>
        <v>447.40117400000003</v>
      </c>
      <c r="BA212" s="827">
        <f t="shared" si="140"/>
        <v>491.93495999999999</v>
      </c>
      <c r="BB212" s="829">
        <f t="shared" si="140"/>
        <v>-9.1358585858585872</v>
      </c>
      <c r="BC212" s="829">
        <f t="shared" si="140"/>
        <v>9.3956891963810527</v>
      </c>
      <c r="BD212" s="829">
        <f t="shared" si="140"/>
        <v>-7.3015572390572387</v>
      </c>
      <c r="BE212" s="829">
        <f t="shared" si="140"/>
        <v>-1.2644224539422424</v>
      </c>
      <c r="BF212" s="829">
        <f t="shared" si="140"/>
        <v>0.94904386139329366</v>
      </c>
      <c r="BG212" s="829">
        <f t="shared" si="140"/>
        <v>-1.3728504770681567</v>
      </c>
    </row>
    <row r="213" spans="1:59" ht="15" customHeight="1">
      <c r="A213" s="449">
        <v>2012</v>
      </c>
      <c r="B213" s="449"/>
      <c r="C213" s="50"/>
      <c r="D213" s="51"/>
      <c r="E213" s="51"/>
      <c r="F213" s="51"/>
      <c r="G213" s="51"/>
      <c r="H213" s="51"/>
      <c r="I213" s="411" t="s">
        <v>210</v>
      </c>
      <c r="J213" s="437" t="s">
        <v>359</v>
      </c>
      <c r="K213" s="543">
        <f t="shared" si="113"/>
        <v>10.33693347573556</v>
      </c>
      <c r="L213" s="543">
        <f t="shared" si="113"/>
        <v>10.477606523594902</v>
      </c>
      <c r="M213" s="543">
        <f t="shared" si="113"/>
        <v>10.176947193683917</v>
      </c>
      <c r="N213" s="543">
        <f t="shared" si="113"/>
        <v>9.632132008429199</v>
      </c>
      <c r="O213" s="543">
        <f t="shared" si="113"/>
        <v>9.4520085738514759</v>
      </c>
      <c r="P213" s="149">
        <f t="shared" si="129"/>
        <v>-4.4018876737481276E-2</v>
      </c>
      <c r="Q213" s="149">
        <f t="shared" si="114"/>
        <v>5.8547169472985819E-3</v>
      </c>
      <c r="R213" s="149">
        <f t="shared" si="115"/>
        <v>-1.082890332742666E-2</v>
      </c>
      <c r="S213" s="149">
        <f t="shared" si="116"/>
        <v>-3.670335122457264E-2</v>
      </c>
      <c r="T213" s="149">
        <f t="shared" si="117"/>
        <v>-0.10040814036662506</v>
      </c>
      <c r="U213" s="51">
        <f t="shared" si="118"/>
        <v>0.57075615491812792</v>
      </c>
      <c r="V213" s="51">
        <f t="shared" si="119"/>
        <v>0.47827881539572792</v>
      </c>
      <c r="W213" s="51">
        <f t="shared" si="120"/>
        <v>0.40238490463769011</v>
      </c>
      <c r="X213" s="51">
        <f t="shared" si="121"/>
        <v>0.27389701759239182</v>
      </c>
      <c r="Y213" s="51">
        <f t="shared" si="122"/>
        <v>0.32957748504371837</v>
      </c>
      <c r="Z213" s="51">
        <f t="shared" si="123"/>
        <v>0.90127453257461376</v>
      </c>
      <c r="AA213" s="51">
        <f t="shared" si="124"/>
        <v>1.0462753632705133</v>
      </c>
      <c r="AB213" s="51">
        <f t="shared" si="125"/>
        <v>0.86029337037162334</v>
      </c>
      <c r="AC213" s="51">
        <f t="shared" si="126"/>
        <v>0.66305298651972699</v>
      </c>
      <c r="AD213" s="62">
        <f t="shared" si="127"/>
        <v>0.51267688679245282</v>
      </c>
      <c r="AE213" s="699"/>
      <c r="AF213" s="701">
        <f t="shared" si="130"/>
        <v>3.0357058815052608E-2</v>
      </c>
      <c r="AG213" s="61">
        <f t="shared" si="131"/>
        <v>1.1803840255747974E-2</v>
      </c>
      <c r="AH213" s="209"/>
      <c r="AI213" s="209"/>
      <c r="AJ213" s="700"/>
      <c r="AK213" s="701">
        <f t="shared" si="132"/>
        <v>6.0615118502324067E-2</v>
      </c>
      <c r="AL213" s="61">
        <f t="shared" si="133"/>
        <v>-6.9246893103433876E-3</v>
      </c>
      <c r="AM213" s="845">
        <f t="shared" si="134"/>
        <v>0.72493861983244112</v>
      </c>
      <c r="AN213" s="845">
        <f t="shared" si="135"/>
        <v>0.88492490188408435</v>
      </c>
      <c r="AO213" s="536">
        <f t="shared" si="136"/>
        <v>7.2807419593971745E-2</v>
      </c>
      <c r="AP213" s="552">
        <f t="shared" si="137"/>
        <v>0.24117866987440956</v>
      </c>
      <c r="AQ213" s="827">
        <f t="shared" ref="AQ213:BG213" si="141">AQ55</f>
        <v>14693.451280000001</v>
      </c>
      <c r="AR213" s="827">
        <f t="shared" si="141"/>
        <v>17707.578239999999</v>
      </c>
      <c r="AS213" s="827">
        <f t="shared" si="141"/>
        <v>18262.784380130113</v>
      </c>
      <c r="AT213" s="827">
        <f t="shared" si="141"/>
        <v>16696.571184</v>
      </c>
      <c r="AU213" s="827">
        <f t="shared" si="141"/>
        <v>16651.755251999999</v>
      </c>
      <c r="AV213" s="827"/>
      <c r="AW213" s="827">
        <f t="shared" si="141"/>
        <v>7535.4249340000006</v>
      </c>
      <c r="AX213" s="827">
        <f t="shared" si="141"/>
        <v>997.03828499999997</v>
      </c>
      <c r="AY213" s="827">
        <f t="shared" si="141"/>
        <v>1366.562942</v>
      </c>
      <c r="AZ213" s="827">
        <f t="shared" si="141"/>
        <v>1464.6205559999999</v>
      </c>
      <c r="BA213" s="827">
        <f t="shared" si="141"/>
        <v>1917.4066560000001</v>
      </c>
      <c r="BB213" s="829">
        <f t="shared" si="141"/>
        <v>-0.66682190760059612</v>
      </c>
      <c r="BC213" s="829">
        <f t="shared" si="141"/>
        <v>-0.38208709942481517</v>
      </c>
      <c r="BD213" s="829">
        <f t="shared" si="141"/>
        <v>-0.20832761694978341</v>
      </c>
      <c r="BE213" s="829">
        <f t="shared" si="141"/>
        <v>-0.27596891603555807</v>
      </c>
      <c r="BF213" s="829">
        <f t="shared" si="141"/>
        <v>-9.6259573685401417E-2</v>
      </c>
      <c r="BG213" s="829">
        <f t="shared" si="141"/>
        <v>-9.3561289410511422E-2</v>
      </c>
    </row>
    <row r="214" spans="1:59" ht="15" customHeight="1">
      <c r="A214" s="449">
        <v>2012</v>
      </c>
      <c r="B214" s="449"/>
      <c r="C214" s="50"/>
      <c r="D214" s="51"/>
      <c r="E214" s="51"/>
      <c r="F214" s="51"/>
      <c r="G214" s="51"/>
      <c r="H214" s="51"/>
      <c r="I214" s="411" t="s">
        <v>210</v>
      </c>
      <c r="J214" s="437" t="s">
        <v>527</v>
      </c>
      <c r="K214" s="543">
        <f t="shared" si="113"/>
        <v>9.7252787692029425</v>
      </c>
      <c r="L214" s="543">
        <f t="shared" si="113"/>
        <v>9.9295701079765255</v>
      </c>
      <c r="M214" s="543">
        <f t="shared" si="113"/>
        <v>9.5824513832865144</v>
      </c>
      <c r="N214" s="543">
        <f t="shared" si="113"/>
        <v>10.060185231434252</v>
      </c>
      <c r="O214" s="543">
        <f t="shared" si="113"/>
        <v>9.9570558836340251</v>
      </c>
      <c r="P214" s="149">
        <f t="shared" si="129"/>
        <v>-0.26854814165992419</v>
      </c>
      <c r="Q214" s="149">
        <f t="shared" si="114"/>
        <v>-0.19154414045536322</v>
      </c>
      <c r="R214" s="149">
        <f t="shared" si="115"/>
        <v>-0.85633809428802798</v>
      </c>
      <c r="S214" s="149">
        <f t="shared" si="116"/>
        <v>-0.43549774005071101</v>
      </c>
      <c r="T214" s="149">
        <f t="shared" si="117"/>
        <v>-0.16722388211296096</v>
      </c>
      <c r="U214" s="51">
        <f t="shared" si="118"/>
        <v>0.15318191713228357</v>
      </c>
      <c r="V214" s="51">
        <f t="shared" si="119"/>
        <v>0.11279884987378919</v>
      </c>
      <c r="W214" s="51">
        <f t="shared" si="120"/>
        <v>0.1080549902892028</v>
      </c>
      <c r="X214" s="51">
        <f t="shared" si="121"/>
        <v>0.12174059651991553</v>
      </c>
      <c r="Y214" s="51">
        <f t="shared" si="122"/>
        <v>0.13717072251037446</v>
      </c>
      <c r="Z214" s="51">
        <f t="shared" si="123"/>
        <v>0.5430866974659152</v>
      </c>
      <c r="AA214" s="51">
        <f t="shared" si="124"/>
        <v>0.47657800494495145</v>
      </c>
      <c r="AB214" s="51">
        <f t="shared" si="125"/>
        <v>0.28239860005435397</v>
      </c>
      <c r="AC214" s="51">
        <f t="shared" si="126"/>
        <v>0.31425384199659101</v>
      </c>
      <c r="AD214" s="62">
        <f t="shared" si="127"/>
        <v>0.23203249126541933</v>
      </c>
      <c r="AE214" s="699"/>
      <c r="AF214" s="701">
        <f t="shared" si="130"/>
        <v>-9.5983755635455498E-2</v>
      </c>
      <c r="AG214" s="61">
        <f t="shared" si="131"/>
        <v>-0.10704354939895186</v>
      </c>
      <c r="AH214" s="209"/>
      <c r="AI214" s="209"/>
      <c r="AJ214" s="700"/>
      <c r="AK214" s="701">
        <f t="shared" si="132"/>
        <v>-0.17776481201019317</v>
      </c>
      <c r="AL214" s="61">
        <f t="shared" si="133"/>
        <v>-9.4083055088403172E-2</v>
      </c>
      <c r="AM214" s="845">
        <f t="shared" si="134"/>
        <v>-0.37460450034751058</v>
      </c>
      <c r="AN214" s="845">
        <f t="shared" si="135"/>
        <v>-0.23177711443108248</v>
      </c>
      <c r="AO214" s="536">
        <f t="shared" si="136"/>
        <v>-2.9115732221171656E-2</v>
      </c>
      <c r="AP214" s="552">
        <f t="shared" si="137"/>
        <v>1.6011194621909114E-2</v>
      </c>
      <c r="AQ214" s="827">
        <f t="shared" ref="AQ214:BG214" si="142">AQ56</f>
        <v>26094.913560000001</v>
      </c>
      <c r="AR214" s="827">
        <f t="shared" si="142"/>
        <v>38216.033309999999</v>
      </c>
      <c r="AS214" s="827">
        <f t="shared" si="142"/>
        <v>45822.765841</v>
      </c>
      <c r="AT214" s="827">
        <f t="shared" si="142"/>
        <v>65377.195631999995</v>
      </c>
      <c r="AU214" s="827">
        <f t="shared" si="142"/>
        <v>78463.830851999999</v>
      </c>
      <c r="AV214" s="827"/>
      <c r="AW214" s="827">
        <f t="shared" si="142"/>
        <v>491.93495999999999</v>
      </c>
      <c r="AX214" s="827">
        <f t="shared" si="142"/>
        <v>486.34072500000002</v>
      </c>
      <c r="AY214" s="827">
        <f t="shared" si="142"/>
        <v>390.93303200000003</v>
      </c>
      <c r="AZ214" s="827">
        <f t="shared" si="142"/>
        <v>278.688804</v>
      </c>
      <c r="BA214" s="827">
        <f t="shared" si="142"/>
        <v>213.60081600000001</v>
      </c>
      <c r="BB214" s="829">
        <f t="shared" si="142"/>
        <v>-16.51923076923077</v>
      </c>
      <c r="BC214" s="829">
        <f t="shared" si="142"/>
        <v>-36.555212831585436</v>
      </c>
      <c r="BD214" s="829">
        <f t="shared" si="142"/>
        <v>-31.779616724738673</v>
      </c>
      <c r="BE214" s="829">
        <f t="shared" si="142"/>
        <v>-2.3865535990592028</v>
      </c>
      <c r="BF214" s="829">
        <f t="shared" si="142"/>
        <v>-4.5324294477566269</v>
      </c>
      <c r="BG214" s="829">
        <f t="shared" si="142"/>
        <v>-3.6332494638297712</v>
      </c>
    </row>
    <row r="215" spans="1:59" ht="15" customHeight="1">
      <c r="A215" s="449">
        <v>2007</v>
      </c>
      <c r="B215" s="449"/>
      <c r="C215" s="50"/>
      <c r="D215" s="51"/>
      <c r="E215" s="51"/>
      <c r="F215" s="51"/>
      <c r="G215" s="51"/>
      <c r="H215" s="51"/>
      <c r="I215" s="50" t="s">
        <v>211</v>
      </c>
      <c r="J215" s="437" t="s">
        <v>528</v>
      </c>
      <c r="K215" s="543">
        <f t="shared" si="113"/>
        <v>13.715522072352218</v>
      </c>
      <c r="L215" s="543">
        <f t="shared" si="113"/>
        <v>13.446428804762856</v>
      </c>
      <c r="M215" s="543">
        <f t="shared" si="113"/>
        <v>13.567332824455562</v>
      </c>
      <c r="N215" s="543">
        <f t="shared" si="113"/>
        <v>13.289716872376985</v>
      </c>
      <c r="O215" s="543">
        <f t="shared" si="113"/>
        <v>13.060535084967977</v>
      </c>
      <c r="P215" s="149">
        <f t="shared" si="129"/>
        <v>-2.5566980865225387E-2</v>
      </c>
      <c r="Q215" s="149">
        <f t="shared" si="114"/>
        <v>0.16675155455764781</v>
      </c>
      <c r="R215" s="149">
        <f t="shared" si="115"/>
        <v>1.5012712795888769E-2</v>
      </c>
      <c r="S215" s="149">
        <f t="shared" si="116"/>
        <v>5.0353739208269153E-2</v>
      </c>
      <c r="T215" s="149">
        <f t="shared" si="117"/>
        <v>0.14928203666837384</v>
      </c>
      <c r="U215" s="51">
        <f t="shared" si="118"/>
        <v>0.75129957475653919</v>
      </c>
      <c r="V215" s="51">
        <f t="shared" si="119"/>
        <v>0.68743752778614886</v>
      </c>
      <c r="W215" s="51">
        <f t="shared" si="120"/>
        <v>0.72271264142229086</v>
      </c>
      <c r="X215" s="51">
        <f t="shared" si="121"/>
        <v>0.72793816840086611</v>
      </c>
      <c r="Y215" s="51">
        <f t="shared" si="122"/>
        <v>0.69073073049366862</v>
      </c>
      <c r="Z215" s="51">
        <f t="shared" si="123"/>
        <v>0.20190534679914832</v>
      </c>
      <c r="AA215" s="51">
        <f t="shared" si="124"/>
        <v>0.19863844714761769</v>
      </c>
      <c r="AB215" s="51">
        <f t="shared" si="125"/>
        <v>0.21883782911674571</v>
      </c>
      <c r="AC215" s="51">
        <f t="shared" si="126"/>
        <v>0.20633356252110371</v>
      </c>
      <c r="AD215" s="62">
        <f t="shared" si="127"/>
        <v>0.28295696464623821</v>
      </c>
      <c r="AE215" s="699"/>
      <c r="AF215" s="701">
        <f t="shared" si="130"/>
        <v>8.4474596156060098E-3</v>
      </c>
      <c r="AG215" s="61">
        <f t="shared" si="131"/>
        <v>-4.7402502110092018E-2</v>
      </c>
      <c r="AH215" s="209"/>
      <c r="AI215" s="209"/>
      <c r="AJ215" s="700"/>
      <c r="AK215" s="701">
        <f t="shared" si="132"/>
        <v>-0.15500882993792145</v>
      </c>
      <c r="AL215" s="61">
        <f t="shared" si="133"/>
        <v>-0.18926691941058646</v>
      </c>
      <c r="AM215" s="845">
        <f t="shared" si="134"/>
        <v>0.506797739487585</v>
      </c>
      <c r="AN215" s="845">
        <f t="shared" si="135"/>
        <v>0.65498698738424188</v>
      </c>
      <c r="AO215" s="536">
        <f t="shared" si="136"/>
        <v>3.1981910928622237E-2</v>
      </c>
      <c r="AP215" s="552">
        <f t="shared" si="137"/>
        <v>6.0568844262870569E-2</v>
      </c>
      <c r="AQ215" s="827">
        <f t="shared" ref="AQ215:BG215" si="143">AQ57</f>
        <v>1114562.0725090001</v>
      </c>
      <c r="AR215" s="827">
        <f t="shared" si="143"/>
        <v>1087886.0725199999</v>
      </c>
      <c r="AS215" s="827">
        <f t="shared" si="143"/>
        <v>988610.67273400002</v>
      </c>
      <c r="AT215" s="827">
        <f t="shared" si="143"/>
        <v>779378.3709199999</v>
      </c>
      <c r="AU215" s="827">
        <f t="shared" si="143"/>
        <v>513729.72898800002</v>
      </c>
      <c r="AV215" s="827"/>
      <c r="AW215" s="827">
        <f t="shared" si="143"/>
        <v>2804854.267029</v>
      </c>
      <c r="AX215" s="827">
        <f t="shared" si="143"/>
        <v>1912990.5973099999</v>
      </c>
      <c r="AY215" s="827">
        <f t="shared" si="143"/>
        <v>2036992.8192420001</v>
      </c>
      <c r="AZ215" s="827">
        <f t="shared" si="143"/>
        <v>1807506.5340399998</v>
      </c>
      <c r="BA215" s="827">
        <f t="shared" si="143"/>
        <v>917533.04372399999</v>
      </c>
      <c r="BB215" s="829">
        <f t="shared" si="143"/>
        <v>7.6472300632593193E-2</v>
      </c>
      <c r="BC215" s="829">
        <f t="shared" si="143"/>
        <v>1.6466547606594346E-2</v>
      </c>
      <c r="BD215" s="829">
        <f t="shared" si="143"/>
        <v>5.7502596844493034E-3</v>
      </c>
      <c r="BE215" s="829">
        <f t="shared" si="143"/>
        <v>4.6324720143463144E-2</v>
      </c>
      <c r="BF215" s="829">
        <f t="shared" si="143"/>
        <v>4.2196301336515217E-2</v>
      </c>
      <c r="BG215" s="829">
        <f t="shared" si="143"/>
        <v>7.8299396445370081E-3</v>
      </c>
    </row>
    <row r="216" spans="1:59" ht="15" customHeight="1">
      <c r="A216" s="449">
        <v>2007</v>
      </c>
      <c r="B216" s="449"/>
      <c r="C216" s="50"/>
      <c r="D216" s="51"/>
      <c r="E216" s="51"/>
      <c r="F216" s="51"/>
      <c r="G216" s="51"/>
      <c r="H216" s="51"/>
      <c r="I216" s="50" t="s">
        <v>211</v>
      </c>
      <c r="J216" s="437" t="s">
        <v>529</v>
      </c>
      <c r="K216" s="543">
        <f t="shared" si="113"/>
        <v>12.979676229162989</v>
      </c>
      <c r="L216" s="543">
        <f t="shared" si="113"/>
        <v>12.909465959501278</v>
      </c>
      <c r="M216" s="543">
        <f t="shared" si="113"/>
        <v>12.910310073066221</v>
      </c>
      <c r="N216" s="543">
        <f t="shared" si="113"/>
        <v>12.852222251703148</v>
      </c>
      <c r="O216" s="543">
        <f t="shared" si="113"/>
        <v>12.591189784423882</v>
      </c>
      <c r="P216" s="149">
        <f t="shared" si="129"/>
        <v>1.8502666930595605E-2</v>
      </c>
      <c r="Q216" s="149">
        <f t="shared" si="114"/>
        <v>0.40620894502730504</v>
      </c>
      <c r="R216" s="149">
        <f t="shared" si="115"/>
        <v>2.0252222650431462E-2</v>
      </c>
      <c r="S216" s="149">
        <f t="shared" si="116"/>
        <v>0.30503540286451142</v>
      </c>
      <c r="T216" s="149">
        <f t="shared" si="117"/>
        <v>0.45987282253464878</v>
      </c>
      <c r="U216" s="51">
        <f t="shared" si="118"/>
        <v>0.67947356370809853</v>
      </c>
      <c r="V216" s="51">
        <f t="shared" si="119"/>
        <v>0.62252446613741141</v>
      </c>
      <c r="W216" s="51">
        <f t="shared" si="120"/>
        <v>0.63796203344306868</v>
      </c>
      <c r="X216" s="51">
        <f t="shared" si="121"/>
        <v>0.63959480627157184</v>
      </c>
      <c r="Y216" s="51">
        <f t="shared" si="122"/>
        <v>0.6173262420240857</v>
      </c>
      <c r="Z216" s="51">
        <f t="shared" si="123"/>
        <v>0.16810986018350801</v>
      </c>
      <c r="AA216" s="51">
        <f t="shared" si="124"/>
        <v>0.20620172948440418</v>
      </c>
      <c r="AB216" s="51">
        <f t="shared" si="125"/>
        <v>0.22026832117980405</v>
      </c>
      <c r="AC216" s="51">
        <f t="shared" si="126"/>
        <v>0.21622870957299559</v>
      </c>
      <c r="AD216" s="62">
        <f t="shared" si="127"/>
        <v>0.22704383557679789</v>
      </c>
      <c r="AE216" s="699"/>
      <c r="AF216" s="701">
        <f t="shared" si="130"/>
        <v>1.3504423326456956E-3</v>
      </c>
      <c r="AG216" s="61">
        <f t="shared" si="131"/>
        <v>-0.10130080875507032</v>
      </c>
      <c r="AH216" s="209"/>
      <c r="AI216" s="209"/>
      <c r="AJ216" s="700"/>
      <c r="AK216" s="701">
        <f t="shared" si="132"/>
        <v>-0.28312469087074871</v>
      </c>
      <c r="AL216" s="61">
        <f t="shared" si="133"/>
        <v>-0.28547615883935806</v>
      </c>
      <c r="AM216" s="845">
        <f t="shared" si="134"/>
        <v>0.31912028864233954</v>
      </c>
      <c r="AN216" s="845">
        <f t="shared" si="135"/>
        <v>0.38848644473910793</v>
      </c>
      <c r="AO216" s="536">
        <f t="shared" si="136"/>
        <v>2.0635791418982974E-2</v>
      </c>
      <c r="AP216" s="552">
        <f t="shared" si="137"/>
        <v>6.2147321684012824E-2</v>
      </c>
      <c r="AQ216" s="827">
        <f t="shared" ref="AQ216:BG216" si="144">AQ58</f>
        <v>826556.11682300002</v>
      </c>
      <c r="AR216" s="827">
        <f t="shared" si="144"/>
        <v>739786.22639999993</v>
      </c>
      <c r="AS216" s="827">
        <f t="shared" si="144"/>
        <v>664781.02846399997</v>
      </c>
      <c r="AT216" s="827">
        <f t="shared" si="144"/>
        <v>636101.67329599999</v>
      </c>
      <c r="AU216" s="827">
        <f t="shared" si="144"/>
        <v>495453.85321199999</v>
      </c>
      <c r="AV216" s="827"/>
      <c r="AW216" s="827">
        <f t="shared" si="144"/>
        <v>1440132.4882499999</v>
      </c>
      <c r="AX216" s="827">
        <f t="shared" si="144"/>
        <v>1032088.6368</v>
      </c>
      <c r="AY216" s="827">
        <f t="shared" si="144"/>
        <v>919388.38829799998</v>
      </c>
      <c r="AZ216" s="827">
        <f t="shared" si="144"/>
        <v>766511.09074399993</v>
      </c>
      <c r="BA216" s="827">
        <f t="shared" si="144"/>
        <v>658578.439488</v>
      </c>
      <c r="BB216" s="829">
        <f t="shared" si="144"/>
        <v>0.20526479969355751</v>
      </c>
      <c r="BC216" s="829">
        <f t="shared" si="144"/>
        <v>0.15187315259196887</v>
      </c>
      <c r="BD216" s="829">
        <f t="shared" si="144"/>
        <v>8.9094337608112036E-3</v>
      </c>
      <c r="BE216" s="829">
        <f t="shared" si="144"/>
        <v>0.13063464358210955</v>
      </c>
      <c r="BF216" s="829">
        <f t="shared" si="144"/>
        <v>0.18138103760590391</v>
      </c>
      <c r="BG216" s="829">
        <f t="shared" si="144"/>
        <v>1.024314839582063E-2</v>
      </c>
    </row>
    <row r="217" spans="1:59" ht="15" customHeight="1">
      <c r="A217" s="449">
        <v>2004</v>
      </c>
      <c r="B217" s="449"/>
      <c r="C217" s="50"/>
      <c r="D217" s="51"/>
      <c r="E217" s="51"/>
      <c r="F217" s="51"/>
      <c r="G217" s="51"/>
      <c r="H217" s="51"/>
      <c r="I217" s="50" t="s">
        <v>212</v>
      </c>
      <c r="J217" s="437" t="s">
        <v>531</v>
      </c>
      <c r="K217" s="543">
        <f t="shared" si="113"/>
        <v>9.8801032214621625</v>
      </c>
      <c r="L217" s="543">
        <f t="shared" si="113"/>
        <v>9.7496729775193192</v>
      </c>
      <c r="M217" s="543">
        <f t="shared" si="113"/>
        <v>9.6600505899184679</v>
      </c>
      <c r="N217" s="543">
        <f t="shared" si="113"/>
        <v>9.5186151573184219</v>
      </c>
      <c r="O217" s="543">
        <f t="shared" si="113"/>
        <v>10.208654971667928</v>
      </c>
      <c r="P217" s="149">
        <f t="shared" si="129"/>
        <v>0.30559375027368829</v>
      </c>
      <c r="Q217" s="149">
        <f t="shared" si="114"/>
        <v>0.34643289546749684</v>
      </c>
      <c r="R217" s="149">
        <f t="shared" si="115"/>
        <v>0.34221591923359185</v>
      </c>
      <c r="S217" s="149">
        <f t="shared" si="116"/>
        <v>0.34663317131778709</v>
      </c>
      <c r="T217" s="149">
        <f t="shared" si="117"/>
        <v>0.12561648111538862</v>
      </c>
      <c r="U217" s="51">
        <f t="shared" si="118"/>
        <v>0.93813327431152627</v>
      </c>
      <c r="V217" s="51">
        <f t="shared" si="119"/>
        <v>0.93529513710725143</v>
      </c>
      <c r="W217" s="51">
        <f t="shared" si="120"/>
        <v>0.92863616837775331</v>
      </c>
      <c r="X217" s="51">
        <f t="shared" si="121"/>
        <v>0.92481801159680876</v>
      </c>
      <c r="Y217" s="51">
        <f t="shared" si="122"/>
        <v>0.91621062693788524</v>
      </c>
      <c r="Z217" s="51">
        <f t="shared" si="123"/>
        <v>2.1380612197702833E-2</v>
      </c>
      <c r="AA217" s="51">
        <f t="shared" si="124"/>
        <v>2.3388307953825922E-2</v>
      </c>
      <c r="AB217" s="51">
        <f t="shared" si="125"/>
        <v>2.5736871538466842E-2</v>
      </c>
      <c r="AC217" s="51">
        <f t="shared" si="126"/>
        <v>2.6916438357372566E-2</v>
      </c>
      <c r="AD217" s="62">
        <f t="shared" si="127"/>
        <v>6.8869941076108054E-2</v>
      </c>
      <c r="AE217" s="699"/>
      <c r="AF217" s="701">
        <f t="shared" si="130"/>
        <v>2.2737856870899235E-3</v>
      </c>
      <c r="AG217" s="61">
        <f t="shared" si="131"/>
        <v>-2.1174181879614808E-3</v>
      </c>
      <c r="AH217" s="209"/>
      <c r="AI217" s="209"/>
      <c r="AJ217" s="700"/>
      <c r="AK217" s="701">
        <f t="shared" si="132"/>
        <v>6.673130283094908E-3</v>
      </c>
      <c r="AL217" s="61">
        <f t="shared" si="133"/>
        <v>-1.0163944926175839E-2</v>
      </c>
      <c r="AM217" s="845">
        <f t="shared" si="134"/>
        <v>-0.54860438174946036</v>
      </c>
      <c r="AN217" s="845">
        <f t="shared" si="135"/>
        <v>-0.32855175020576594</v>
      </c>
      <c r="AO217" s="536">
        <f t="shared" si="136"/>
        <v>1.2425541439868071E-2</v>
      </c>
      <c r="AP217" s="552">
        <f t="shared" si="137"/>
        <v>2.1922647373641024E-2</v>
      </c>
      <c r="AQ217" s="827">
        <f t="shared" ref="AQ217:BG217" si="145">AQ59</f>
        <v>56534.207015999993</v>
      </c>
      <c r="AR217" s="827">
        <f t="shared" si="145"/>
        <v>47442.470064000001</v>
      </c>
      <c r="AS217" s="827">
        <f t="shared" si="145"/>
        <v>43473.946954999999</v>
      </c>
      <c r="AT217" s="827">
        <f t="shared" si="145"/>
        <v>38017.035936</v>
      </c>
      <c r="AU217" s="827">
        <f t="shared" si="145"/>
        <v>33015.794396999998</v>
      </c>
      <c r="AV217" s="827"/>
      <c r="AW217" s="827">
        <f t="shared" si="145"/>
        <v>26621.091623999997</v>
      </c>
      <c r="AX217" s="827">
        <f t="shared" si="145"/>
        <v>29038.897944</v>
      </c>
      <c r="AY217" s="827">
        <f t="shared" si="145"/>
        <v>15893.308134999999</v>
      </c>
      <c r="AZ217" s="827">
        <f t="shared" si="145"/>
        <v>15168.429845999999</v>
      </c>
      <c r="BA217" s="827">
        <f t="shared" si="145"/>
        <v>355876.299237</v>
      </c>
      <c r="BB217" s="829">
        <f t="shared" si="145"/>
        <v>9.578777370981454E-3</v>
      </c>
      <c r="BC217" s="829">
        <f t="shared" si="145"/>
        <v>0.31103662540550603</v>
      </c>
      <c r="BD217" s="829">
        <f t="shared" si="145"/>
        <v>0.33759232989287286</v>
      </c>
      <c r="BE217" s="829">
        <f t="shared" si="145"/>
        <v>1.839898473206952E-2</v>
      </c>
      <c r="BF217" s="829">
        <f t="shared" si="145"/>
        <v>0.29747766325164876</v>
      </c>
      <c r="BG217" s="829">
        <f t="shared" si="145"/>
        <v>0.3228977992546056</v>
      </c>
    </row>
    <row r="218" spans="1:59" ht="15" customHeight="1">
      <c r="A218" s="449">
        <v>2004</v>
      </c>
      <c r="B218" s="449"/>
      <c r="C218" s="50"/>
      <c r="D218" s="51"/>
      <c r="E218" s="51"/>
      <c r="F218" s="51"/>
      <c r="G218" s="51"/>
      <c r="H218" s="51"/>
      <c r="I218" s="50" t="s">
        <v>212</v>
      </c>
      <c r="J218" s="437" t="s">
        <v>533</v>
      </c>
      <c r="K218" s="543">
        <f t="shared" si="113"/>
        <v>12.090255381478126</v>
      </c>
      <c r="L218" s="543">
        <f t="shared" si="113"/>
        <v>11.892163551885014</v>
      </c>
      <c r="M218" s="543">
        <f t="shared" si="113"/>
        <v>11.872035025822596</v>
      </c>
      <c r="N218" s="543">
        <f t="shared" si="113"/>
        <v>11.755113191322524</v>
      </c>
      <c r="O218" s="543">
        <f t="shared" si="113"/>
        <v>11.638369136219552</v>
      </c>
      <c r="P218" s="149">
        <f t="shared" si="129"/>
        <v>0.33525456292026901</v>
      </c>
      <c r="Q218" s="149">
        <f t="shared" si="114"/>
        <v>0.33012820512820512</v>
      </c>
      <c r="R218" s="149">
        <f t="shared" si="115"/>
        <v>0.34853420195439744</v>
      </c>
      <c r="S218" s="149">
        <f t="shared" si="116"/>
        <v>0.31505250875145857</v>
      </c>
      <c r="T218" s="149">
        <f t="shared" si="117"/>
        <v>0.26650062266500624</v>
      </c>
      <c r="U218" s="51">
        <f t="shared" si="118"/>
        <v>0.89897129627193562</v>
      </c>
      <c r="V218" s="51">
        <f t="shared" si="119"/>
        <v>0.89683747674615244</v>
      </c>
      <c r="W218" s="51">
        <f t="shared" si="120"/>
        <v>0.89228179057176815</v>
      </c>
      <c r="X218" s="51">
        <f t="shared" si="121"/>
        <v>0.88976171772715373</v>
      </c>
      <c r="Y218" s="51">
        <f t="shared" si="122"/>
        <v>0.88561310692038575</v>
      </c>
      <c r="Z218" s="51">
        <f t="shared" si="123"/>
        <v>2.738825015127996E-2</v>
      </c>
      <c r="AA218" s="51">
        <f t="shared" si="124"/>
        <v>2.6382546930492135E-2</v>
      </c>
      <c r="AB218" s="51">
        <f t="shared" si="125"/>
        <v>3.040406708041727E-2</v>
      </c>
      <c r="AC218" s="51">
        <f t="shared" si="126"/>
        <v>3.2057756331126321E-2</v>
      </c>
      <c r="AD218" s="62">
        <f t="shared" si="127"/>
        <v>3.4260602440481271E-2</v>
      </c>
      <c r="AE218" s="699"/>
      <c r="AF218" s="701">
        <f t="shared" si="130"/>
        <v>1.4148214224228468E-3</v>
      </c>
      <c r="AG218" s="61">
        <f t="shared" si="131"/>
        <v>5.1563950351862439E-5</v>
      </c>
      <c r="AH218" s="209"/>
      <c r="AI218" s="209"/>
      <c r="AJ218" s="700"/>
      <c r="AK218" s="701">
        <f t="shared" si="132"/>
        <v>1.7816114444386771E-2</v>
      </c>
      <c r="AL218" s="61">
        <f t="shared" si="133"/>
        <v>9.461603824950704E-3</v>
      </c>
      <c r="AM218" s="845">
        <f t="shared" si="134"/>
        <v>0.23366588960304499</v>
      </c>
      <c r="AN218" s="845">
        <f t="shared" si="135"/>
        <v>0.45188624525857468</v>
      </c>
      <c r="AO218" s="536">
        <f t="shared" si="136"/>
        <v>6.668683651382401E-3</v>
      </c>
      <c r="AP218" s="552">
        <f t="shared" si="137"/>
        <v>1.3358189351549865E-2</v>
      </c>
      <c r="AQ218" s="827">
        <f t="shared" ref="AQ218:BG218" si="146">AQ60</f>
        <v>657070.07999999996</v>
      </c>
      <c r="AR218" s="827">
        <f t="shared" si="146"/>
        <v>571355.28</v>
      </c>
      <c r="AS218" s="827">
        <f t="shared" si="146"/>
        <v>507360.60699999996</v>
      </c>
      <c r="AT218" s="827">
        <f t="shared" si="146"/>
        <v>438106.91399999999</v>
      </c>
      <c r="AU218" s="827">
        <f t="shared" si="146"/>
        <v>378495.53700000001</v>
      </c>
      <c r="AV218" s="827"/>
      <c r="AW218" s="827">
        <f t="shared" si="146"/>
        <v>81278.2</v>
      </c>
      <c r="AX218" s="827">
        <f t="shared" si="146"/>
        <v>19201.284</v>
      </c>
      <c r="AY218" s="827">
        <f t="shared" si="146"/>
        <v>17414.768</v>
      </c>
      <c r="AZ218" s="827">
        <f t="shared" si="146"/>
        <v>16650.144</v>
      </c>
      <c r="BA218" s="827">
        <f t="shared" si="146"/>
        <v>15105.939</v>
      </c>
      <c r="BB218" s="829">
        <f t="shared" si="146"/>
        <v>2</v>
      </c>
      <c r="BC218" s="829">
        <f t="shared" si="146"/>
        <v>2.4107142857142856</v>
      </c>
      <c r="BD218" s="829">
        <f t="shared" si="146"/>
        <v>2.8660714285714284</v>
      </c>
      <c r="BE218" s="829">
        <f t="shared" si="146"/>
        <v>1.7823477142093003</v>
      </c>
      <c r="BF218" s="829">
        <f t="shared" si="146"/>
        <v>2.1548204229825099</v>
      </c>
      <c r="BG218" s="829">
        <f t="shared" si="146"/>
        <v>2.568716403035185</v>
      </c>
    </row>
    <row r="219" spans="1:59" ht="15" customHeight="1">
      <c r="A219" s="449">
        <v>2004</v>
      </c>
      <c r="B219" s="449"/>
      <c r="C219" s="50"/>
      <c r="D219" s="51"/>
      <c r="E219" s="51"/>
      <c r="F219" s="51"/>
      <c r="G219" s="51"/>
      <c r="H219" s="51"/>
      <c r="I219" s="50" t="s">
        <v>212</v>
      </c>
      <c r="J219" s="437" t="s">
        <v>534</v>
      </c>
      <c r="K219" s="543">
        <f t="shared" ref="K219:O228" si="147">LN(K61)</f>
        <v>12.677080969900695</v>
      </c>
      <c r="L219" s="543">
        <f t="shared" si="147"/>
        <v>12.549971365999651</v>
      </c>
      <c r="M219" s="543">
        <f t="shared" si="147"/>
        <v>12.465355872318083</v>
      </c>
      <c r="N219" s="543">
        <f t="shared" si="147"/>
        <v>12.330769008971336</v>
      </c>
      <c r="O219" s="543">
        <f t="shared" si="147"/>
        <v>12.197807004040635</v>
      </c>
      <c r="P219" s="149">
        <f t="shared" si="129"/>
        <v>0.37553418803418803</v>
      </c>
      <c r="Q219" s="149">
        <f t="shared" si="114"/>
        <v>0.42169341449916986</v>
      </c>
      <c r="R219" s="149">
        <f t="shared" si="115"/>
        <v>0.3329334133173365</v>
      </c>
      <c r="S219" s="149">
        <f t="shared" si="116"/>
        <v>0.23884514435695536</v>
      </c>
      <c r="T219" s="149">
        <f t="shared" si="117"/>
        <v>0.1494661921708185</v>
      </c>
      <c r="U219" s="51">
        <f t="shared" si="118"/>
        <v>0.93252108716026261</v>
      </c>
      <c r="V219" s="51">
        <f t="shared" si="119"/>
        <v>0.93588297369091367</v>
      </c>
      <c r="W219" s="51">
        <f t="shared" si="120"/>
        <v>0.93939954760435951</v>
      </c>
      <c r="X219" s="51">
        <f t="shared" si="121"/>
        <v>0.93864362646467037</v>
      </c>
      <c r="Y219" s="51">
        <f t="shared" si="122"/>
        <v>0.94233590922429822</v>
      </c>
      <c r="Z219" s="51">
        <f t="shared" si="123"/>
        <v>3.0779854979529429E-2</v>
      </c>
      <c r="AA219" s="51">
        <f t="shared" si="124"/>
        <v>3.2877260652814676E-2</v>
      </c>
      <c r="AB219" s="51">
        <f t="shared" si="125"/>
        <v>3.4279251490849268E-2</v>
      </c>
      <c r="AC219" s="51">
        <f t="shared" si="126"/>
        <v>3.6075275180494734E-2</v>
      </c>
      <c r="AD219" s="62">
        <f t="shared" si="127"/>
        <v>3.4358798787048811E-2</v>
      </c>
      <c r="AE219" s="699"/>
      <c r="AF219" s="701">
        <f t="shared" si="130"/>
        <v>-1.4617964273579837E-4</v>
      </c>
      <c r="AG219" s="61">
        <f t="shared" si="131"/>
        <v>6.4234090252841183E-3</v>
      </c>
      <c r="AH219" s="209"/>
      <c r="AI219" s="209"/>
      <c r="AJ219" s="700"/>
      <c r="AK219" s="701">
        <f t="shared" si="132"/>
        <v>0.10818258536490306</v>
      </c>
      <c r="AL219" s="61">
        <f t="shared" si="133"/>
        <v>9.5503982169524923E-2</v>
      </c>
      <c r="AM219" s="845">
        <f t="shared" si="134"/>
        <v>0.26754886827744773</v>
      </c>
      <c r="AN219" s="845">
        <f t="shared" si="135"/>
        <v>0.47927396586005888</v>
      </c>
      <c r="AO219" s="536">
        <f t="shared" si="136"/>
        <v>-2.9363616199387099E-3</v>
      </c>
      <c r="AP219" s="552">
        <f t="shared" si="137"/>
        <v>-9.814822064035611E-3</v>
      </c>
      <c r="AQ219" s="827">
        <f t="shared" ref="AQ219:BG219" si="148">AQ61</f>
        <v>702243.64799999993</v>
      </c>
      <c r="AR219" s="827">
        <f t="shared" si="148"/>
        <v>550124.59199999995</v>
      </c>
      <c r="AS219" s="827">
        <f t="shared" si="148"/>
        <v>458226.08299999998</v>
      </c>
      <c r="AT219" s="827">
        <f t="shared" si="148"/>
        <v>384588.59399999998</v>
      </c>
      <c r="AU219" s="827">
        <f t="shared" si="148"/>
        <v>332471.83500000002</v>
      </c>
      <c r="AV219" s="827"/>
      <c r="AW219" s="827">
        <f t="shared" si="148"/>
        <v>235963.44799999997</v>
      </c>
      <c r="AX219" s="827">
        <f t="shared" si="148"/>
        <v>240406.32</v>
      </c>
      <c r="AY219" s="827">
        <f t="shared" si="148"/>
        <v>232145.07699999999</v>
      </c>
      <c r="AZ219" s="827">
        <f t="shared" si="148"/>
        <v>178691.72399999999</v>
      </c>
      <c r="BA219" s="827">
        <f t="shared" si="148"/>
        <v>212894.916</v>
      </c>
      <c r="BB219" s="829">
        <f t="shared" si="148"/>
        <v>0.13925729442970822</v>
      </c>
      <c r="BC219" s="829">
        <f t="shared" si="148"/>
        <v>0.30282861896838603</v>
      </c>
      <c r="BD219" s="829">
        <f t="shared" si="148"/>
        <v>0.3717347622237106</v>
      </c>
      <c r="BE219" s="829">
        <f t="shared" si="148"/>
        <v>0.14230093001345143</v>
      </c>
      <c r="BF219" s="829">
        <f t="shared" si="148"/>
        <v>0.29873190655867687</v>
      </c>
      <c r="BG219" s="829">
        <f t="shared" si="148"/>
        <v>0.36161731441822498</v>
      </c>
    </row>
    <row r="220" spans="1:59" ht="15" customHeight="1">
      <c r="A220" s="449">
        <v>2008</v>
      </c>
      <c r="B220" s="449"/>
      <c r="C220" s="50"/>
      <c r="D220" s="51"/>
      <c r="E220" s="51"/>
      <c r="F220" s="51"/>
      <c r="G220" s="51"/>
      <c r="H220" s="51"/>
      <c r="I220" s="411" t="s">
        <v>245</v>
      </c>
      <c r="J220" s="524" t="s">
        <v>356</v>
      </c>
      <c r="K220" s="543">
        <f t="shared" si="147"/>
        <v>14.041290630599613</v>
      </c>
      <c r="L220" s="543">
        <f t="shared" si="147"/>
        <v>13.942231310743431</v>
      </c>
      <c r="M220" s="543">
        <f t="shared" si="147"/>
        <v>14.115764768850845</v>
      </c>
      <c r="N220" s="543">
        <f t="shared" si="147"/>
        <v>14.466533855247777</v>
      </c>
      <c r="O220" s="543">
        <f t="shared" si="147"/>
        <v>14.234133388994112</v>
      </c>
      <c r="P220" s="149">
        <f t="shared" si="129"/>
        <v>2.6889013005665045E-2</v>
      </c>
      <c r="Q220" s="149">
        <f t="shared" si="114"/>
        <v>-6.6954453352127564E-3</v>
      </c>
      <c r="R220" s="149">
        <f t="shared" si="115"/>
        <v>0.12281495657686775</v>
      </c>
      <c r="S220" s="149">
        <f t="shared" si="116"/>
        <v>0.21767069864855421</v>
      </c>
      <c r="T220" s="149">
        <f t="shared" si="117"/>
        <v>0.3092435061752114</v>
      </c>
      <c r="U220" s="51">
        <f t="shared" si="118"/>
        <v>0.43526014932523771</v>
      </c>
      <c r="V220" s="51">
        <f t="shared" si="119"/>
        <v>0.4263521624304058</v>
      </c>
      <c r="W220" s="51">
        <f t="shared" si="120"/>
        <v>0.50534817956392553</v>
      </c>
      <c r="X220" s="51">
        <f t="shared" si="121"/>
        <v>0.62813947380012758</v>
      </c>
      <c r="Y220" s="51">
        <f t="shared" si="122"/>
        <v>0.7423505235536535</v>
      </c>
      <c r="Z220" s="51">
        <f t="shared" si="123"/>
        <v>0.39949904037990819</v>
      </c>
      <c r="AA220" s="51">
        <f t="shared" si="124"/>
        <v>0.378176695906423</v>
      </c>
      <c r="AB220" s="51">
        <f t="shared" si="125"/>
        <v>0.46091292165516035</v>
      </c>
      <c r="AC220" s="51">
        <f t="shared" si="126"/>
        <v>0.62565220299497026</v>
      </c>
      <c r="AD220" s="62">
        <f t="shared" si="127"/>
        <v>0.52865527546741387</v>
      </c>
      <c r="AE220" s="699"/>
      <c r="AF220" s="701">
        <f t="shared" si="130"/>
        <v>4.5864865566269716E-2</v>
      </c>
      <c r="AG220" s="61">
        <f t="shared" si="131"/>
        <v>-0.1527410760510392</v>
      </c>
      <c r="AH220" s="209"/>
      <c r="AI220" s="209"/>
      <c r="AJ220" s="700"/>
      <c r="AK220" s="701">
        <f t="shared" si="132"/>
        <v>-0.56517682168357208</v>
      </c>
      <c r="AL220" s="61">
        <f t="shared" si="133"/>
        <v>-0.67399745009611356</v>
      </c>
      <c r="AM220" s="845">
        <f t="shared" si="134"/>
        <v>-0.11836862014326544</v>
      </c>
      <c r="AN220" s="845">
        <f t="shared" si="135"/>
        <v>-0.19284275839449722</v>
      </c>
      <c r="AO220" s="536">
        <f t="shared" si="136"/>
        <v>-0.23700234398972797</v>
      </c>
      <c r="AP220" s="552">
        <f t="shared" si="137"/>
        <v>-0.30709037422841579</v>
      </c>
      <c r="AQ220" s="827">
        <f t="shared" ref="AQ220:BG220" si="149">AQ62</f>
        <v>1771690</v>
      </c>
      <c r="AR220" s="827">
        <f t="shared" si="149"/>
        <v>1721800</v>
      </c>
      <c r="AS220" s="827">
        <f t="shared" si="149"/>
        <v>1449037</v>
      </c>
      <c r="AT220" s="827">
        <f t="shared" si="149"/>
        <v>1139680</v>
      </c>
      <c r="AU220" s="827">
        <f t="shared" si="149"/>
        <v>740734</v>
      </c>
      <c r="AV220" s="827"/>
      <c r="AW220" s="827">
        <f t="shared" si="149"/>
        <v>833348</v>
      </c>
      <c r="AX220" s="827">
        <f t="shared" si="149"/>
        <v>895281</v>
      </c>
      <c r="AY220" s="827">
        <f t="shared" si="149"/>
        <v>999760</v>
      </c>
      <c r="AZ220" s="827">
        <f t="shared" si="149"/>
        <v>1389459</v>
      </c>
      <c r="BA220" s="827">
        <f t="shared" si="149"/>
        <v>1268593</v>
      </c>
      <c r="BB220" s="829">
        <f t="shared" si="149"/>
        <v>0.37049628998425815</v>
      </c>
      <c r="BC220" s="829">
        <f t="shared" si="149"/>
        <v>0.30039317460968623</v>
      </c>
      <c r="BD220" s="829">
        <f t="shared" si="149"/>
        <v>0.16586480755381292</v>
      </c>
      <c r="BE220" s="829">
        <f t="shared" si="149"/>
        <v>0.28000895337917009</v>
      </c>
      <c r="BF220" s="829">
        <f t="shared" si="149"/>
        <v>0.18690622767465406</v>
      </c>
      <c r="BG220" s="829">
        <f t="shared" si="149"/>
        <v>0.14719113186332738</v>
      </c>
    </row>
    <row r="221" spans="1:59" ht="15" customHeight="1">
      <c r="A221" s="449">
        <v>2008</v>
      </c>
      <c r="B221" s="449"/>
      <c r="C221" s="50"/>
      <c r="D221" s="51"/>
      <c r="E221" s="51"/>
      <c r="F221" s="51"/>
      <c r="G221" s="51"/>
      <c r="H221" s="51"/>
      <c r="I221" s="50" t="s">
        <v>245</v>
      </c>
      <c r="J221" s="524" t="s">
        <v>535</v>
      </c>
      <c r="K221" s="543">
        <f t="shared" si="147"/>
        <v>11.821924171002639</v>
      </c>
      <c r="L221" s="543">
        <f t="shared" si="147"/>
        <v>11.156383834516287</v>
      </c>
      <c r="M221" s="543">
        <f t="shared" si="147"/>
        <v>10.97827935611676</v>
      </c>
      <c r="N221" s="543">
        <f t="shared" si="147"/>
        <v>11.648428584166203</v>
      </c>
      <c r="O221" s="543">
        <f t="shared" si="147"/>
        <v>11.77171591181383</v>
      </c>
      <c r="P221" s="149">
        <f t="shared" si="129"/>
        <v>-4.5024644364576628E-2</v>
      </c>
      <c r="Q221" s="149">
        <f t="shared" si="114"/>
        <v>-0.4825818847815696</v>
      </c>
      <c r="R221" s="149">
        <f t="shared" si="115"/>
        <v>-1.2885410417234797</v>
      </c>
      <c r="S221" s="149">
        <f t="shared" si="116"/>
        <v>-0.59152090257814427</v>
      </c>
      <c r="T221" s="149">
        <f t="shared" si="117"/>
        <v>-0.35667995551011461</v>
      </c>
      <c r="U221" s="51">
        <f t="shared" si="118"/>
        <v>0.51063243054671104</v>
      </c>
      <c r="V221" s="51">
        <f t="shared" si="119"/>
        <v>0.70695216454862375</v>
      </c>
      <c r="W221" s="51">
        <f t="shared" si="120"/>
        <v>0.68431266669939284</v>
      </c>
      <c r="X221" s="51">
        <f t="shared" si="121"/>
        <v>0.3891253929018279</v>
      </c>
      <c r="Y221" s="51">
        <f t="shared" si="122"/>
        <v>0.36419179045348066</v>
      </c>
      <c r="Z221" s="51">
        <f t="shared" si="123"/>
        <v>0.84462398041962694</v>
      </c>
      <c r="AA221" s="51">
        <f t="shared" si="124"/>
        <v>0.62557786675943128</v>
      </c>
      <c r="AB221" s="51">
        <f t="shared" si="125"/>
        <v>0.60003599888730719</v>
      </c>
      <c r="AC221" s="51">
        <f t="shared" si="126"/>
        <v>0.80987493260907151</v>
      </c>
      <c r="AD221" s="62">
        <f t="shared" si="127"/>
        <v>0.81386555660794213</v>
      </c>
      <c r="AE221" s="699"/>
      <c r="AF221" s="701">
        <f t="shared" si="130"/>
        <v>-0.73514211673765262</v>
      </c>
      <c r="AG221" s="61">
        <f t="shared" si="131"/>
        <v>0.25226063618194855</v>
      </c>
      <c r="AH221" s="209"/>
      <c r="AI221" s="209"/>
      <c r="AJ221" s="700"/>
      <c r="AK221" s="701">
        <f t="shared" si="132"/>
        <v>-0.52665389870360413</v>
      </c>
      <c r="AL221" s="61">
        <f t="shared" si="133"/>
        <v>0.6518479640225685</v>
      </c>
      <c r="AM221" s="845">
        <f t="shared" si="134"/>
        <v>-0.79343655569706983</v>
      </c>
      <c r="AN221" s="845">
        <f t="shared" si="135"/>
        <v>5.0208259188808495E-2</v>
      </c>
      <c r="AO221" s="536">
        <f t="shared" si="136"/>
        <v>0.32012087624591218</v>
      </c>
      <c r="AP221" s="552">
        <f t="shared" si="137"/>
        <v>0.14644064009323038</v>
      </c>
      <c r="AQ221" s="827">
        <f t="shared" ref="AQ221:BG221" si="150">AQ63</f>
        <v>78916.571712000004</v>
      </c>
      <c r="AR221" s="827">
        <f t="shared" si="150"/>
        <v>32795.411186999998</v>
      </c>
      <c r="AS221" s="827">
        <f t="shared" si="150"/>
        <v>30823.78702</v>
      </c>
      <c r="AT221" s="827">
        <f t="shared" si="150"/>
        <v>86373.868835999994</v>
      </c>
      <c r="AU221" s="827">
        <f t="shared" si="150"/>
        <v>101196.32124799999</v>
      </c>
      <c r="AV221" s="827"/>
      <c r="AW221" s="827">
        <f t="shared" si="150"/>
        <v>51449.042699999998</v>
      </c>
      <c r="AX221" s="827">
        <f t="shared" si="150"/>
        <v>27236.821993000001</v>
      </c>
      <c r="AY221" s="827">
        <f t="shared" si="150"/>
        <v>8975.7188299999998</v>
      </c>
      <c r="AZ221" s="827">
        <f t="shared" si="150"/>
        <v>9024.5380559999994</v>
      </c>
      <c r="BA221" s="827">
        <f t="shared" si="150"/>
        <v>3308.4505199999999</v>
      </c>
      <c r="BB221" s="829">
        <f t="shared" si="150"/>
        <v>-13.965140936126195</v>
      </c>
      <c r="BC221" s="829">
        <f t="shared" si="150"/>
        <v>-7.5057375089648586</v>
      </c>
      <c r="BD221" s="829">
        <f t="shared" si="150"/>
        <v>-8.4107584684668648</v>
      </c>
      <c r="BE221" s="829">
        <f t="shared" si="150"/>
        <v>-5.1557973430577313</v>
      </c>
      <c r="BF221" s="829">
        <f t="shared" si="150"/>
        <v>-3.5694879791799417</v>
      </c>
      <c r="BG221" s="829">
        <f t="shared" si="150"/>
        <v>-6.1622871103689931</v>
      </c>
    </row>
    <row r="222" spans="1:59" ht="15" customHeight="1">
      <c r="A222" s="449">
        <v>2008</v>
      </c>
      <c r="B222" s="449"/>
      <c r="C222" s="50"/>
      <c r="D222" s="51"/>
      <c r="E222" s="51"/>
      <c r="F222" s="51"/>
      <c r="G222" s="51"/>
      <c r="H222" s="51"/>
      <c r="I222" s="411" t="s">
        <v>256</v>
      </c>
      <c r="J222" s="524" t="s">
        <v>356</v>
      </c>
      <c r="K222" s="543">
        <f t="shared" si="147"/>
        <v>14.041290630599613</v>
      </c>
      <c r="L222" s="543">
        <f t="shared" si="147"/>
        <v>13.942231310743431</v>
      </c>
      <c r="M222" s="543">
        <f t="shared" si="147"/>
        <v>14.115764768850845</v>
      </c>
      <c r="N222" s="543">
        <f t="shared" si="147"/>
        <v>14.466533855247777</v>
      </c>
      <c r="O222" s="543">
        <f t="shared" si="147"/>
        <v>14.234133388994112</v>
      </c>
      <c r="P222" s="149">
        <f t="shared" si="129"/>
        <v>2.6889013005665045E-2</v>
      </c>
      <c r="Q222" s="149">
        <f t="shared" si="114"/>
        <v>-6.6954453352127564E-3</v>
      </c>
      <c r="R222" s="149">
        <f t="shared" si="115"/>
        <v>0.12281495657686775</v>
      </c>
      <c r="S222" s="149">
        <f t="shared" si="116"/>
        <v>0.21767069864855421</v>
      </c>
      <c r="T222" s="149">
        <f t="shared" si="117"/>
        <v>0.3092435061752114</v>
      </c>
      <c r="U222" s="51">
        <f t="shared" si="118"/>
        <v>0.43526014932523771</v>
      </c>
      <c r="V222" s="51">
        <f t="shared" si="119"/>
        <v>0.4263521624304058</v>
      </c>
      <c r="W222" s="51">
        <f t="shared" si="120"/>
        <v>0.50534817956392553</v>
      </c>
      <c r="X222" s="51">
        <f t="shared" si="121"/>
        <v>0.62813947380012758</v>
      </c>
      <c r="Y222" s="51">
        <f t="shared" si="122"/>
        <v>0.7423505235536535</v>
      </c>
      <c r="Z222" s="51">
        <f t="shared" si="123"/>
        <v>0.39949904037990819</v>
      </c>
      <c r="AA222" s="51">
        <f t="shared" si="124"/>
        <v>0.378176695906423</v>
      </c>
      <c r="AB222" s="51">
        <f t="shared" si="125"/>
        <v>0.46091292165516035</v>
      </c>
      <c r="AC222" s="51">
        <f t="shared" si="126"/>
        <v>0.62565220299497026</v>
      </c>
      <c r="AD222" s="62">
        <f t="shared" si="127"/>
        <v>0.52865527546741387</v>
      </c>
      <c r="AE222" s="699"/>
      <c r="AF222" s="701">
        <f t="shared" si="130"/>
        <v>4.5864865566269716E-2</v>
      </c>
      <c r="AG222" s="61">
        <f t="shared" si="131"/>
        <v>-0.1527410760510392</v>
      </c>
      <c r="AH222" s="209"/>
      <c r="AI222" s="209"/>
      <c r="AJ222" s="700"/>
      <c r="AK222" s="701">
        <f t="shared" si="132"/>
        <v>-0.56517682168357208</v>
      </c>
      <c r="AL222" s="61">
        <f t="shared" si="133"/>
        <v>-0.67399745009611356</v>
      </c>
      <c r="AM222" s="845">
        <f t="shared" si="134"/>
        <v>-0.11836862014326544</v>
      </c>
      <c r="AN222" s="845">
        <f t="shared" si="135"/>
        <v>-0.19284275839449722</v>
      </c>
      <c r="AO222" s="536">
        <f t="shared" si="136"/>
        <v>-0.23700234398972797</v>
      </c>
      <c r="AP222" s="552">
        <f t="shared" si="137"/>
        <v>-0.30709037422841579</v>
      </c>
      <c r="AQ222" s="827">
        <f t="shared" ref="AQ222:BG222" si="151">AQ64</f>
        <v>1771690</v>
      </c>
      <c r="AR222" s="827">
        <f t="shared" si="151"/>
        <v>1721800</v>
      </c>
      <c r="AS222" s="827">
        <f t="shared" si="151"/>
        <v>1449037</v>
      </c>
      <c r="AT222" s="827">
        <f t="shared" si="151"/>
        <v>1139680</v>
      </c>
      <c r="AU222" s="827">
        <f t="shared" si="151"/>
        <v>740734</v>
      </c>
      <c r="AV222" s="827"/>
      <c r="AW222" s="827">
        <f t="shared" si="151"/>
        <v>833348</v>
      </c>
      <c r="AX222" s="827">
        <f t="shared" si="151"/>
        <v>895281</v>
      </c>
      <c r="AY222" s="827">
        <f t="shared" si="151"/>
        <v>999760</v>
      </c>
      <c r="AZ222" s="827">
        <f t="shared" si="151"/>
        <v>1389459</v>
      </c>
      <c r="BA222" s="827">
        <f t="shared" si="151"/>
        <v>1268593</v>
      </c>
      <c r="BB222" s="829">
        <f t="shared" si="151"/>
        <v>0.37049628998425815</v>
      </c>
      <c r="BC222" s="829">
        <f t="shared" si="151"/>
        <v>0.30039317460968623</v>
      </c>
      <c r="BD222" s="829">
        <f t="shared" si="151"/>
        <v>0.16586480755381292</v>
      </c>
      <c r="BE222" s="829">
        <f t="shared" si="151"/>
        <v>0.28000895337917009</v>
      </c>
      <c r="BF222" s="829">
        <f t="shared" si="151"/>
        <v>0.18690622767465406</v>
      </c>
      <c r="BG222" s="829">
        <f t="shared" si="151"/>
        <v>0.14719113186332738</v>
      </c>
    </row>
    <row r="223" spans="1:59" ht="15" customHeight="1">
      <c r="A223" s="449">
        <v>2008</v>
      </c>
      <c r="B223" s="449"/>
      <c r="C223" s="50"/>
      <c r="D223" s="51"/>
      <c r="E223" s="51"/>
      <c r="F223" s="51"/>
      <c r="G223" s="51"/>
      <c r="H223" s="51"/>
      <c r="I223" s="411" t="s">
        <v>256</v>
      </c>
      <c r="J223" s="437" t="s">
        <v>530</v>
      </c>
      <c r="K223" s="543">
        <f t="shared" si="147"/>
        <v>13.318863935371553</v>
      </c>
      <c r="L223" s="543">
        <f t="shared" si="147"/>
        <v>13.250339618707839</v>
      </c>
      <c r="M223" s="543">
        <f t="shared" si="147"/>
        <v>13.076727732503096</v>
      </c>
      <c r="N223" s="543">
        <f t="shared" si="147"/>
        <v>13.27496600247003</v>
      </c>
      <c r="O223" s="543">
        <f t="shared" si="147"/>
        <v>13.02310421060448</v>
      </c>
      <c r="P223" s="149">
        <f t="shared" si="129"/>
        <v>0.28047481957644832</v>
      </c>
      <c r="Q223" s="149">
        <f t="shared" si="114"/>
        <v>0.27413891103239169</v>
      </c>
      <c r="R223" s="149">
        <f t="shared" si="115"/>
        <v>0.34011241482535925</v>
      </c>
      <c r="S223" s="149">
        <f t="shared" si="116"/>
        <v>0.19537249905997447</v>
      </c>
      <c r="T223" s="149">
        <f t="shared" si="117"/>
        <v>0.29820608984128244</v>
      </c>
      <c r="U223" s="51">
        <f t="shared" si="118"/>
        <v>0.27015120954887661</v>
      </c>
      <c r="V223" s="51">
        <f t="shared" si="119"/>
        <v>0.25321776259186124</v>
      </c>
      <c r="W223" s="51">
        <f t="shared" si="120"/>
        <v>0.26603937155131885</v>
      </c>
      <c r="X223" s="51">
        <f t="shared" si="121"/>
        <v>0.30729202141426798</v>
      </c>
      <c r="Y223" s="51">
        <f t="shared" si="122"/>
        <v>0.3340307750046913</v>
      </c>
      <c r="Z223" s="51">
        <f t="shared" si="123"/>
        <v>0.45647746783449833</v>
      </c>
      <c r="AA223" s="51">
        <f t="shared" si="124"/>
        <v>0.46696939889902106</v>
      </c>
      <c r="AB223" s="51">
        <f t="shared" si="125"/>
        <v>0.4174641127418337</v>
      </c>
      <c r="AC223" s="51">
        <f t="shared" si="126"/>
        <v>0.61031187749982452</v>
      </c>
      <c r="AD223" s="62">
        <f t="shared" si="127"/>
        <v>0.53100253330831304</v>
      </c>
      <c r="AE223" s="699"/>
      <c r="AF223" s="701">
        <f t="shared" si="130"/>
        <v>1.3954292055956191E-2</v>
      </c>
      <c r="AG223" s="61">
        <f t="shared" si="131"/>
        <v>-3.0317753722092444E-2</v>
      </c>
      <c r="AH223" s="209"/>
      <c r="AI223" s="209"/>
      <c r="AJ223" s="700"/>
      <c r="AK223" s="701">
        <f t="shared" si="132"/>
        <v>-4.1937626794240151E-2</v>
      </c>
      <c r="AL223" s="61">
        <f t="shared" si="133"/>
        <v>-7.7021594588484621E-2</v>
      </c>
      <c r="AM223" s="845">
        <f t="shared" si="134"/>
        <v>5.3623521898616779E-2</v>
      </c>
      <c r="AN223" s="845">
        <f t="shared" si="135"/>
        <v>0.29575972476707424</v>
      </c>
      <c r="AO223" s="536">
        <f t="shared" si="136"/>
        <v>-6.7991403453372457E-2</v>
      </c>
      <c r="AP223" s="552">
        <f t="shared" si="137"/>
        <v>-6.3879565455814691E-2</v>
      </c>
      <c r="AQ223" s="827">
        <f t="shared" ref="AQ223:BG223" si="152">AQ65</f>
        <v>973021</v>
      </c>
      <c r="AR223" s="827">
        <f t="shared" si="152"/>
        <v>908771</v>
      </c>
      <c r="AS223" s="827">
        <f t="shared" si="152"/>
        <v>839856</v>
      </c>
      <c r="AT223" s="827">
        <f t="shared" si="152"/>
        <v>661063</v>
      </c>
      <c r="AU223" s="827">
        <f t="shared" si="152"/>
        <v>567834</v>
      </c>
      <c r="AV223" s="827"/>
      <c r="AW223" s="827">
        <f t="shared" si="152"/>
        <v>142300</v>
      </c>
      <c r="AX223" s="827">
        <f t="shared" si="152"/>
        <v>100402</v>
      </c>
      <c r="AY223" s="827">
        <f t="shared" si="152"/>
        <v>72790</v>
      </c>
      <c r="AZ223" s="827">
        <f t="shared" si="152"/>
        <v>55735</v>
      </c>
      <c r="BA223" s="827">
        <f t="shared" si="152"/>
        <v>93672</v>
      </c>
      <c r="BB223" s="829">
        <f t="shared" si="152"/>
        <v>1.4413485353147151</v>
      </c>
      <c r="BC223" s="829">
        <f t="shared" si="152"/>
        <v>2.0416434915223829</v>
      </c>
      <c r="BD223" s="829">
        <f t="shared" si="152"/>
        <v>2.2320373677702983</v>
      </c>
      <c r="BE223" s="829">
        <f t="shared" si="152"/>
        <v>0.60226729831318404</v>
      </c>
      <c r="BF223" s="829">
        <f t="shared" si="152"/>
        <v>0.75080573640565529</v>
      </c>
      <c r="BG223" s="829">
        <f t="shared" si="152"/>
        <v>0.75270744283705349</v>
      </c>
    </row>
    <row r="224" spans="1:59" ht="15" customHeight="1">
      <c r="A224" s="449">
        <v>2008</v>
      </c>
      <c r="B224" s="449"/>
      <c r="C224" s="50"/>
      <c r="D224" s="51"/>
      <c r="E224" s="51"/>
      <c r="F224" s="51"/>
      <c r="G224" s="51"/>
      <c r="H224" s="51"/>
      <c r="I224" s="411" t="s">
        <v>256</v>
      </c>
      <c r="J224" s="524" t="s">
        <v>535</v>
      </c>
      <c r="K224" s="543">
        <f t="shared" si="147"/>
        <v>11.821924171002639</v>
      </c>
      <c r="L224" s="543">
        <f t="shared" si="147"/>
        <v>11.156383834516287</v>
      </c>
      <c r="M224" s="543">
        <f t="shared" si="147"/>
        <v>10.97827935611676</v>
      </c>
      <c r="N224" s="543">
        <f t="shared" si="147"/>
        <v>11.648428584166203</v>
      </c>
      <c r="O224" s="543">
        <f t="shared" si="147"/>
        <v>11.77171591181383</v>
      </c>
      <c r="P224" s="149">
        <f t="shared" si="129"/>
        <v>-4.5024644364576628E-2</v>
      </c>
      <c r="Q224" s="149">
        <f t="shared" si="114"/>
        <v>-0.4825818847815696</v>
      </c>
      <c r="R224" s="149">
        <f t="shared" si="115"/>
        <v>-1.2885410417234797</v>
      </c>
      <c r="S224" s="149">
        <f t="shared" si="116"/>
        <v>-0.59152090257814427</v>
      </c>
      <c r="T224" s="149">
        <f t="shared" si="117"/>
        <v>-0.35667995551011461</v>
      </c>
      <c r="U224" s="51">
        <f t="shared" si="118"/>
        <v>0.51063243054671104</v>
      </c>
      <c r="V224" s="51">
        <f t="shared" si="119"/>
        <v>0.70695216454862375</v>
      </c>
      <c r="W224" s="51">
        <f t="shared" si="120"/>
        <v>0.68431266669939284</v>
      </c>
      <c r="X224" s="51">
        <f t="shared" si="121"/>
        <v>0.3891253929018279</v>
      </c>
      <c r="Y224" s="51">
        <f t="shared" si="122"/>
        <v>0.36419179045348066</v>
      </c>
      <c r="Z224" s="51">
        <f t="shared" si="123"/>
        <v>0.84462398041962694</v>
      </c>
      <c r="AA224" s="51">
        <f t="shared" si="124"/>
        <v>0.62557786675943128</v>
      </c>
      <c r="AB224" s="51">
        <f t="shared" si="125"/>
        <v>0.60003599888730719</v>
      </c>
      <c r="AC224" s="51">
        <f t="shared" si="126"/>
        <v>0.80987493260907151</v>
      </c>
      <c r="AD224" s="62">
        <f t="shared" si="127"/>
        <v>0.81386555660794213</v>
      </c>
      <c r="AE224" s="699"/>
      <c r="AF224" s="701">
        <f t="shared" si="130"/>
        <v>-0.73514211673765262</v>
      </c>
      <c r="AG224" s="61">
        <f t="shared" si="131"/>
        <v>0.25226063618194855</v>
      </c>
      <c r="AH224" s="209"/>
      <c r="AI224" s="209"/>
      <c r="AJ224" s="700"/>
      <c r="AK224" s="701">
        <f t="shared" si="132"/>
        <v>-0.52665389870360413</v>
      </c>
      <c r="AL224" s="61">
        <f t="shared" si="133"/>
        <v>0.6518479640225685</v>
      </c>
      <c r="AM224" s="845">
        <f t="shared" si="134"/>
        <v>-0.79343655569706983</v>
      </c>
      <c r="AN224" s="845">
        <f t="shared" si="135"/>
        <v>5.0208259188808495E-2</v>
      </c>
      <c r="AO224" s="536">
        <f t="shared" si="136"/>
        <v>0.32012087624591218</v>
      </c>
      <c r="AP224" s="552">
        <f t="shared" si="137"/>
        <v>0.14644064009323038</v>
      </c>
      <c r="AQ224" s="827">
        <f t="shared" ref="AQ224:BG224" si="153">AQ66</f>
        <v>78916.571712000004</v>
      </c>
      <c r="AR224" s="827">
        <f t="shared" si="153"/>
        <v>32795.411186999998</v>
      </c>
      <c r="AS224" s="827">
        <f t="shared" si="153"/>
        <v>30823.78702</v>
      </c>
      <c r="AT224" s="827">
        <f t="shared" si="153"/>
        <v>86373.868835999994</v>
      </c>
      <c r="AU224" s="827">
        <f t="shared" si="153"/>
        <v>101196.32124799999</v>
      </c>
      <c r="AV224" s="827"/>
      <c r="AW224" s="827">
        <f t="shared" si="153"/>
        <v>51449.042699999998</v>
      </c>
      <c r="AX224" s="827">
        <f t="shared" si="153"/>
        <v>27236.821993000001</v>
      </c>
      <c r="AY224" s="827">
        <f t="shared" si="153"/>
        <v>8975.7188299999998</v>
      </c>
      <c r="AZ224" s="827">
        <f t="shared" si="153"/>
        <v>9024.5380559999994</v>
      </c>
      <c r="BA224" s="827">
        <f t="shared" si="153"/>
        <v>3308.4505199999999</v>
      </c>
      <c r="BB224" s="829">
        <f t="shared" si="153"/>
        <v>-13.965140936126195</v>
      </c>
      <c r="BC224" s="829">
        <f t="shared" si="153"/>
        <v>-7.5057375089648586</v>
      </c>
      <c r="BD224" s="829">
        <f t="shared" si="153"/>
        <v>-8.4107584684668648</v>
      </c>
      <c r="BE224" s="829">
        <f t="shared" si="153"/>
        <v>-5.1557973430577313</v>
      </c>
      <c r="BF224" s="829">
        <f t="shared" si="153"/>
        <v>-3.5694879791799417</v>
      </c>
      <c r="BG224" s="829">
        <f t="shared" si="153"/>
        <v>-6.1622871103689931</v>
      </c>
    </row>
    <row r="225" spans="1:59" ht="15" customHeight="1">
      <c r="A225" s="449">
        <v>2008</v>
      </c>
      <c r="B225" s="449"/>
      <c r="C225" s="50"/>
      <c r="D225" s="51"/>
      <c r="E225" s="51"/>
      <c r="F225" s="51"/>
      <c r="G225" s="51"/>
      <c r="H225" s="51"/>
      <c r="I225" s="50" t="s">
        <v>256</v>
      </c>
      <c r="J225" s="524" t="s">
        <v>517</v>
      </c>
      <c r="K225" s="543">
        <f t="shared" si="147"/>
        <v>11.314440063652562</v>
      </c>
      <c r="L225" s="543">
        <f t="shared" si="147"/>
        <v>10.887475104510692</v>
      </c>
      <c r="M225" s="543">
        <f t="shared" si="147"/>
        <v>10.479659638030274</v>
      </c>
      <c r="N225" s="543">
        <f t="shared" si="147"/>
        <v>10.315945496873919</v>
      </c>
      <c r="O225" s="543">
        <f t="shared" si="147"/>
        <v>10.025105083819591</v>
      </c>
      <c r="P225" s="149">
        <f t="shared" si="129"/>
        <v>-4.0331415901254782E-2</v>
      </c>
      <c r="Q225" s="149">
        <f t="shared" si="114"/>
        <v>1.3151959524524632</v>
      </c>
      <c r="R225" s="149">
        <f t="shared" si="115"/>
        <v>0.34236851321378226</v>
      </c>
      <c r="S225" s="149">
        <f t="shared" si="116"/>
        <v>-6.2623485443595417E-2</v>
      </c>
      <c r="T225" s="149">
        <f t="shared" si="117"/>
        <v>0.96290095304474299</v>
      </c>
      <c r="U225" s="51">
        <f t="shared" si="118"/>
        <v>0.62649709506371054</v>
      </c>
      <c r="V225" s="51">
        <f t="shared" si="119"/>
        <v>0.65535857481480431</v>
      </c>
      <c r="W225" s="51">
        <f t="shared" si="120"/>
        <v>0.63327701152861637</v>
      </c>
      <c r="X225" s="51">
        <f t="shared" si="121"/>
        <v>0.68869899605690632</v>
      </c>
      <c r="Y225" s="51">
        <f t="shared" si="122"/>
        <v>0.77522535114539992</v>
      </c>
      <c r="Z225" s="51">
        <f t="shared" si="123"/>
        <v>0.16358607312330001</v>
      </c>
      <c r="AA225" s="51">
        <f t="shared" si="124"/>
        <v>0.14261080829026526</v>
      </c>
      <c r="AB225" s="51">
        <f t="shared" si="125"/>
        <v>0.22960533844112652</v>
      </c>
      <c r="AC225" s="51">
        <f t="shared" si="126"/>
        <v>0.22784789529920321</v>
      </c>
      <c r="AD225" s="62">
        <f t="shared" si="127"/>
        <v>0.12767850838289818</v>
      </c>
      <c r="AE225" s="699"/>
      <c r="AF225" s="701">
        <f t="shared" si="130"/>
        <v>8.5207296298824661E-2</v>
      </c>
      <c r="AG225" s="61">
        <f t="shared" si="131"/>
        <v>-0.12953941535601277</v>
      </c>
      <c r="AH225" s="209"/>
      <c r="AI225" s="209"/>
      <c r="AJ225" s="700"/>
      <c r="AK225" s="701">
        <f t="shared" si="132"/>
        <v>-0.10601737080069359</v>
      </c>
      <c r="AL225" s="61">
        <f t="shared" si="133"/>
        <v>-0.37526619133172151</v>
      </c>
      <c r="AM225" s="845">
        <f t="shared" si="134"/>
        <v>0.45455455421068208</v>
      </c>
      <c r="AN225" s="845">
        <f t="shared" si="135"/>
        <v>1.2893349798329707</v>
      </c>
      <c r="AO225" s="536">
        <f t="shared" si="136"/>
        <v>-0.14194833961678355</v>
      </c>
      <c r="AP225" s="552">
        <f t="shared" si="137"/>
        <v>-0.14872825608168938</v>
      </c>
      <c r="AQ225" s="827">
        <f t="shared" ref="AQ225:BG225" si="154">AQ67</f>
        <v>187217.54330399999</v>
      </c>
      <c r="AR225" s="827">
        <f t="shared" si="154"/>
        <v>129296.091246</v>
      </c>
      <c r="AS225" s="827">
        <f t="shared" si="154"/>
        <v>56834.822329999995</v>
      </c>
      <c r="AT225" s="827">
        <f t="shared" si="154"/>
        <v>41275.449666</v>
      </c>
      <c r="AU225" s="827">
        <f t="shared" si="154"/>
        <v>39762.664335999994</v>
      </c>
      <c r="AV225" s="827"/>
      <c r="AW225" s="827">
        <f t="shared" si="154"/>
        <v>984769.59279600007</v>
      </c>
      <c r="AX225" s="827">
        <f t="shared" si="154"/>
        <v>679496.19654699997</v>
      </c>
      <c r="AY225" s="827">
        <f t="shared" si="154"/>
        <v>532197.86424999998</v>
      </c>
      <c r="AZ225" s="827">
        <f t="shared" si="154"/>
        <v>390226.23214400001</v>
      </c>
      <c r="BA225" s="827">
        <f t="shared" si="154"/>
        <v>387822.95243199996</v>
      </c>
      <c r="BB225" s="829">
        <f t="shared" si="154"/>
        <v>5.6078440369805943E-2</v>
      </c>
      <c r="BC225" s="829">
        <f t="shared" si="154"/>
        <v>-4.8481827262239555E-3</v>
      </c>
      <c r="BD225" s="829">
        <f t="shared" si="154"/>
        <v>2.2891752538633004E-2</v>
      </c>
      <c r="BE225" s="829">
        <f t="shared" si="154"/>
        <v>3.8776413941994603E-2</v>
      </c>
      <c r="BF225" s="829">
        <f t="shared" si="154"/>
        <v>0.23203128518382987</v>
      </c>
      <c r="BG225" s="829">
        <f t="shared" si="154"/>
        <v>0.10557321331247585</v>
      </c>
    </row>
    <row r="226" spans="1:59" ht="15" customHeight="1">
      <c r="A226" s="449">
        <v>2006</v>
      </c>
      <c r="B226" s="449"/>
      <c r="C226" s="50"/>
      <c r="D226" s="51"/>
      <c r="E226" s="51"/>
      <c r="F226" s="51"/>
      <c r="G226" s="51"/>
      <c r="H226" s="51"/>
      <c r="I226" s="50" t="s">
        <v>257</v>
      </c>
      <c r="J226" s="524" t="s">
        <v>536</v>
      </c>
      <c r="K226" s="543">
        <f t="shared" si="147"/>
        <v>14.526629597849697</v>
      </c>
      <c r="L226" s="543">
        <f t="shared" si="147"/>
        <v>14.749166483908231</v>
      </c>
      <c r="M226" s="543">
        <f t="shared" si="147"/>
        <v>14.677347482920217</v>
      </c>
      <c r="N226" s="543">
        <f t="shared" si="147"/>
        <v>14.547494941608452</v>
      </c>
      <c r="O226" s="543">
        <f t="shared" si="147"/>
        <v>14.278089596774878</v>
      </c>
      <c r="P226" s="149">
        <f t="shared" si="129"/>
        <v>3.0992546096508436E-2</v>
      </c>
      <c r="Q226" s="149">
        <f t="shared" si="114"/>
        <v>-6.4032793837020291E-2</v>
      </c>
      <c r="R226" s="149">
        <f t="shared" si="115"/>
        <v>4.5894767273778551E-2</v>
      </c>
      <c r="S226" s="149">
        <f t="shared" si="116"/>
        <v>0.16089796531271117</v>
      </c>
      <c r="T226" s="149">
        <f t="shared" si="117"/>
        <v>8.5568827100058739E-2</v>
      </c>
      <c r="U226" s="51">
        <f t="shared" si="118"/>
        <v>0.65348226018396849</v>
      </c>
      <c r="V226" s="51">
        <f t="shared" si="119"/>
        <v>0.68584257355437261</v>
      </c>
      <c r="W226" s="51">
        <f t="shared" si="120"/>
        <v>0.72459700853458531</v>
      </c>
      <c r="X226" s="51">
        <f t="shared" si="121"/>
        <v>0.75374737699817251</v>
      </c>
      <c r="Y226" s="51">
        <f t="shared" si="122"/>
        <v>0.59644188811440557</v>
      </c>
      <c r="Z226" s="51">
        <f t="shared" si="123"/>
        <v>0.83738501971090673</v>
      </c>
      <c r="AA226" s="51">
        <f t="shared" si="124"/>
        <v>0.8632176194252944</v>
      </c>
      <c r="AB226" s="51">
        <f t="shared" si="125"/>
        <v>0.86523669564129824</v>
      </c>
      <c r="AC226" s="51">
        <f t="shared" si="126"/>
        <v>0.80482204362801379</v>
      </c>
      <c r="AD226" s="62">
        <f t="shared" si="127"/>
        <v>1.2872085696282294</v>
      </c>
      <c r="AE226" s="699"/>
      <c r="AF226" s="701">
        <f t="shared" si="130"/>
        <v>1.3757142959274642E-2</v>
      </c>
      <c r="AG226" s="61">
        <f t="shared" si="131"/>
        <v>-8.4192233712315989E-2</v>
      </c>
      <c r="AH226" s="209"/>
      <c r="AI226" s="209"/>
      <c r="AJ226" s="700"/>
      <c r="AK226" s="701">
        <f t="shared" si="132"/>
        <v>-0.18592257050208646</v>
      </c>
      <c r="AL226" s="61">
        <f t="shared" si="133"/>
        <v>-0.23383673516640133</v>
      </c>
      <c r="AM226" s="845">
        <f t="shared" si="134"/>
        <v>0.39925788614533775</v>
      </c>
      <c r="AN226" s="845">
        <f t="shared" si="135"/>
        <v>0.24854000107481705</v>
      </c>
      <c r="AO226" s="536">
        <f t="shared" si="136"/>
        <v>0.12815512042017974</v>
      </c>
      <c r="AP226" s="552">
        <f t="shared" si="137"/>
        <v>5.7040372069562917E-2</v>
      </c>
      <c r="AQ226" s="827">
        <f t="shared" ref="AQ226:BG226" si="155">AQ68</f>
        <v>842626.98</v>
      </c>
      <c r="AR226" s="827">
        <f t="shared" si="155"/>
        <v>672579.42599999998</v>
      </c>
      <c r="AS226" s="827">
        <f t="shared" si="155"/>
        <v>849228.85599999991</v>
      </c>
      <c r="AT226" s="827">
        <f t="shared" si="155"/>
        <v>806922.25199999998</v>
      </c>
      <c r="AU226" s="827">
        <f t="shared" si="155"/>
        <v>500830.06899999996</v>
      </c>
      <c r="AV226" s="827"/>
      <c r="AW226" s="827">
        <f t="shared" si="155"/>
        <v>900303.95</v>
      </c>
      <c r="AX226" s="827">
        <f t="shared" si="155"/>
        <v>1274682.74</v>
      </c>
      <c r="AY226" s="827">
        <f t="shared" si="155"/>
        <v>610185.39199999999</v>
      </c>
      <c r="AZ226" s="827">
        <f t="shared" si="155"/>
        <v>476441.61599999998</v>
      </c>
      <c r="BA226" s="827">
        <f t="shared" si="155"/>
        <v>303203.55</v>
      </c>
      <c r="BB226" s="829">
        <f t="shared" si="155"/>
        <v>0.4482051282051282</v>
      </c>
      <c r="BC226" s="829">
        <f t="shared" si="155"/>
        <v>0.70216251638269989</v>
      </c>
      <c r="BD226" s="829">
        <f t="shared" si="155"/>
        <v>0.17807066741447</v>
      </c>
      <c r="BE226" s="829">
        <f t="shared" si="155"/>
        <v>0.30043161479578445</v>
      </c>
      <c r="BF226" s="829">
        <f t="shared" si="155"/>
        <v>0.43372378344468832</v>
      </c>
      <c r="BG226" s="829">
        <f t="shared" si="155"/>
        <v>0.16401972304849505</v>
      </c>
    </row>
    <row r="227" spans="1:59" ht="15" customHeight="1">
      <c r="A227" s="535">
        <v>2006</v>
      </c>
      <c r="B227" s="535"/>
      <c r="C227" s="411"/>
      <c r="D227" s="536"/>
      <c r="E227" s="536"/>
      <c r="F227" s="536"/>
      <c r="G227" s="536"/>
      <c r="H227" s="536"/>
      <c r="I227" s="411" t="s">
        <v>257</v>
      </c>
      <c r="J227" s="524" t="s">
        <v>537</v>
      </c>
      <c r="K227" s="543">
        <f t="shared" si="147"/>
        <v>12.536004785660165</v>
      </c>
      <c r="L227" s="543">
        <f t="shared" si="147"/>
        <v>12.675074660928193</v>
      </c>
      <c r="M227" s="543">
        <f t="shared" si="147"/>
        <v>12.668406166028968</v>
      </c>
      <c r="N227" s="543">
        <f t="shared" si="147"/>
        <v>12.458906506275371</v>
      </c>
      <c r="O227" s="543">
        <f t="shared" si="147"/>
        <v>12.369566813622413</v>
      </c>
      <c r="P227" s="149">
        <f t="shared" si="129"/>
        <v>2.1664527208452154E-2</v>
      </c>
      <c r="Q227" s="149">
        <f t="shared" si="114"/>
        <v>5.2887557139257822E-3</v>
      </c>
      <c r="R227" s="149">
        <f t="shared" si="115"/>
        <v>4.8695166747403183E-3</v>
      </c>
      <c r="S227" s="149">
        <f t="shared" si="116"/>
        <v>1.2477905287940469E-2</v>
      </c>
      <c r="T227" s="149">
        <f t="shared" si="117"/>
        <v>2.9458734862803843E-2</v>
      </c>
      <c r="U227" s="51">
        <f t="shared" si="118"/>
        <v>3.8185705243506578</v>
      </c>
      <c r="V227" s="51">
        <f t="shared" si="119"/>
        <v>0.57069033030264149</v>
      </c>
      <c r="W227" s="51">
        <f t="shared" si="120"/>
        <v>0.68579234852319237</v>
      </c>
      <c r="X227" s="51">
        <f t="shared" si="121"/>
        <v>0.68093163117308464</v>
      </c>
      <c r="Y227" s="51">
        <f t="shared" si="122"/>
        <v>0.55506007149789227</v>
      </c>
      <c r="Z227" s="51">
        <f t="shared" si="123"/>
        <v>1.1001623930543796</v>
      </c>
      <c r="AA227" s="51">
        <f t="shared" si="124"/>
        <v>1.0811767910651047</v>
      </c>
      <c r="AB227" s="51">
        <f t="shared" si="125"/>
        <v>1.0936505916033461</v>
      </c>
      <c r="AC227" s="51">
        <f t="shared" si="126"/>
        <v>1.0639883083027304</v>
      </c>
      <c r="AD227" s="62">
        <f t="shared" si="127"/>
        <v>1.1589676532788968</v>
      </c>
      <c r="AE227" s="699"/>
      <c r="AF227" s="701">
        <f t="shared" si="130"/>
        <v>-1.8508948305890335E-2</v>
      </c>
      <c r="AG227" s="61">
        <f t="shared" si="131"/>
        <v>-1.030722271446655E-2</v>
      </c>
      <c r="AH227" s="209"/>
      <c r="AI227" s="209"/>
      <c r="AJ227" s="700"/>
      <c r="AK227" s="701">
        <f t="shared" si="132"/>
        <v>-6.2661727317486912E-2</v>
      </c>
      <c r="AL227" s="61">
        <f t="shared" si="133"/>
        <v>-1.9753369086802995E-2</v>
      </c>
      <c r="AM227" s="845">
        <f t="shared" si="134"/>
        <v>0.29883935240655518</v>
      </c>
      <c r="AN227" s="845">
        <f t="shared" si="135"/>
        <v>0.16643797203775093</v>
      </c>
      <c r="AO227" s="536">
        <f t="shared" si="136"/>
        <v>0.1307322770253001</v>
      </c>
      <c r="AP227" s="552">
        <f t="shared" si="137"/>
        <v>3.2635104528527656</v>
      </c>
      <c r="AQ227" s="827">
        <f t="shared" ref="AQ227:BG227" si="156">AQ69</f>
        <v>98587.516430000003</v>
      </c>
      <c r="AR227" s="827">
        <f t="shared" si="156"/>
        <v>105797.22913200001</v>
      </c>
      <c r="AS227" s="827">
        <f t="shared" si="156"/>
        <v>100841.26384799999</v>
      </c>
      <c r="AT227" s="827">
        <f t="shared" si="156"/>
        <v>91681.135643999994</v>
      </c>
      <c r="AU227" s="827">
        <f t="shared" si="156"/>
        <v>90867.305132999987</v>
      </c>
      <c r="AV227" s="827"/>
      <c r="AW227" s="827">
        <f t="shared" si="156"/>
        <v>79325.804999999993</v>
      </c>
      <c r="AX227" s="827">
        <f t="shared" si="156"/>
        <v>70946.611961999995</v>
      </c>
      <c r="AY227" s="827">
        <f t="shared" si="156"/>
        <v>71334.197231999991</v>
      </c>
      <c r="AZ227" s="827">
        <f t="shared" si="156"/>
        <v>42864.134639999997</v>
      </c>
      <c r="BA227" s="827">
        <f t="shared" si="156"/>
        <v>28263.857485999997</v>
      </c>
      <c r="BB227" s="829">
        <f t="shared" si="156"/>
        <v>0.24548065179838702</v>
      </c>
      <c r="BC227" s="829">
        <f t="shared" si="156"/>
        <v>7.4969043630271681E-2</v>
      </c>
      <c r="BD227" s="829">
        <f t="shared" si="156"/>
        <v>2.16773890224186E-2</v>
      </c>
      <c r="BE227" s="829">
        <f t="shared" si="156"/>
        <v>0.1622683146476939</v>
      </c>
      <c r="BF227" s="829">
        <f t="shared" si="156"/>
        <v>5.4021551865440137E-2</v>
      </c>
      <c r="BG227" s="829">
        <f t="shared" si="156"/>
        <v>1.9790323930594371E-2</v>
      </c>
    </row>
    <row r="228" spans="1:59" ht="15" customHeight="1">
      <c r="A228" s="680">
        <v>2006</v>
      </c>
      <c r="B228" s="680"/>
      <c r="C228" s="53"/>
      <c r="D228" s="751"/>
      <c r="E228" s="751"/>
      <c r="F228" s="751"/>
      <c r="G228" s="751"/>
      <c r="H228" s="751"/>
      <c r="I228" s="53" t="s">
        <v>257</v>
      </c>
      <c r="J228" s="740" t="s">
        <v>538</v>
      </c>
      <c r="K228" s="748">
        <f t="shared" si="147"/>
        <v>11.491672719412607</v>
      </c>
      <c r="L228" s="748">
        <f t="shared" si="147"/>
        <v>11.400570537746098</v>
      </c>
      <c r="M228" s="748">
        <f t="shared" si="147"/>
        <v>10.896369223585648</v>
      </c>
      <c r="N228" s="748">
        <f t="shared" si="147"/>
        <v>10.415514234902389</v>
      </c>
      <c r="O228" s="748">
        <f t="shared" si="147"/>
        <v>10.083228846062099</v>
      </c>
      <c r="P228" s="751">
        <f t="shared" si="129"/>
        <v>4.6442361988321273E-2</v>
      </c>
      <c r="Q228" s="751">
        <f t="shared" si="114"/>
        <v>0.17642917204781275</v>
      </c>
      <c r="R228" s="751">
        <f t="shared" si="115"/>
        <v>3.9522484197980129E-2</v>
      </c>
      <c r="S228" s="751">
        <f t="shared" si="116"/>
        <v>-8.5090558694757318E-2</v>
      </c>
      <c r="T228" s="751">
        <f t="shared" si="117"/>
        <v>1.818075529054133E-2</v>
      </c>
      <c r="U228" s="751">
        <f t="shared" si="118"/>
        <v>1.6665046112778548</v>
      </c>
      <c r="V228" s="751">
        <f t="shared" si="119"/>
        <v>0.22687689427291685</v>
      </c>
      <c r="W228" s="751">
        <f t="shared" si="120"/>
        <v>0.13963230797555445</v>
      </c>
      <c r="X228" s="751">
        <f t="shared" si="121"/>
        <v>0.1224388327539554</v>
      </c>
      <c r="Y228" s="751">
        <f t="shared" si="122"/>
        <v>0.10966511747656819</v>
      </c>
      <c r="Z228" s="751">
        <f t="shared" si="123"/>
        <v>0.74568098953896478</v>
      </c>
      <c r="AA228" s="751">
        <f t="shared" si="124"/>
        <v>0.61883444915560171</v>
      </c>
      <c r="AB228" s="751">
        <f t="shared" si="125"/>
        <v>0.51401430596516384</v>
      </c>
      <c r="AC228" s="751">
        <f t="shared" si="126"/>
        <v>0.38021050085544872</v>
      </c>
      <c r="AD228" s="737">
        <f t="shared" si="127"/>
        <v>0.47296969324587951</v>
      </c>
      <c r="AE228" s="709"/>
      <c r="AF228" s="832">
        <f t="shared" si="130"/>
        <v>-1.4316064158934296E-2</v>
      </c>
      <c r="AG228" s="61">
        <f t="shared" si="131"/>
        <v>2.6032240191232476E-2</v>
      </c>
      <c r="AH228" s="841"/>
      <c r="AI228" s="841"/>
      <c r="AJ228" s="742"/>
      <c r="AK228" s="701">
        <f t="shared" si="132"/>
        <v>1.4890884485735069E-2</v>
      </c>
      <c r="AL228" s="61">
        <f t="shared" si="133"/>
        <v>3.4248483228142737E-2</v>
      </c>
      <c r="AM228" s="845">
        <f t="shared" si="134"/>
        <v>0.81314037752354873</v>
      </c>
      <c r="AN228" s="845">
        <f t="shared" si="135"/>
        <v>1.408443873350508</v>
      </c>
      <c r="AO228" s="536">
        <f t="shared" si="136"/>
        <v>2.996719049898626E-2</v>
      </c>
      <c r="AP228" s="552">
        <f t="shared" si="137"/>
        <v>1.5568394938012866</v>
      </c>
      <c r="AQ228" s="831">
        <f t="shared" ref="AQ228:BG228" si="157">AQ70</f>
        <v>96329.646789999999</v>
      </c>
      <c r="AR228" s="831">
        <f t="shared" si="157"/>
        <v>107550.322418</v>
      </c>
      <c r="AS228" s="831">
        <f t="shared" si="157"/>
        <v>91060.330815999987</v>
      </c>
      <c r="AT228" s="831">
        <f t="shared" si="157"/>
        <v>77971.262759999998</v>
      </c>
      <c r="AU228" s="831">
        <f t="shared" si="157"/>
        <v>45084.035549999993</v>
      </c>
      <c r="AV228" s="831"/>
      <c r="AW228" s="831">
        <f t="shared" si="157"/>
        <v>0</v>
      </c>
      <c r="AX228" s="831">
        <f t="shared" si="157"/>
        <v>0</v>
      </c>
      <c r="AY228" s="831">
        <f t="shared" si="157"/>
        <v>0</v>
      </c>
      <c r="AZ228" s="831">
        <f t="shared" si="157"/>
        <v>55.418340000000001</v>
      </c>
      <c r="BA228" s="831">
        <f t="shared" si="157"/>
        <v>0</v>
      </c>
      <c r="BB228" s="830" t="e">
        <f t="shared" si="157"/>
        <v>#DIV/0!</v>
      </c>
      <c r="BC228" s="830">
        <f t="shared" si="157"/>
        <v>-51.242253521126763</v>
      </c>
      <c r="BD228" s="830" t="e">
        <f t="shared" si="157"/>
        <v>#DIV/0!</v>
      </c>
      <c r="BE228" s="830" t="e">
        <f t="shared" si="157"/>
        <v>#DIV/0!</v>
      </c>
      <c r="BF228" s="830">
        <f t="shared" si="157"/>
        <v>-6.0678506864750421</v>
      </c>
      <c r="BG228" s="830" t="e">
        <f t="shared" si="157"/>
        <v>#DIV/0!</v>
      </c>
    </row>
    <row r="229" spans="1:59" ht="15" customHeight="1">
      <c r="A229" s="449">
        <v>2005</v>
      </c>
      <c r="B229" s="449"/>
      <c r="C229" s="50"/>
      <c r="D229" s="51"/>
      <c r="E229" s="51"/>
      <c r="F229" s="51"/>
      <c r="G229" s="51"/>
      <c r="H229" s="51"/>
      <c r="I229" s="411" t="s">
        <v>258</v>
      </c>
      <c r="J229" s="524" t="s">
        <v>539</v>
      </c>
      <c r="K229" s="543">
        <f t="shared" ref="K229:O238" si="158">LN(K71)</f>
        <v>11.899235764523134</v>
      </c>
      <c r="L229" s="543">
        <f t="shared" si="158"/>
        <v>11.596017324764849</v>
      </c>
      <c r="M229" s="543">
        <f t="shared" si="158"/>
        <v>11.024467096049595</v>
      </c>
      <c r="N229" s="543">
        <f t="shared" si="158"/>
        <v>10.634407747011396</v>
      </c>
      <c r="O229" s="543">
        <f t="shared" si="158"/>
        <v>10.484004433477004</v>
      </c>
      <c r="P229" s="149">
        <f t="shared" si="129"/>
        <v>4.8184719290014853E-2</v>
      </c>
      <c r="Q229" s="149">
        <f t="shared" si="114"/>
        <v>5.1868601851516503E-2</v>
      </c>
      <c r="R229" s="149">
        <f t="shared" si="115"/>
        <v>9.7228547512613131E-2</v>
      </c>
      <c r="S229" s="149">
        <f t="shared" si="116"/>
        <v>3.0922008115108774E-2</v>
      </c>
      <c r="T229" s="149">
        <f t="shared" si="117"/>
        <v>3.2594860361222271E-2</v>
      </c>
      <c r="U229" s="51">
        <f t="shared" si="118"/>
        <v>0.40909526297457338</v>
      </c>
      <c r="V229" s="51">
        <f t="shared" si="119"/>
        <v>0.46216475571546928</v>
      </c>
      <c r="W229" s="51">
        <f t="shared" si="120"/>
        <v>0.35673995562820471</v>
      </c>
      <c r="X229" s="51">
        <f t="shared" si="121"/>
        <v>0.35965377588050557</v>
      </c>
      <c r="Y229" s="51">
        <f t="shared" si="122"/>
        <v>0.38334220479058695</v>
      </c>
      <c r="Z229" s="51">
        <f t="shared" si="123"/>
        <v>1.187878787878788</v>
      </c>
      <c r="AA229" s="51">
        <f t="shared" si="124"/>
        <v>1.2616986571354207</v>
      </c>
      <c r="AB229" s="51">
        <f t="shared" si="125"/>
        <v>1.0725721723896093</v>
      </c>
      <c r="AC229" s="51">
        <f t="shared" si="126"/>
        <v>1.1247063578266689</v>
      </c>
      <c r="AD229" s="62">
        <f t="shared" si="127"/>
        <v>1.347000980529486</v>
      </c>
      <c r="AE229" s="699"/>
      <c r="AF229" s="701">
        <f t="shared" si="130"/>
        <v>4.7047028479387319E-2</v>
      </c>
      <c r="AG229" s="61">
        <f t="shared" si="131"/>
        <v>1.3332297077714425E-2</v>
      </c>
      <c r="AH229" s="209"/>
      <c r="AI229" s="209"/>
      <c r="AJ229" s="700"/>
      <c r="AK229" s="701">
        <f t="shared" si="132"/>
        <v>0.11116053893634288</v>
      </c>
      <c r="AL229" s="61">
        <f t="shared" si="133"/>
        <v>3.2429621887907531E-2</v>
      </c>
      <c r="AM229" s="845">
        <f t="shared" si="134"/>
        <v>0.54046266257259157</v>
      </c>
      <c r="AN229" s="845">
        <f t="shared" si="135"/>
        <v>1.4152313310461302</v>
      </c>
      <c r="AO229" s="536">
        <f t="shared" si="136"/>
        <v>-2.6602249162382241E-2</v>
      </c>
      <c r="AP229" s="552">
        <f t="shared" si="137"/>
        <v>2.5753058183986433E-2</v>
      </c>
      <c r="AQ229" s="827">
        <f t="shared" ref="AQ229:BG229" si="159">AQ71</f>
        <v>73201.128402000002</v>
      </c>
      <c r="AR229" s="827">
        <f t="shared" si="159"/>
        <v>46320.873959999997</v>
      </c>
      <c r="AS229" s="827">
        <f t="shared" si="159"/>
        <v>36798.089975999996</v>
      </c>
      <c r="AT229" s="827">
        <f t="shared" si="159"/>
        <v>23650.498855999998</v>
      </c>
      <c r="AU229" s="827">
        <f t="shared" si="159"/>
        <v>16361.442395999999</v>
      </c>
      <c r="AV229" s="827"/>
      <c r="AW229" s="827">
        <f t="shared" si="159"/>
        <v>7163.7529560000003</v>
      </c>
      <c r="AX229" s="827">
        <f t="shared" si="159"/>
        <v>9093.2339039999988</v>
      </c>
      <c r="AY229" s="827">
        <f t="shared" si="159"/>
        <v>6593.22138</v>
      </c>
      <c r="AZ229" s="827">
        <f t="shared" si="159"/>
        <v>2516.900443</v>
      </c>
      <c r="BA229" s="827">
        <f t="shared" si="159"/>
        <v>0</v>
      </c>
      <c r="BB229" s="829" t="e">
        <f t="shared" si="159"/>
        <v>#DIV/0!</v>
      </c>
      <c r="BC229" s="829">
        <f t="shared" si="159"/>
        <v>0.51034780997096429</v>
      </c>
      <c r="BD229" s="829">
        <f t="shared" si="159"/>
        <v>0.90481827867882092</v>
      </c>
      <c r="BE229" s="829" t="e">
        <f t="shared" si="159"/>
        <v>#DIV/0!</v>
      </c>
      <c r="BF229" s="829">
        <f t="shared" si="159"/>
        <v>0.27039167431729716</v>
      </c>
      <c r="BG229" s="829">
        <f t="shared" si="159"/>
        <v>0.4497514147622762</v>
      </c>
    </row>
    <row r="230" spans="1:59" ht="15" customHeight="1">
      <c r="A230" s="449">
        <v>2005</v>
      </c>
      <c r="B230" s="449"/>
      <c r="C230" s="50"/>
      <c r="D230" s="51"/>
      <c r="E230" s="51"/>
      <c r="F230" s="51"/>
      <c r="G230" s="51"/>
      <c r="H230" s="51"/>
      <c r="I230" s="411" t="s">
        <v>258</v>
      </c>
      <c r="J230" s="524" t="s">
        <v>540</v>
      </c>
      <c r="K230" s="543">
        <f t="shared" si="158"/>
        <v>14.791971668567975</v>
      </c>
      <c r="L230" s="543">
        <f t="shared" si="158"/>
        <v>14.631070420189788</v>
      </c>
      <c r="M230" s="543">
        <f t="shared" si="158"/>
        <v>14.127014138827278</v>
      </c>
      <c r="N230" s="543">
        <f t="shared" si="158"/>
        <v>13.20208069522125</v>
      </c>
      <c r="O230" s="543">
        <f t="shared" si="158"/>
        <v>13.428681140075398</v>
      </c>
      <c r="P230" s="149">
        <f t="shared" si="129"/>
        <v>2.9191890464388741E-2</v>
      </c>
      <c r="Q230" s="149">
        <f t="shared" si="114"/>
        <v>3.203560857815492E-2</v>
      </c>
      <c r="R230" s="149">
        <f t="shared" si="115"/>
        <v>-4.961701154681605E-3</v>
      </c>
      <c r="S230" s="149">
        <f t="shared" si="116"/>
        <v>-4.3933955491744434E-2</v>
      </c>
      <c r="T230" s="149">
        <f t="shared" si="117"/>
        <v>-4.7167746454211165E-2</v>
      </c>
      <c r="U230" s="51">
        <f t="shared" si="118"/>
        <v>0.65488221586312645</v>
      </c>
      <c r="V230" s="51">
        <f t="shared" si="119"/>
        <v>0.68765428426969621</v>
      </c>
      <c r="W230" s="51">
        <f t="shared" si="120"/>
        <v>0.72786793682316064</v>
      </c>
      <c r="X230" s="51">
        <f t="shared" si="121"/>
        <v>0.949918943955535</v>
      </c>
      <c r="Y230" s="51">
        <f t="shared" si="122"/>
        <v>0.69241496862167806</v>
      </c>
      <c r="Z230" s="51">
        <f t="shared" si="123"/>
        <v>1.7830984895135291</v>
      </c>
      <c r="AA230" s="51">
        <f t="shared" si="124"/>
        <v>1.9644737233441394</v>
      </c>
      <c r="AB230" s="51">
        <f t="shared" si="125"/>
        <v>1.3570918794799391</v>
      </c>
      <c r="AC230" s="51">
        <f t="shared" si="126"/>
        <v>2.0162691060676243</v>
      </c>
      <c r="AD230" s="62">
        <f t="shared" si="127"/>
        <v>1.7698923065003487</v>
      </c>
      <c r="AE230" s="699"/>
      <c r="AF230" s="701">
        <f t="shared" si="130"/>
        <v>-5.8785500138520602E-2</v>
      </c>
      <c r="AG230" s="61">
        <f t="shared" si="131"/>
        <v>0.1355338473573634</v>
      </c>
      <c r="AH230" s="209"/>
      <c r="AI230" s="209"/>
      <c r="AJ230" s="700"/>
      <c r="AK230" s="701">
        <f t="shared" si="132"/>
        <v>0.22879502633590393</v>
      </c>
      <c r="AL230" s="61">
        <f t="shared" si="133"/>
        <v>0.45346861271837918</v>
      </c>
      <c r="AM230" s="845">
        <f t="shared" si="134"/>
        <v>0.69833299875187926</v>
      </c>
      <c r="AN230" s="845">
        <f t="shared" si="135"/>
        <v>1.3632905284925769</v>
      </c>
      <c r="AO230" s="536">
        <f t="shared" si="136"/>
        <v>3.5452968201482582E-2</v>
      </c>
      <c r="AP230" s="552">
        <f t="shared" si="137"/>
        <v>-3.7532752758551613E-2</v>
      </c>
      <c r="AQ230" s="827">
        <f t="shared" ref="AQ230:BG230" si="160">AQ72</f>
        <v>513882.32380000001</v>
      </c>
      <c r="AR230" s="827">
        <f t="shared" si="160"/>
        <v>359403.64479999995</v>
      </c>
      <c r="AS230" s="827">
        <f t="shared" si="160"/>
        <v>273813.43199999997</v>
      </c>
      <c r="AT230" s="827">
        <f t="shared" si="160"/>
        <v>13449.798499999999</v>
      </c>
      <c r="AU230" s="827">
        <f t="shared" si="160"/>
        <v>118037.628</v>
      </c>
      <c r="AV230" s="827"/>
      <c r="AW230" s="827">
        <f t="shared" si="160"/>
        <v>28136.509000000002</v>
      </c>
      <c r="AX230" s="827">
        <f t="shared" si="160"/>
        <v>19369.878399999998</v>
      </c>
      <c r="AY230" s="827">
        <f t="shared" si="160"/>
        <v>10100.187599999999</v>
      </c>
      <c r="AZ230" s="827">
        <f t="shared" si="160"/>
        <v>4509.1809999999996</v>
      </c>
      <c r="BA230" s="827">
        <f t="shared" si="160"/>
        <v>19727.447399999997</v>
      </c>
      <c r="BB230" s="829">
        <f t="shared" si="160"/>
        <v>-1.6239638281838735</v>
      </c>
      <c r="BC230" s="829">
        <f t="shared" si="160"/>
        <v>-5.2758620689655178</v>
      </c>
      <c r="BD230" s="829">
        <f t="shared" si="160"/>
        <v>-0.67078825347758886</v>
      </c>
      <c r="BE230" s="829">
        <f t="shared" si="160"/>
        <v>-1.0698593824880811</v>
      </c>
      <c r="BF230" s="829">
        <f t="shared" si="160"/>
        <v>-5.0001868027148912</v>
      </c>
      <c r="BG230" s="829">
        <f t="shared" si="160"/>
        <v>-0.50108170103648597</v>
      </c>
    </row>
    <row r="231" spans="1:59" ht="15" customHeight="1">
      <c r="A231" s="449">
        <v>2013</v>
      </c>
      <c r="B231" s="449"/>
      <c r="C231" s="50"/>
      <c r="D231" s="51"/>
      <c r="E231" s="51"/>
      <c r="F231" s="51"/>
      <c r="G231" s="51"/>
      <c r="H231" s="51"/>
      <c r="I231" s="50" t="s">
        <v>259</v>
      </c>
      <c r="J231" s="524" t="s">
        <v>542</v>
      </c>
      <c r="K231" s="543">
        <f t="shared" si="158"/>
        <v>12.425922972340352</v>
      </c>
      <c r="L231" s="543">
        <f t="shared" si="158"/>
        <v>12.398619012286638</v>
      </c>
      <c r="M231" s="543">
        <f t="shared" si="158"/>
        <v>12.538243514160515</v>
      </c>
      <c r="N231" s="543">
        <f t="shared" si="158"/>
        <v>12.534885822877476</v>
      </c>
      <c r="O231" s="543">
        <f t="shared" si="158"/>
        <v>12.584714612100109</v>
      </c>
      <c r="P231" s="149">
        <f t="shared" si="129"/>
        <v>3.5619189861829978E-2</v>
      </c>
      <c r="Q231" s="149">
        <f t="shared" si="114"/>
        <v>3.700396245961457E-2</v>
      </c>
      <c r="R231" s="149">
        <f t="shared" si="115"/>
        <v>1.3869125792268601E-2</v>
      </c>
      <c r="S231" s="149">
        <f t="shared" si="116"/>
        <v>5.1037759608414338E-3</v>
      </c>
      <c r="T231" s="149">
        <f t="shared" si="117"/>
        <v>2.7312049748818852E-2</v>
      </c>
      <c r="U231" s="51">
        <f t="shared" si="118"/>
        <v>0.56777807013135217</v>
      </c>
      <c r="V231" s="51">
        <f t="shared" si="119"/>
        <v>0.55532172923330525</v>
      </c>
      <c r="W231" s="51">
        <f t="shared" si="120"/>
        <v>0.57058543707692921</v>
      </c>
      <c r="X231" s="51">
        <f t="shared" si="121"/>
        <v>0.56486965627468633</v>
      </c>
      <c r="Y231" s="51">
        <f t="shared" si="122"/>
        <v>0.538315527618344</v>
      </c>
      <c r="Z231" s="51">
        <f t="shared" si="123"/>
        <v>1.5469289078228889</v>
      </c>
      <c r="AA231" s="51">
        <f t="shared" si="124"/>
        <v>1.5320693106222649</v>
      </c>
      <c r="AB231" s="51">
        <f t="shared" si="125"/>
        <v>1.5202336123278419</v>
      </c>
      <c r="AC231" s="51">
        <f t="shared" si="126"/>
        <v>1.4990254073815517</v>
      </c>
      <c r="AD231" s="62">
        <f t="shared" si="127"/>
        <v>1.6690023363246411</v>
      </c>
      <c r="AE231" s="699"/>
      <c r="AF231" s="701">
        <f t="shared" si="130"/>
        <v>-3.4016043267487021E-2</v>
      </c>
      <c r="AG231" s="61">
        <f t="shared" si="131"/>
        <v>9.5164796299032628E-3</v>
      </c>
      <c r="AH231" s="209"/>
      <c r="AI231" s="209"/>
      <c r="AJ231" s="700"/>
      <c r="AK231" s="701">
        <f t="shared" si="132"/>
        <v>-5.2038421248887891E-2</v>
      </c>
      <c r="AL231" s="61">
        <f t="shared" si="133"/>
        <v>2.6244058719767871E-2</v>
      </c>
      <c r="AM231" s="845">
        <f t="shared" si="134"/>
        <v>-4.6471097939595175E-2</v>
      </c>
      <c r="AN231" s="845">
        <f t="shared" si="135"/>
        <v>-0.15879163975975744</v>
      </c>
      <c r="AO231" s="536">
        <f t="shared" si="136"/>
        <v>3.2269909458585211E-2</v>
      </c>
      <c r="AP231" s="552">
        <f t="shared" si="137"/>
        <v>2.9462542513008172E-2</v>
      </c>
      <c r="AQ231" s="827">
        <f t="shared" ref="AQ231:BG231" si="161">AQ73</f>
        <v>69622.075347000005</v>
      </c>
      <c r="AR231" s="827">
        <f t="shared" si="161"/>
        <v>70375.271260000009</v>
      </c>
      <c r="AS231" s="827">
        <f t="shared" si="161"/>
        <v>78751.060184999995</v>
      </c>
      <c r="AT231" s="827">
        <f t="shared" si="161"/>
        <v>80657.010303000003</v>
      </c>
      <c r="AU231" s="827">
        <f t="shared" si="161"/>
        <v>80790.698003999991</v>
      </c>
      <c r="AV231" s="827"/>
      <c r="AW231" s="827">
        <f t="shared" si="161"/>
        <v>8184.7746970000007</v>
      </c>
      <c r="AX231" s="827">
        <f t="shared" si="161"/>
        <v>8911.9732399999994</v>
      </c>
      <c r="AY231" s="827">
        <f t="shared" si="161"/>
        <v>4552.8178049999997</v>
      </c>
      <c r="AZ231" s="827">
        <f t="shared" si="161"/>
        <v>7932.7395299999998</v>
      </c>
      <c r="BA231" s="827">
        <f t="shared" si="161"/>
        <v>8802.852648</v>
      </c>
      <c r="BB231" s="829">
        <f t="shared" si="161"/>
        <v>0.90615600953087772</v>
      </c>
      <c r="BC231" s="829">
        <f t="shared" si="161"/>
        <v>0.17877226872719468</v>
      </c>
      <c r="BD231" s="829">
        <f t="shared" si="161"/>
        <v>0.84929542991013673</v>
      </c>
      <c r="BE231" s="829">
        <f t="shared" si="161"/>
        <v>0.54633697427538064</v>
      </c>
      <c r="BF231" s="829">
        <f t="shared" si="161"/>
        <v>0.15334248086195906</v>
      </c>
      <c r="BG231" s="829">
        <f t="shared" si="161"/>
        <v>0.50542782236908335</v>
      </c>
    </row>
    <row r="232" spans="1:59" ht="15" customHeight="1">
      <c r="A232" s="449">
        <v>2013</v>
      </c>
      <c r="B232" s="449"/>
      <c r="C232" s="50"/>
      <c r="D232" s="51"/>
      <c r="E232" s="51"/>
      <c r="F232" s="51"/>
      <c r="G232" s="51"/>
      <c r="H232" s="51"/>
      <c r="I232" s="50" t="s">
        <v>259</v>
      </c>
      <c r="J232" s="524" t="s">
        <v>543</v>
      </c>
      <c r="K232" s="543">
        <f t="shared" si="158"/>
        <v>10.516918186911512</v>
      </c>
      <c r="L232" s="543">
        <f t="shared" si="158"/>
        <v>10.763249579589045</v>
      </c>
      <c r="M232" s="543">
        <f t="shared" si="158"/>
        <v>10.745752892077522</v>
      </c>
      <c r="N232" s="543">
        <f t="shared" si="158"/>
        <v>11.026611335670134</v>
      </c>
      <c r="O232" s="543">
        <f t="shared" si="158"/>
        <v>10.074552550322252</v>
      </c>
      <c r="P232" s="149">
        <f t="shared" si="129"/>
        <v>-1.4753046824887749E-2</v>
      </c>
      <c r="Q232" s="149">
        <f t="shared" si="114"/>
        <v>2.9329260117096204E-2</v>
      </c>
      <c r="R232" s="149">
        <f t="shared" si="115"/>
        <v>6.3359275893989783E-3</v>
      </c>
      <c r="S232" s="149">
        <f t="shared" si="116"/>
        <v>6.9345834764019801E-2</v>
      </c>
      <c r="T232" s="149">
        <f t="shared" si="117"/>
        <v>4.4039874233884405E-2</v>
      </c>
      <c r="U232" s="51">
        <f t="shared" si="118"/>
        <v>0.73563582513377557</v>
      </c>
      <c r="V232" s="51">
        <f t="shared" si="119"/>
        <v>0.73634392985660002</v>
      </c>
      <c r="W232" s="51">
        <f t="shared" si="120"/>
        <v>0.69950625744702388</v>
      </c>
      <c r="X232" s="51">
        <f t="shared" si="121"/>
        <v>0.67215055800496004</v>
      </c>
      <c r="Y232" s="51">
        <f t="shared" si="122"/>
        <v>0.71340807428797914</v>
      </c>
      <c r="Z232" s="51">
        <f t="shared" si="123"/>
        <v>1.1840988374312038</v>
      </c>
      <c r="AA232" s="51">
        <f t="shared" si="124"/>
        <v>1.3673900773978782</v>
      </c>
      <c r="AB232" s="51">
        <f t="shared" si="125"/>
        <v>1.1357246879064224</v>
      </c>
      <c r="AC232" s="51">
        <f t="shared" si="126"/>
        <v>1.5548877101129788</v>
      </c>
      <c r="AD232" s="62">
        <f t="shared" si="127"/>
        <v>0.97696902780137018</v>
      </c>
      <c r="AE232" s="699"/>
      <c r="AF232" s="701">
        <f t="shared" si="130"/>
        <v>2.4664934977985543E-2</v>
      </c>
      <c r="AG232" s="61">
        <f t="shared" si="131"/>
        <v>-6.0494658708690363E-2</v>
      </c>
      <c r="AH232" s="209"/>
      <c r="AI232" s="209"/>
      <c r="AJ232" s="700"/>
      <c r="AK232" s="701">
        <f t="shared" si="132"/>
        <v>-0.16065536640042016</v>
      </c>
      <c r="AL232" s="61">
        <f t="shared" si="133"/>
        <v>-0.24674528590345229</v>
      </c>
      <c r="AM232" s="845">
        <f t="shared" si="134"/>
        <v>0.67120034175527121</v>
      </c>
      <c r="AN232" s="845">
        <f t="shared" si="135"/>
        <v>0.4423656365892597</v>
      </c>
      <c r="AO232" s="536">
        <f t="shared" si="136"/>
        <v>-1.3901816840955261E-2</v>
      </c>
      <c r="AP232" s="552">
        <f t="shared" si="137"/>
        <v>2.2227750845796423E-2</v>
      </c>
      <c r="AQ232" s="827">
        <f t="shared" ref="AQ232:BG232" si="162">AQ74</f>
        <v>8246.2060450000008</v>
      </c>
      <c r="AR232" s="827">
        <f t="shared" si="162"/>
        <v>9110.8590660000009</v>
      </c>
      <c r="AS232" s="827">
        <f t="shared" si="162"/>
        <v>12285.237345</v>
      </c>
      <c r="AT232" s="827">
        <f t="shared" si="162"/>
        <v>12964.980715</v>
      </c>
      <c r="AU232" s="827">
        <f t="shared" si="162"/>
        <v>6961.5466079999997</v>
      </c>
      <c r="AV232" s="827"/>
      <c r="AW232" s="827">
        <f t="shared" si="162"/>
        <v>7629.6305580000007</v>
      </c>
      <c r="AX232" s="827">
        <f t="shared" si="162"/>
        <v>8397.4291480000011</v>
      </c>
      <c r="AY232" s="827">
        <f t="shared" si="162"/>
        <v>9308.2908449999995</v>
      </c>
      <c r="AZ232" s="827">
        <f t="shared" si="162"/>
        <v>10728.012869</v>
      </c>
      <c r="BA232" s="827">
        <f t="shared" si="162"/>
        <v>6428.9260559999993</v>
      </c>
      <c r="BB232" s="829">
        <f t="shared" si="162"/>
        <v>0.1625661870888378</v>
      </c>
      <c r="BC232" s="829">
        <f t="shared" si="162"/>
        <v>0.39746377386639581</v>
      </c>
      <c r="BD232" s="829">
        <f t="shared" si="162"/>
        <v>3.1605411229498385E-2</v>
      </c>
      <c r="BE232" s="829">
        <f t="shared" si="162"/>
        <v>9.7981566688874269E-2</v>
      </c>
      <c r="BF232" s="829">
        <f t="shared" si="162"/>
        <v>0.30962634273893125</v>
      </c>
      <c r="BG232" s="829">
        <f t="shared" si="162"/>
        <v>2.911033736715074E-2</v>
      </c>
    </row>
    <row r="233" spans="1:59" ht="15" customHeight="1">
      <c r="A233" s="449">
        <v>2015</v>
      </c>
      <c r="B233" s="449"/>
      <c r="C233" s="50"/>
      <c r="D233" s="51"/>
      <c r="E233" s="51"/>
      <c r="F233" s="51"/>
      <c r="G233" s="51"/>
      <c r="H233" s="51"/>
      <c r="I233" s="536" t="s">
        <v>0</v>
      </c>
      <c r="J233" s="524" t="s">
        <v>1043</v>
      </c>
      <c r="K233" s="543">
        <f t="shared" si="158"/>
        <v>15.135376613428125</v>
      </c>
      <c r="L233" s="543">
        <f t="shared" si="158"/>
        <v>14.762091475039677</v>
      </c>
      <c r="M233" s="543">
        <f t="shared" si="158"/>
        <v>14.12602668769369</v>
      </c>
      <c r="N233" s="543">
        <f t="shared" si="158"/>
        <v>14.015837376125585</v>
      </c>
      <c r="O233" s="543">
        <f t="shared" si="158"/>
        <v>13.048137552152356</v>
      </c>
      <c r="P233" s="149">
        <f t="shared" si="129"/>
        <v>0.12711412480095755</v>
      </c>
      <c r="Q233" s="149">
        <f t="shared" si="114"/>
        <v>0.10663537823200424</v>
      </c>
      <c r="R233" s="149">
        <f t="shared" si="115"/>
        <v>2.5636138517691507E-2</v>
      </c>
      <c r="S233" s="149">
        <f t="shared" si="116"/>
        <v>-0.25589416288400246</v>
      </c>
      <c r="T233" s="149">
        <f t="shared" si="117"/>
        <v>-0.6012933216437506</v>
      </c>
      <c r="U233" s="51">
        <f t="shared" si="118"/>
        <v>0.72206220141220245</v>
      </c>
      <c r="V233" s="51">
        <f t="shared" si="119"/>
        <v>0.75133493530006923</v>
      </c>
      <c r="W233" s="51">
        <f t="shared" si="120"/>
        <v>0.73536951567530284</v>
      </c>
      <c r="X233" s="51">
        <f t="shared" si="121"/>
        <v>0.93466207755960951</v>
      </c>
      <c r="Y233" s="51">
        <f t="shared" si="122"/>
        <v>0.87897158665857411</v>
      </c>
      <c r="Z233" s="51">
        <f t="shared" si="123"/>
        <v>0.34949951775879273</v>
      </c>
      <c r="AA233" s="51">
        <f t="shared" si="124"/>
        <v>0.21440871452154001</v>
      </c>
      <c r="AB233" s="51">
        <f t="shared" si="125"/>
        <v>0.14739061171692097</v>
      </c>
      <c r="AC233" s="51">
        <f t="shared" si="126"/>
        <v>0.2354686788432567</v>
      </c>
      <c r="AD233" s="62">
        <f t="shared" si="127"/>
        <v>8.6218225635227283E-2</v>
      </c>
      <c r="AE233" s="699"/>
      <c r="AF233" s="701">
        <f t="shared" si="130"/>
        <v>-4.0647799180083391E-2</v>
      </c>
      <c r="AG233" s="61">
        <f t="shared" si="131"/>
        <v>9.6268768596701845E-2</v>
      </c>
      <c r="AH233" s="209"/>
      <c r="AI233" s="209"/>
      <c r="AJ233" s="700"/>
      <c r="AK233" s="701">
        <f t="shared" si="132"/>
        <v>0.49243767762723178</v>
      </c>
      <c r="AL233" s="61">
        <f t="shared" si="133"/>
        <v>0.62687258196881968</v>
      </c>
      <c r="AM233" s="845">
        <f t="shared" si="134"/>
        <v>1.0778891355413334</v>
      </c>
      <c r="AN233" s="845">
        <f t="shared" si="135"/>
        <v>2.0872390612757687</v>
      </c>
      <c r="AO233" s="536">
        <f t="shared" si="136"/>
        <v>-0.14360207098327127</v>
      </c>
      <c r="AP233" s="552">
        <f t="shared" si="137"/>
        <v>-0.15690938524637166</v>
      </c>
      <c r="AQ233" s="827">
        <f t="shared" ref="AQ233:BG233" si="163">AQ75</f>
        <v>2976539</v>
      </c>
      <c r="AR233" s="827">
        <f t="shared" si="163"/>
        <v>2988596</v>
      </c>
      <c r="AS233" s="827">
        <f t="shared" si="163"/>
        <v>2449207</v>
      </c>
      <c r="AT233" s="827">
        <f t="shared" si="163"/>
        <v>339026</v>
      </c>
      <c r="AU233" s="827">
        <f t="shared" si="163"/>
        <v>651662</v>
      </c>
      <c r="AV233" s="827"/>
      <c r="AW233" s="827">
        <f t="shared" si="163"/>
        <v>6352551</v>
      </c>
      <c r="AX233" s="827">
        <f t="shared" si="163"/>
        <v>6141488</v>
      </c>
      <c r="AY233" s="827">
        <f t="shared" si="163"/>
        <v>5921250</v>
      </c>
      <c r="AZ233" s="827">
        <f t="shared" si="163"/>
        <v>4454944</v>
      </c>
      <c r="BA233" s="827">
        <f t="shared" si="163"/>
        <v>4079831</v>
      </c>
      <c r="BB233" s="829">
        <f t="shared" si="163"/>
        <v>-6.8419255601518791E-2</v>
      </c>
      <c r="BC233" s="829">
        <f t="shared" si="163"/>
        <v>-7.018090463089996E-2</v>
      </c>
      <c r="BD233" s="829">
        <f t="shared" si="163"/>
        <v>5.9060164661177963E-3</v>
      </c>
      <c r="BE233" s="829">
        <f t="shared" si="163"/>
        <v>-4.0832176537414527E-2</v>
      </c>
      <c r="BF233" s="829">
        <f t="shared" si="163"/>
        <v>-5.8992023680414521E-2</v>
      </c>
      <c r="BG233" s="829">
        <f t="shared" si="163"/>
        <v>1.098128188551183E-2</v>
      </c>
    </row>
    <row r="234" spans="1:59" ht="15" customHeight="1">
      <c r="A234" s="449">
        <v>2015</v>
      </c>
      <c r="B234" s="449"/>
      <c r="C234" s="50"/>
      <c r="D234" s="51"/>
      <c r="E234" s="51"/>
      <c r="F234" s="51"/>
      <c r="G234" s="51"/>
      <c r="H234" s="51"/>
      <c r="I234" s="536" t="s">
        <v>0</v>
      </c>
      <c r="J234" s="524" t="s">
        <v>1044</v>
      </c>
      <c r="K234" s="543">
        <f t="shared" si="158"/>
        <v>7.3975615355240523</v>
      </c>
      <c r="L234" s="543">
        <f t="shared" si="158"/>
        <v>8.5841038966988634</v>
      </c>
      <c r="M234" s="543">
        <f t="shared" si="158"/>
        <v>2.0794415416798357</v>
      </c>
      <c r="N234" s="543" t="e">
        <f>LN(N76)</f>
        <v>#NUM!</v>
      </c>
      <c r="O234" s="543">
        <f t="shared" si="158"/>
        <v>7.5883236773352225</v>
      </c>
      <c r="P234" s="149">
        <f t="shared" si="129"/>
        <v>-2.2922794117647061</v>
      </c>
      <c r="Q234" s="149">
        <f t="shared" si="114"/>
        <v>-2.1947250280583614</v>
      </c>
      <c r="R234" s="149">
        <f t="shared" si="115"/>
        <v>-102.375</v>
      </c>
      <c r="S234" s="149" t="e">
        <f t="shared" si="116"/>
        <v>#DIV/0!</v>
      </c>
      <c r="T234" s="149">
        <f t="shared" si="117"/>
        <v>-1.5924050632911393</v>
      </c>
      <c r="U234" s="51">
        <f t="shared" si="118"/>
        <v>1.5600757751090767E-3</v>
      </c>
      <c r="V234" s="51">
        <f t="shared" si="119"/>
        <v>7.5509644391626288E-2</v>
      </c>
      <c r="W234" s="51">
        <f t="shared" si="120"/>
        <v>0.60982015415358259</v>
      </c>
      <c r="X234" s="51">
        <f t="shared" si="121"/>
        <v>0.56578263130525219</v>
      </c>
      <c r="Y234" s="51">
        <f t="shared" si="122"/>
        <v>0.47588281712369301</v>
      </c>
      <c r="Z234" s="51">
        <f t="shared" si="123"/>
        <v>1.39892509064726E-2</v>
      </c>
      <c r="AA234" s="51">
        <f t="shared" si="124"/>
        <v>9.7742023951001011E-2</v>
      </c>
      <c r="AB234" s="51">
        <f t="shared" si="125"/>
        <v>4.5675135598058808E-4</v>
      </c>
      <c r="AC234" s="51">
        <f t="shared" si="126"/>
        <v>0</v>
      </c>
      <c r="AD234" s="62">
        <f t="shared" si="127"/>
        <v>9.7405799960544492E-2</v>
      </c>
      <c r="AE234" s="699"/>
      <c r="AF234" s="701">
        <f t="shared" si="130"/>
        <v>-1.4692648229594818E-2</v>
      </c>
      <c r="AG234" s="61">
        <f t="shared" si="131"/>
        <v>0.12304221721217701</v>
      </c>
      <c r="AH234" s="209"/>
      <c r="AI234" s="209"/>
      <c r="AJ234" s="700"/>
      <c r="AK234" s="701">
        <f t="shared" si="132"/>
        <v>0.11590266738743753</v>
      </c>
      <c r="AL234" s="61">
        <f t="shared" si="133"/>
        <v>0.18525841475588317</v>
      </c>
      <c r="AM234" s="845">
        <f t="shared" si="134"/>
        <v>-5.5088821356553863</v>
      </c>
      <c r="AN234" s="845">
        <f t="shared" si="135"/>
        <v>-0.19076214181116993</v>
      </c>
      <c r="AO234" s="536">
        <f t="shared" si="136"/>
        <v>0.13393733702988958</v>
      </c>
      <c r="AP234" s="552">
        <f t="shared" si="137"/>
        <v>-0.47432274134858393</v>
      </c>
      <c r="AQ234" s="827">
        <f t="shared" ref="AQ234:BG234" si="164">AQ76</f>
        <v>116479</v>
      </c>
      <c r="AR234" s="827">
        <f t="shared" si="164"/>
        <v>50565</v>
      </c>
      <c r="AS234" s="827">
        <f t="shared" si="164"/>
        <v>6835</v>
      </c>
      <c r="AT234" s="827">
        <f t="shared" si="164"/>
        <v>7515</v>
      </c>
      <c r="AU234" s="827">
        <f t="shared" si="164"/>
        <v>10627</v>
      </c>
      <c r="AV234" s="827"/>
      <c r="AW234" s="827">
        <f t="shared" si="164"/>
        <v>0</v>
      </c>
      <c r="AX234" s="827">
        <f t="shared" si="164"/>
        <v>1425</v>
      </c>
      <c r="AY234" s="827">
        <f t="shared" si="164"/>
        <v>9455</v>
      </c>
      <c r="AZ234" s="827">
        <f t="shared" si="164"/>
        <v>8513</v>
      </c>
      <c r="BA234" s="827">
        <f t="shared" si="164"/>
        <v>8953</v>
      </c>
      <c r="BB234" s="829">
        <f t="shared" si="164"/>
        <v>-0.35127890092706354</v>
      </c>
      <c r="BC234" s="829">
        <f t="shared" si="164"/>
        <v>-0.1767884412075649</v>
      </c>
      <c r="BD234" s="829">
        <f t="shared" si="164"/>
        <v>-8.6620835536753038E-2</v>
      </c>
      <c r="BE234" s="829">
        <f t="shared" si="164"/>
        <v>-0.19064311296569694</v>
      </c>
      <c r="BF234" s="829">
        <f t="shared" si="164"/>
        <v>-0.27753854676420114</v>
      </c>
      <c r="BG234" s="829">
        <f t="shared" si="164"/>
        <v>-9.7361691497516445E-2</v>
      </c>
    </row>
    <row r="235" spans="1:59" ht="15" customHeight="1">
      <c r="A235" s="449">
        <v>2015</v>
      </c>
      <c r="B235" s="449"/>
      <c r="C235" s="50"/>
      <c r="D235" s="51"/>
      <c r="E235" s="51"/>
      <c r="F235" s="51"/>
      <c r="G235" s="51"/>
      <c r="H235" s="51"/>
      <c r="I235" s="536" t="s">
        <v>0</v>
      </c>
      <c r="J235" s="524" t="s">
        <v>356</v>
      </c>
      <c r="K235" s="543">
        <f t="shared" si="158"/>
        <v>13.689039893910325</v>
      </c>
      <c r="L235" s="543">
        <f t="shared" si="158"/>
        <v>13.639846788834387</v>
      </c>
      <c r="M235" s="543">
        <f t="shared" si="158"/>
        <v>13.546715661230975</v>
      </c>
      <c r="N235" s="543">
        <f t="shared" si="158"/>
        <v>13.776665774140707</v>
      </c>
      <c r="O235" s="543">
        <f t="shared" si="158"/>
        <v>14.190172756917393</v>
      </c>
      <c r="P235" s="149">
        <f t="shared" si="129"/>
        <v>-9.9750340444847929E-2</v>
      </c>
      <c r="Q235" s="149">
        <f t="shared" si="114"/>
        <v>-0.62391226606270112</v>
      </c>
      <c r="R235" s="149">
        <f t="shared" si="115"/>
        <v>-0.38466570718304333</v>
      </c>
      <c r="S235" s="149">
        <f t="shared" si="116"/>
        <v>-0.54880964757251272</v>
      </c>
      <c r="T235" s="149">
        <f t="shared" si="117"/>
        <v>-3.4994843588862151E-2</v>
      </c>
      <c r="U235" s="51">
        <f t="shared" si="118"/>
        <v>0.69733310969473328</v>
      </c>
      <c r="V235" s="51">
        <f t="shared" si="119"/>
        <v>0.64576284839697118</v>
      </c>
      <c r="W235" s="51">
        <f t="shared" si="120"/>
        <v>0.51742988995385164</v>
      </c>
      <c r="X235" s="51">
        <f t="shared" si="121"/>
        <v>0.4977179918328129</v>
      </c>
      <c r="Y235" s="51">
        <f t="shared" si="122"/>
        <v>0.46629245018243054</v>
      </c>
      <c r="Z235" s="51">
        <f t="shared" si="123"/>
        <v>0.36950687688695066</v>
      </c>
      <c r="AA235" s="51">
        <f t="shared" si="124"/>
        <v>0.33788464636700499</v>
      </c>
      <c r="AB235" s="51">
        <f t="shared" si="125"/>
        <v>0.27131700390486335</v>
      </c>
      <c r="AC235" s="51">
        <f t="shared" si="126"/>
        <v>0.33008476030335265</v>
      </c>
      <c r="AD235" s="62">
        <f t="shared" si="127"/>
        <v>0.40822340724108896</v>
      </c>
      <c r="AE235" s="699"/>
      <c r="AF235" s="701">
        <f t="shared" si="130"/>
        <v>-6.750791041166293E-2</v>
      </c>
      <c r="AG235" s="61">
        <f t="shared" si="131"/>
        <v>-2.2572722480471562E-2</v>
      </c>
      <c r="AH235" s="209"/>
      <c r="AI235" s="209"/>
      <c r="AJ235" s="700"/>
      <c r="AK235" s="701">
        <f t="shared" si="132"/>
        <v>-0.18262126076525251</v>
      </c>
      <c r="AL235" s="61">
        <f t="shared" si="133"/>
        <v>-10.952919488421808</v>
      </c>
      <c r="AM235" s="845">
        <f t="shared" si="134"/>
        <v>-0.64345709568641796</v>
      </c>
      <c r="AN235" s="845">
        <f t="shared" si="135"/>
        <v>-0.50113286300706827</v>
      </c>
      <c r="AO235" s="536">
        <f t="shared" si="136"/>
        <v>5.11374397714211E-2</v>
      </c>
      <c r="AP235" s="552">
        <f t="shared" si="137"/>
        <v>0.23104065951230274</v>
      </c>
      <c r="AQ235" s="827">
        <f t="shared" ref="AQ235:BG235" si="165">AQ77</f>
        <v>7218</v>
      </c>
      <c r="AR235" s="827">
        <f t="shared" si="165"/>
        <v>8795</v>
      </c>
      <c r="AS235" s="827">
        <f t="shared" si="165"/>
        <v>1359400</v>
      </c>
      <c r="AT235" s="827">
        <f t="shared" si="165"/>
        <v>1463700</v>
      </c>
      <c r="AU235" s="827">
        <f t="shared" si="165"/>
        <v>1901600</v>
      </c>
      <c r="AV235" s="827"/>
      <c r="AW235" s="827">
        <f t="shared" si="165"/>
        <v>1237900</v>
      </c>
      <c r="AX235" s="827">
        <f t="shared" si="165"/>
        <v>1236100</v>
      </c>
      <c r="AY235" s="827">
        <f t="shared" si="165"/>
        <v>1211200</v>
      </c>
      <c r="AZ235" s="827">
        <f t="shared" si="165"/>
        <v>1152000</v>
      </c>
      <c r="BA235" s="827">
        <f t="shared" si="165"/>
        <v>1251600</v>
      </c>
      <c r="BB235" s="829">
        <f t="shared" si="165"/>
        <v>-4.0667945030361141E-2</v>
      </c>
      <c r="BC235" s="829">
        <f t="shared" si="165"/>
        <v>-0.4582465277777778</v>
      </c>
      <c r="BD235" s="829">
        <f t="shared" si="165"/>
        <v>-0.24273447820343461</v>
      </c>
      <c r="BE235" s="829">
        <f t="shared" si="165"/>
        <v>-5.8783141366806158</v>
      </c>
      <c r="BF235" s="829">
        <f t="shared" si="165"/>
        <v>-0.61237130536046491</v>
      </c>
      <c r="BG235" s="829">
        <f t="shared" si="165"/>
        <v>-0.2261085857355265</v>
      </c>
    </row>
    <row r="236" spans="1:59" ht="15" customHeight="1">
      <c r="A236" s="449">
        <v>2015</v>
      </c>
      <c r="B236" s="449"/>
      <c r="C236" s="50"/>
      <c r="D236" s="51"/>
      <c r="E236" s="51"/>
      <c r="F236" s="51"/>
      <c r="G236" s="51"/>
      <c r="H236" s="51"/>
      <c r="I236" s="536" t="s">
        <v>0</v>
      </c>
      <c r="J236" s="524" t="s">
        <v>1045</v>
      </c>
      <c r="K236" s="543">
        <f t="shared" si="158"/>
        <v>7.5180641812330782</v>
      </c>
      <c r="L236" s="543">
        <f t="shared" si="158"/>
        <v>9.6064283182717496</v>
      </c>
      <c r="M236" s="543">
        <f t="shared" si="158"/>
        <v>9.0975075637018392</v>
      </c>
      <c r="N236" s="543">
        <f t="shared" si="158"/>
        <v>10.827686928478323</v>
      </c>
      <c r="O236" s="543">
        <f t="shared" si="158"/>
        <v>11.969546191322351</v>
      </c>
      <c r="P236" s="149">
        <f t="shared" si="129"/>
        <v>-8.9386203150461707</v>
      </c>
      <c r="Q236" s="149">
        <f t="shared" si="114"/>
        <v>-2.5901749663526243</v>
      </c>
      <c r="R236" s="149">
        <f t="shared" si="115"/>
        <v>3.7661479905966639</v>
      </c>
      <c r="S236" s="149">
        <f t="shared" si="116"/>
        <v>1.4324463757763359</v>
      </c>
      <c r="T236" s="149">
        <f t="shared" si="117"/>
        <v>-2.482533428768694</v>
      </c>
      <c r="U236" s="51">
        <f t="shared" si="118"/>
        <v>1.0462047529937113</v>
      </c>
      <c r="V236" s="51">
        <f t="shared" si="119"/>
        <v>0.84656547879610855</v>
      </c>
      <c r="W236" s="51">
        <f t="shared" si="120"/>
        <v>0.73024715992231359</v>
      </c>
      <c r="X236" s="51">
        <f t="shared" si="121"/>
        <v>0.93676293063422789</v>
      </c>
      <c r="Y236" s="51">
        <f t="shared" si="122"/>
        <v>1.2209700305460256</v>
      </c>
      <c r="Z236" s="51">
        <f t="shared" si="123"/>
        <v>1.4785842214744079E-2</v>
      </c>
      <c r="AA236" s="51">
        <f t="shared" si="124"/>
        <v>0.13275324512895648</v>
      </c>
      <c r="AB236" s="51">
        <f t="shared" si="125"/>
        <v>4.7532391518344111E-2</v>
      </c>
      <c r="AC236" s="51">
        <f t="shared" si="126"/>
        <v>0.19499257126938435</v>
      </c>
      <c r="AD236" s="62">
        <f t="shared" si="127"/>
        <v>0.32278398194226926</v>
      </c>
      <c r="AE236" s="699"/>
      <c r="AF236" s="701">
        <f t="shared" si="130"/>
        <v>0.31117905040084426</v>
      </c>
      <c r="AG236" s="61">
        <f t="shared" si="131"/>
        <v>0.66915699584697508</v>
      </c>
      <c r="AH236" s="209"/>
      <c r="AI236" s="209"/>
      <c r="AJ236" s="700"/>
      <c r="AK236" s="701">
        <f t="shared" si="132"/>
        <v>5.3643363008047977</v>
      </c>
      <c r="AL236" s="61">
        <f t="shared" si="133"/>
        <v>1.4787203496071992</v>
      </c>
      <c r="AM236" s="845">
        <f t="shared" si="134"/>
        <v>-2.8720386276205123</v>
      </c>
      <c r="AN236" s="845">
        <f t="shared" si="135"/>
        <v>-4.4514820100892738</v>
      </c>
      <c r="AO236" s="536">
        <f t="shared" si="136"/>
        <v>-0.490722870623712</v>
      </c>
      <c r="AP236" s="552">
        <f t="shared" si="137"/>
        <v>-0.1747652775523143</v>
      </c>
      <c r="AQ236" s="827">
        <f t="shared" ref="AQ236:BG236" si="166">AQ78</f>
        <v>-5754</v>
      </c>
      <c r="AR236" s="827">
        <f t="shared" si="166"/>
        <v>17174</v>
      </c>
      <c r="AS236" s="827">
        <f t="shared" si="166"/>
        <v>50696</v>
      </c>
      <c r="AT236" s="827">
        <f t="shared" si="166"/>
        <v>16345</v>
      </c>
      <c r="AU236" s="827">
        <f t="shared" si="166"/>
        <v>-108075</v>
      </c>
      <c r="AV236" s="827"/>
      <c r="AW236" s="827">
        <f t="shared" si="166"/>
        <v>68354</v>
      </c>
      <c r="AX236" s="827">
        <f t="shared" si="166"/>
        <v>72229</v>
      </c>
      <c r="AY236" s="827">
        <f t="shared" si="166"/>
        <v>129466</v>
      </c>
      <c r="AZ236" s="827">
        <f t="shared" si="166"/>
        <v>157208</v>
      </c>
      <c r="BA236" s="827">
        <f t="shared" si="166"/>
        <v>82369</v>
      </c>
      <c r="BB236" s="829">
        <f t="shared" si="166"/>
        <v>-4.7581614442326607</v>
      </c>
      <c r="BC236" s="829">
        <f t="shared" si="166"/>
        <v>0.45920691058979185</v>
      </c>
      <c r="BD236" s="829">
        <f t="shared" si="166"/>
        <v>0.25985973151252068</v>
      </c>
      <c r="BE236" s="829">
        <f t="shared" si="166"/>
        <v>-5.1727407259240001</v>
      </c>
      <c r="BF236" s="829">
        <f t="shared" si="166"/>
        <v>0.35843703195552329</v>
      </c>
      <c r="BG236" s="829">
        <f t="shared" si="166"/>
        <v>0.46050047737731642</v>
      </c>
    </row>
    <row r="237" spans="1:59" ht="15" customHeight="1">
      <c r="A237" s="680">
        <v>2015</v>
      </c>
      <c r="B237" s="680"/>
      <c r="C237" s="751"/>
      <c r="D237" s="751"/>
      <c r="E237" s="751"/>
      <c r="F237" s="751"/>
      <c r="G237" s="751"/>
      <c r="H237" s="751"/>
      <c r="I237" s="751" t="s">
        <v>0</v>
      </c>
      <c r="J237" s="524" t="s">
        <v>545</v>
      </c>
      <c r="K237" s="748">
        <f t="shared" si="158"/>
        <v>9.470162947548884</v>
      </c>
      <c r="L237" s="748">
        <f t="shared" si="158"/>
        <v>8.7823228593975067</v>
      </c>
      <c r="M237" s="748">
        <f t="shared" si="158"/>
        <v>8.6053872021521531</v>
      </c>
      <c r="N237" s="748" t="e">
        <f t="shared" si="158"/>
        <v>#NUM!</v>
      </c>
      <c r="O237" s="748" t="e">
        <f t="shared" si="158"/>
        <v>#NUM!</v>
      </c>
      <c r="P237" s="751">
        <f t="shared" si="129"/>
        <v>-0.54831495334310176</v>
      </c>
      <c r="Q237" s="751">
        <f t="shared" si="114"/>
        <v>-5.5710340595274621</v>
      </c>
      <c r="R237" s="751">
        <f t="shared" si="115"/>
        <v>-11.350851492400659</v>
      </c>
      <c r="S237" s="751" t="e">
        <f t="shared" si="116"/>
        <v>#DIV/0!</v>
      </c>
      <c r="T237" s="751" t="e">
        <f t="shared" si="117"/>
        <v>#DIV/0!</v>
      </c>
      <c r="U237" s="751">
        <f t="shared" si="118"/>
        <v>0.62967286917165777</v>
      </c>
      <c r="V237" s="751">
        <f t="shared" si="119"/>
        <v>0.50876396846105854</v>
      </c>
      <c r="W237" s="751">
        <f t="shared" si="120"/>
        <v>7.4827151663771671E-2</v>
      </c>
      <c r="X237" s="751">
        <f t="shared" si="121"/>
        <v>6.0167164801556962E-2</v>
      </c>
      <c r="Y237" s="751">
        <f t="shared" si="122"/>
        <v>3.8359865682014507E-2</v>
      </c>
      <c r="Z237" s="751">
        <f t="shared" si="123"/>
        <v>0.10368871794461726</v>
      </c>
      <c r="AA237" s="751">
        <f t="shared" si="124"/>
        <v>0.18486584604912359</v>
      </c>
      <c r="AB237" s="751">
        <f t="shared" si="125"/>
        <v>9.2997513708661148E-2</v>
      </c>
      <c r="AC237" s="751">
        <f t="shared" si="126"/>
        <v>0</v>
      </c>
      <c r="AD237" s="737">
        <f t="shared" si="127"/>
        <v>0</v>
      </c>
      <c r="AE237" s="709"/>
      <c r="AF237" s="832">
        <f t="shared" si="130"/>
        <v>-0.99874689272749839</v>
      </c>
      <c r="AG237" s="61">
        <f t="shared" si="131"/>
        <v>2.1275086360285855E-2</v>
      </c>
      <c r="AH237" s="841"/>
      <c r="AI237" s="841"/>
      <c r="AJ237" s="742"/>
      <c r="AK237" s="701">
        <f t="shared" si="132"/>
        <v>-0.67264939044124272</v>
      </c>
      <c r="AL237" s="61">
        <f t="shared" si="133"/>
        <v>-0.13320023914548484</v>
      </c>
      <c r="AM237" s="845" t="e">
        <f t="shared" si="134"/>
        <v>#DIV/0!</v>
      </c>
      <c r="AN237" s="845" t="e">
        <f t="shared" si="135"/>
        <v>#DIV/0!</v>
      </c>
      <c r="AO237" s="536">
        <f t="shared" si="136"/>
        <v>3.6467285981757164E-2</v>
      </c>
      <c r="AP237" s="552">
        <f t="shared" si="137"/>
        <v>0.59131300348964322</v>
      </c>
      <c r="AQ237" s="831">
        <f t="shared" ref="AQ237:BG237" si="167">AQ79</f>
        <v>46312</v>
      </c>
      <c r="AR237" s="831">
        <f t="shared" si="167"/>
        <v>17320</v>
      </c>
      <c r="AS237" s="831">
        <f t="shared" si="167"/>
        <v>54328</v>
      </c>
      <c r="AT237" s="831">
        <f t="shared" si="167"/>
        <v>108171</v>
      </c>
      <c r="AU237" s="831">
        <f t="shared" si="167"/>
        <v>148057</v>
      </c>
      <c r="AV237" s="831"/>
      <c r="AW237" s="831">
        <f t="shared" si="167"/>
        <v>55925</v>
      </c>
      <c r="AX237" s="831">
        <f t="shared" si="167"/>
        <v>11128</v>
      </c>
      <c r="AY237" s="831">
        <f t="shared" si="167"/>
        <v>2013</v>
      </c>
      <c r="AZ237" s="831">
        <f t="shared" si="167"/>
        <v>6232</v>
      </c>
      <c r="BA237" s="831">
        <f t="shared" si="167"/>
        <v>4376</v>
      </c>
      <c r="BB237" s="830">
        <f t="shared" si="167"/>
        <v>-2.7488574040219378</v>
      </c>
      <c r="BC237" s="830">
        <f t="shared" si="167"/>
        <v>-6.3037548138639279</v>
      </c>
      <c r="BD237" s="830">
        <f t="shared" si="167"/>
        <v>-30.793343268753105</v>
      </c>
      <c r="BE237" s="830">
        <f t="shared" si="167"/>
        <v>-0.32034589367511751</v>
      </c>
      <c r="BF237" s="830">
        <f t="shared" si="167"/>
        <v>-1.3319144363902975</v>
      </c>
      <c r="BG237" s="830">
        <f t="shared" si="167"/>
        <v>-3.01001253336866</v>
      </c>
    </row>
    <row r="238" spans="1:59" ht="15" customHeight="1">
      <c r="A238" s="449">
        <v>2014</v>
      </c>
      <c r="B238" s="449"/>
      <c r="C238" s="50"/>
      <c r="D238" s="51"/>
      <c r="E238" s="51"/>
      <c r="F238" s="51"/>
      <c r="G238" s="51"/>
      <c r="H238" s="51"/>
      <c r="I238" s="51" t="s">
        <v>137</v>
      </c>
      <c r="J238" s="524" t="s">
        <v>547</v>
      </c>
      <c r="K238" s="543">
        <f t="shared" si="158"/>
        <v>11.003119417892567</v>
      </c>
      <c r="L238" s="543">
        <f t="shared" si="158"/>
        <v>10.819787768465309</v>
      </c>
      <c r="M238" s="543">
        <f t="shared" si="158"/>
        <v>10.687660782148676</v>
      </c>
      <c r="N238" s="543">
        <f t="shared" si="158"/>
        <v>10.962975013753775</v>
      </c>
      <c r="O238" s="543">
        <f t="shared" si="158"/>
        <v>10.906822521078361</v>
      </c>
      <c r="P238" s="149">
        <f t="shared" si="129"/>
        <v>-4.1789708991882737E-2</v>
      </c>
      <c r="Q238" s="149">
        <f t="shared" si="114"/>
        <v>-4.6687381692203288E-2</v>
      </c>
      <c r="R238" s="149">
        <f t="shared" si="115"/>
        <v>-0.29995548359839969</v>
      </c>
      <c r="S238" s="149">
        <f t="shared" si="116"/>
        <v>-3.2507897967911488E-2</v>
      </c>
      <c r="T238" s="149">
        <f t="shared" si="117"/>
        <v>-0.41480445619500378</v>
      </c>
      <c r="U238" s="51">
        <f t="shared" si="118"/>
        <v>0.49747900066356282</v>
      </c>
      <c r="V238" s="51">
        <f t="shared" si="119"/>
        <v>0.41748435581903648</v>
      </c>
      <c r="W238" s="51">
        <f t="shared" si="120"/>
        <v>0.49486439192697246</v>
      </c>
      <c r="X238" s="51">
        <f t="shared" si="121"/>
        <v>0.43296824991339911</v>
      </c>
      <c r="Y238" s="51">
        <f t="shared" si="122"/>
        <v>0.41227826975661996</v>
      </c>
      <c r="Z238" s="51">
        <f t="shared" si="123"/>
        <v>0.53527726676844889</v>
      </c>
      <c r="AA238" s="51">
        <f t="shared" si="124"/>
        <v>0.50299110751818921</v>
      </c>
      <c r="AB238" s="51">
        <f t="shared" si="125"/>
        <v>0.48441324407255504</v>
      </c>
      <c r="AC238" s="51">
        <f t="shared" si="126"/>
        <v>0.48474420309141708</v>
      </c>
      <c r="AD238" s="62">
        <f t="shared" si="127"/>
        <v>0.43539176193660267</v>
      </c>
      <c r="AE238" s="699"/>
      <c r="AF238" s="701">
        <f t="shared" si="130"/>
        <v>-0.12293332767902901</v>
      </c>
      <c r="AG238" s="61">
        <f t="shared" si="131"/>
        <v>0.15823336183367315</v>
      </c>
      <c r="AH238" s="209"/>
      <c r="AI238" s="209"/>
      <c r="AJ238" s="700"/>
      <c r="AK238" s="701">
        <f t="shared" si="132"/>
        <v>3.2666273909991078E-2</v>
      </c>
      <c r="AL238" s="61">
        <f t="shared" si="133"/>
        <v>0.22097292200715765</v>
      </c>
      <c r="AM238" s="845">
        <f t="shared" si="134"/>
        <v>-0.21916173892968488</v>
      </c>
      <c r="AN238" s="845">
        <f t="shared" si="135"/>
        <v>9.6296896814205543E-2</v>
      </c>
      <c r="AO238" s="536">
        <f t="shared" si="136"/>
        <v>8.2586122170352494E-2</v>
      </c>
      <c r="AP238" s="552">
        <f t="shared" si="137"/>
        <v>8.5200730906942856E-2</v>
      </c>
      <c r="AQ238" s="827">
        <f t="shared" ref="AQ238:BG238" si="168">AQ80</f>
        <v>56385.763104000005</v>
      </c>
      <c r="AR238" s="827">
        <f t="shared" si="168"/>
        <v>57905.712458000002</v>
      </c>
      <c r="AS238" s="827">
        <f t="shared" si="168"/>
        <v>45686.099115999998</v>
      </c>
      <c r="AT238" s="827">
        <f t="shared" si="168"/>
        <v>67492.3122</v>
      </c>
      <c r="AU238" s="827">
        <f t="shared" si="168"/>
        <v>73631.623615999997</v>
      </c>
      <c r="AV238" s="827"/>
      <c r="AW238" s="827">
        <f t="shared" si="168"/>
        <v>26143.234172</v>
      </c>
      <c r="AX238" s="827">
        <f t="shared" si="168"/>
        <v>33536.396729</v>
      </c>
      <c r="AY238" s="827">
        <f t="shared" si="168"/>
        <v>20782.885574</v>
      </c>
      <c r="AZ238" s="827">
        <f t="shared" si="168"/>
        <v>30654.748395000002</v>
      </c>
      <c r="BA238" s="827">
        <f t="shared" si="168"/>
        <v>3385.2484939999999</v>
      </c>
      <c r="BB238" s="829">
        <f t="shared" si="168"/>
        <v>-6.6838346242832714</v>
      </c>
      <c r="BC238" s="829">
        <f t="shared" si="168"/>
        <v>-6.1185806056262691E-2</v>
      </c>
      <c r="BD238" s="829">
        <f t="shared" si="168"/>
        <v>-0.63232894398651518</v>
      </c>
      <c r="BE238" s="829">
        <f t="shared" si="168"/>
        <v>-2.7814135360391097</v>
      </c>
      <c r="BF238" s="829">
        <f t="shared" si="168"/>
        <v>-5.2047082238029632E-2</v>
      </c>
      <c r="BG238" s="829">
        <f t="shared" si="168"/>
        <v>-0.43022390706061042</v>
      </c>
    </row>
    <row r="239" spans="1:59" ht="15" customHeight="1">
      <c r="A239" s="449">
        <v>2014</v>
      </c>
      <c r="B239" s="449"/>
      <c r="C239" s="50"/>
      <c r="D239" s="51"/>
      <c r="E239" s="51"/>
      <c r="F239" s="51"/>
      <c r="G239" s="51"/>
      <c r="H239" s="51"/>
      <c r="I239" s="51" t="s">
        <v>137</v>
      </c>
      <c r="J239" s="524" t="s">
        <v>548</v>
      </c>
      <c r="K239" s="543">
        <f t="shared" ref="K239:O248" si="169">LN(K81)</f>
        <v>12.001971027846302</v>
      </c>
      <c r="L239" s="543">
        <f t="shared" si="169"/>
        <v>12.08273882334818</v>
      </c>
      <c r="M239" s="543">
        <f t="shared" si="169"/>
        <v>12.206712870542397</v>
      </c>
      <c r="N239" s="543">
        <f t="shared" si="169"/>
        <v>11.86382018857606</v>
      </c>
      <c r="O239" s="543">
        <f t="shared" si="169"/>
        <v>11.89755070771675</v>
      </c>
      <c r="P239" s="149">
        <f t="shared" si="129"/>
        <v>0.31625835189309576</v>
      </c>
      <c r="Q239" s="149">
        <f t="shared" si="114"/>
        <v>0.41548821548821546</v>
      </c>
      <c r="R239" s="149">
        <f t="shared" si="115"/>
        <v>0.21353196772191185</v>
      </c>
      <c r="S239" s="149">
        <f t="shared" si="116"/>
        <v>-6.1197041022192332E-2</v>
      </c>
      <c r="T239" s="149">
        <f t="shared" si="117"/>
        <v>0.12772369031061659</v>
      </c>
      <c r="U239" s="51">
        <f t="shared" si="118"/>
        <v>0.64280094413847366</v>
      </c>
      <c r="V239" s="51">
        <f t="shared" si="119"/>
        <v>0.59742351046698872</v>
      </c>
      <c r="W239" s="51">
        <f t="shared" si="120"/>
        <v>0.66954153427144802</v>
      </c>
      <c r="X239" s="51">
        <f t="shared" si="121"/>
        <v>0.67698218651763886</v>
      </c>
      <c r="Y239" s="51">
        <f t="shared" si="122"/>
        <v>0.57328547622099724</v>
      </c>
      <c r="Z239" s="51">
        <f t="shared" si="123"/>
        <v>0.26494885916601102</v>
      </c>
      <c r="AA239" s="51">
        <f t="shared" si="124"/>
        <v>0.34161490683229817</v>
      </c>
      <c r="AB239" s="51">
        <f t="shared" si="125"/>
        <v>0.36563776668179754</v>
      </c>
      <c r="AC239" s="51">
        <f t="shared" si="126"/>
        <v>0.20775410408662245</v>
      </c>
      <c r="AD239" s="62">
        <f t="shared" si="127"/>
        <v>0.22120240994744261</v>
      </c>
      <c r="AE239" s="699"/>
      <c r="AF239" s="701">
        <f t="shared" si="130"/>
        <v>-5.7169377427890716E-3</v>
      </c>
      <c r="AG239" s="61">
        <f t="shared" si="131"/>
        <v>5.5539501431709375E-2</v>
      </c>
      <c r="AH239" s="209"/>
      <c r="AI239" s="209"/>
      <c r="AJ239" s="700"/>
      <c r="AK239" s="701">
        <f t="shared" si="132"/>
        <v>0.14888177288480181</v>
      </c>
      <c r="AL239" s="61">
        <f t="shared" si="133"/>
        <v>0.17701049154407814</v>
      </c>
      <c r="AM239" s="845">
        <f t="shared" si="134"/>
        <v>0.30916216282564668</v>
      </c>
      <c r="AN239" s="845">
        <f t="shared" si="135"/>
        <v>0.10442032012955135</v>
      </c>
      <c r="AO239" s="536">
        <f t="shared" si="136"/>
        <v>9.6256058050450788E-2</v>
      </c>
      <c r="AP239" s="552">
        <f t="shared" si="137"/>
        <v>6.9515467917476426E-2</v>
      </c>
      <c r="AQ239" s="827">
        <f t="shared" ref="AQ239:BG239" si="170">AQ81</f>
        <v>219855.856</v>
      </c>
      <c r="AR239" s="827">
        <f t="shared" si="170"/>
        <v>208342.75</v>
      </c>
      <c r="AS239" s="827">
        <f t="shared" si="170"/>
        <v>180873.05600000001</v>
      </c>
      <c r="AT239" s="827">
        <f t="shared" si="170"/>
        <v>220835.304</v>
      </c>
      <c r="AU239" s="827">
        <f t="shared" si="170"/>
        <v>283392.39480000001</v>
      </c>
      <c r="AV239" s="827"/>
      <c r="AW239" s="827">
        <f t="shared" si="170"/>
        <v>200364.23</v>
      </c>
      <c r="AX239" s="827">
        <f t="shared" si="170"/>
        <v>120719.74200000001</v>
      </c>
      <c r="AY239" s="827">
        <f t="shared" si="170"/>
        <v>183854.48</v>
      </c>
      <c r="AZ239" s="827">
        <f t="shared" si="170"/>
        <v>289177.71750000003</v>
      </c>
      <c r="BA239" s="827">
        <f t="shared" si="170"/>
        <v>199450.76380000002</v>
      </c>
      <c r="BB239" s="829">
        <f t="shared" si="170"/>
        <v>9.4075465255250124E-2</v>
      </c>
      <c r="BC239" s="829">
        <f t="shared" si="170"/>
        <v>-3.0057803468208091E-2</v>
      </c>
      <c r="BD239" s="829">
        <f t="shared" si="170"/>
        <v>0.23243243243243242</v>
      </c>
      <c r="BE239" s="829">
        <f t="shared" si="170"/>
        <v>0.15672283117095576</v>
      </c>
      <c r="BF239" s="829">
        <f t="shared" si="170"/>
        <v>0.1015760497335897</v>
      </c>
      <c r="BG239" s="829">
        <f t="shared" si="170"/>
        <v>0.22593152484692683</v>
      </c>
    </row>
    <row r="240" spans="1:59" ht="15" customHeight="1">
      <c r="A240" s="449">
        <v>2014</v>
      </c>
      <c r="B240" s="449"/>
      <c r="C240" s="50"/>
      <c r="D240" s="51"/>
      <c r="E240" s="51"/>
      <c r="F240" s="51"/>
      <c r="G240" s="51"/>
      <c r="H240" s="51"/>
      <c r="I240" s="536" t="s">
        <v>549</v>
      </c>
      <c r="J240" s="524" t="s">
        <v>550</v>
      </c>
      <c r="K240" s="543">
        <f t="shared" si="169"/>
        <v>6.743388205070028</v>
      </c>
      <c r="L240" s="543">
        <f t="shared" si="169"/>
        <v>6.7582226599785233</v>
      </c>
      <c r="M240" s="543">
        <f t="shared" si="169"/>
        <v>6.9978764134930813</v>
      </c>
      <c r="N240" s="543">
        <f t="shared" si="169"/>
        <v>7.5338979964673314</v>
      </c>
      <c r="O240" s="543">
        <f t="shared" si="169"/>
        <v>7.5217171879984344</v>
      </c>
      <c r="P240" s="149">
        <f t="shared" si="129"/>
        <v>-1.6649543378995435</v>
      </c>
      <c r="Q240" s="149">
        <f t="shared" si="114"/>
        <v>-11.128439098575971</v>
      </c>
      <c r="R240" s="149">
        <f t="shared" si="115"/>
        <v>33.376433193325013</v>
      </c>
      <c r="S240" s="149">
        <f t="shared" si="116"/>
        <v>16.347774278662015</v>
      </c>
      <c r="T240" s="149">
        <f t="shared" si="117"/>
        <v>-4.8335790637670479</v>
      </c>
      <c r="U240" s="51">
        <f t="shared" si="118"/>
        <v>4.5461014624637183E-2</v>
      </c>
      <c r="V240" s="51">
        <f t="shared" si="119"/>
        <v>5.5001929494018574E-2</v>
      </c>
      <c r="W240" s="51">
        <f t="shared" si="120"/>
        <v>0.15109365193097052</v>
      </c>
      <c r="X240" s="51">
        <f t="shared" si="121"/>
        <v>0.14002342623025849</v>
      </c>
      <c r="Y240" s="51">
        <f t="shared" si="122"/>
        <v>6.9628777600817954E-3</v>
      </c>
      <c r="Z240" s="51">
        <f t="shared" si="123"/>
        <v>1.5111981334287896E-2</v>
      </c>
      <c r="AA240" s="51">
        <f t="shared" si="124"/>
        <v>1.4926235546851624E-2</v>
      </c>
      <c r="AB240" s="51">
        <f t="shared" si="125"/>
        <v>1.2232071939968562E-2</v>
      </c>
      <c r="AC240" s="51">
        <f t="shared" si="126"/>
        <v>1.9915685912224524E-2</v>
      </c>
      <c r="AD240" s="62">
        <f t="shared" si="127"/>
        <v>2.667177883953676E-2</v>
      </c>
      <c r="AE240" s="699"/>
      <c r="AF240" s="701">
        <f t="shared" si="130"/>
        <v>0.4334236907970857</v>
      </c>
      <c r="AG240" s="61">
        <f t="shared" si="131"/>
        <v>0.10375939291543027</v>
      </c>
      <c r="AH240" s="209"/>
      <c r="AI240" s="209"/>
      <c r="AJ240" s="700"/>
      <c r="AK240" s="701">
        <f t="shared" si="132"/>
        <v>0.71429080050998328</v>
      </c>
      <c r="AL240" s="61">
        <f t="shared" si="133"/>
        <v>0.22202118094997453</v>
      </c>
      <c r="AM240" s="845">
        <f t="shared" si="134"/>
        <v>-0.52384077450535316</v>
      </c>
      <c r="AN240" s="845">
        <f t="shared" si="135"/>
        <v>-0.77832898292840624</v>
      </c>
      <c r="AO240" s="536">
        <f t="shared" si="136"/>
        <v>0.14413077417088871</v>
      </c>
      <c r="AP240" s="552">
        <f t="shared" si="137"/>
        <v>3.8498136864555388E-2</v>
      </c>
      <c r="AQ240" s="827">
        <f t="shared" ref="AQ240:BG240" si="171">AQ82</f>
        <v>53590.591296000006</v>
      </c>
      <c r="AR240" s="827">
        <f t="shared" si="171"/>
        <v>54517.940290000006</v>
      </c>
      <c r="AS240" s="827">
        <f t="shared" si="171"/>
        <v>75944.943970000008</v>
      </c>
      <c r="AT240" s="827">
        <f t="shared" si="171"/>
        <v>80764.717740000007</v>
      </c>
      <c r="AU240" s="827">
        <f t="shared" si="171"/>
        <v>68794.508413000003</v>
      </c>
      <c r="AV240" s="827"/>
      <c r="AW240" s="827">
        <f t="shared" si="171"/>
        <v>898030.17860600003</v>
      </c>
      <c r="AX240" s="827">
        <f t="shared" si="171"/>
        <v>625403.38600300008</v>
      </c>
      <c r="AY240" s="827">
        <f t="shared" si="171"/>
        <v>725827.30012200004</v>
      </c>
      <c r="AZ240" s="827">
        <f t="shared" si="171"/>
        <v>547541.17321499996</v>
      </c>
      <c r="BA240" s="827">
        <f t="shared" si="171"/>
        <v>419107.11249000003</v>
      </c>
      <c r="BB240" s="829">
        <f t="shared" si="171"/>
        <v>-2.1310030185214525E-2</v>
      </c>
      <c r="BC240" s="829">
        <f t="shared" si="171"/>
        <v>5.5843441819111682E-2</v>
      </c>
      <c r="BD240" s="829">
        <f t="shared" si="171"/>
        <v>5.0320591319534119E-2</v>
      </c>
      <c r="BE240" s="829">
        <f t="shared" si="171"/>
        <v>-2.6099380774244157E-2</v>
      </c>
      <c r="BF240" s="829">
        <f t="shared" si="171"/>
        <v>-0.11851532441692673</v>
      </c>
      <c r="BG240" s="829">
        <f t="shared" si="171"/>
        <v>0.40330948935882871</v>
      </c>
    </row>
    <row r="241" spans="1:59" ht="15" customHeight="1">
      <c r="A241" s="449">
        <v>2014</v>
      </c>
      <c r="B241" s="449"/>
      <c r="C241" s="50"/>
      <c r="D241" s="51"/>
      <c r="E241" s="51"/>
      <c r="F241" s="51"/>
      <c r="G241" s="51"/>
      <c r="H241" s="51"/>
      <c r="I241" s="51" t="s">
        <v>140</v>
      </c>
      <c r="J241" s="524" t="s">
        <v>552</v>
      </c>
      <c r="K241" s="543">
        <f t="shared" si="169"/>
        <v>13.465391392161422</v>
      </c>
      <c r="L241" s="543">
        <f t="shared" si="169"/>
        <v>13.264238771822058</v>
      </c>
      <c r="M241" s="543">
        <f t="shared" si="169"/>
        <v>13.081042950353883</v>
      </c>
      <c r="N241" s="543">
        <f t="shared" si="169"/>
        <v>13.149562004389148</v>
      </c>
      <c r="O241" s="543">
        <f t="shared" si="169"/>
        <v>12.500013063619573</v>
      </c>
      <c r="P241" s="149">
        <f t="shared" ref="P241:P272" si="172">P83/K83</f>
        <v>0.77560137457044676</v>
      </c>
      <c r="Q241" s="149">
        <f t="shared" ref="Q241:Q272" si="173">Q83/L83</f>
        <v>0.56239669421487604</v>
      </c>
      <c r="R241" s="149">
        <f t="shared" ref="R241:R272" si="174">R83/M83</f>
        <v>0.70455722423614697</v>
      </c>
      <c r="S241" s="149">
        <f t="shared" ref="S241:S272" si="175">S83/N83</f>
        <v>0.31781000185908159</v>
      </c>
      <c r="T241" s="149">
        <f t="shared" ref="T241:T272" si="176">T83/O83</f>
        <v>0.29631979695431471</v>
      </c>
      <c r="U241" s="51">
        <f t="shared" ref="U241:U272" si="177">U83/Z83</f>
        <v>0.56374107348537206</v>
      </c>
      <c r="V241" s="51">
        <f t="shared" ref="V241:V272" si="178">V83/AA83</f>
        <v>0.61110825404988434</v>
      </c>
      <c r="W241" s="51">
        <f t="shared" ref="W241:W272" si="179">W83/AB83</f>
        <v>0.60278413992087809</v>
      </c>
      <c r="X241" s="51">
        <f t="shared" ref="X241:X272" si="180">X83/AC83</f>
        <v>0.64135469712833515</v>
      </c>
      <c r="Y241" s="51">
        <f t="shared" ref="Y241:Y272" si="181">Y83/AD83</f>
        <v>0.70003002326803276</v>
      </c>
      <c r="Z241" s="51">
        <f t="shared" ref="Z241:Z272" si="182">K83/Z83</f>
        <v>0.13407049067035243</v>
      </c>
      <c r="AA241" s="51">
        <f t="shared" ref="AA241:AA272" si="183">L83/AA83</f>
        <v>0.12445358704037028</v>
      </c>
      <c r="AB241" s="51">
        <f t="shared" ref="AB241:AB272" si="184">M83/AB83</f>
        <v>0.11487551682084536</v>
      </c>
      <c r="AC241" s="51">
        <f t="shared" ref="AC241:AC272" si="185">N83/AC83</f>
        <v>0.10461690065057358</v>
      </c>
      <c r="AD241" s="62">
        <f t="shared" ref="AD241:AD272" si="186">O83/AD83</f>
        <v>5.9145838024468968E-2</v>
      </c>
      <c r="AE241" s="699"/>
      <c r="AF241" s="701">
        <f t="shared" ref="AF241:AF272" si="187">AG83-AE83</f>
        <v>-2.3048881589271999E-2</v>
      </c>
      <c r="AG241" s="61">
        <f t="shared" si="131"/>
        <v>8.6459174139156186E-2</v>
      </c>
      <c r="AH241" s="209"/>
      <c r="AI241" s="209"/>
      <c r="AJ241" s="700"/>
      <c r="AK241" s="701">
        <f t="shared" si="132"/>
        <v>0.13925374026873094</v>
      </c>
      <c r="AL241" s="61">
        <f t="shared" si="133"/>
        <v>0.20861356024815586</v>
      </c>
      <c r="AM241" s="845">
        <f t="shared" si="134"/>
        <v>0.58102988673430878</v>
      </c>
      <c r="AN241" s="845">
        <f t="shared" si="135"/>
        <v>0.96537832854184757</v>
      </c>
      <c r="AO241" s="536">
        <f t="shared" si="136"/>
        <v>-9.7245883347154671E-2</v>
      </c>
      <c r="AP241" s="552">
        <f t="shared" si="137"/>
        <v>-0.13628894978266071</v>
      </c>
      <c r="AQ241" s="827">
        <f t="shared" ref="AQ241:BG241" si="188">AQ83</f>
        <v>2292747.9080000003</v>
      </c>
      <c r="AR241" s="827">
        <f t="shared" si="188"/>
        <v>1800557.5720000002</v>
      </c>
      <c r="AS241" s="827">
        <f t="shared" si="188"/>
        <v>1658914.004</v>
      </c>
      <c r="AT241" s="827">
        <f t="shared" si="188"/>
        <v>1761333.48</v>
      </c>
      <c r="AU241" s="827">
        <f t="shared" si="188"/>
        <v>1360944.1310000001</v>
      </c>
      <c r="AV241" s="827"/>
      <c r="AW241" s="827">
        <f t="shared" si="188"/>
        <v>2325556.7940000002</v>
      </c>
      <c r="AX241" s="827">
        <f t="shared" si="188"/>
        <v>2362130.5730000003</v>
      </c>
      <c r="AY241" s="827">
        <f t="shared" si="188"/>
        <v>2082524.6640000001</v>
      </c>
      <c r="AZ241" s="827">
        <f t="shared" si="188"/>
        <v>2606547.4934999999</v>
      </c>
      <c r="BA241" s="827">
        <f t="shared" si="188"/>
        <v>2603552.6970000002</v>
      </c>
      <c r="BB241" s="829">
        <f t="shared" si="188"/>
        <v>3.0540841017592045E-2</v>
      </c>
      <c r="BC241" s="829">
        <f t="shared" si="188"/>
        <v>6.2644671507881736E-2</v>
      </c>
      <c r="BD241" s="829">
        <f t="shared" si="188"/>
        <v>0.16231209735146743</v>
      </c>
      <c r="BE241" s="829">
        <f t="shared" si="188"/>
        <v>0.10147671340725888</v>
      </c>
      <c r="BF241" s="829">
        <f t="shared" si="188"/>
        <v>0.1073686183730679</v>
      </c>
      <c r="BG241" s="829">
        <f t="shared" si="188"/>
        <v>0.17635188960075499</v>
      </c>
    </row>
    <row r="242" spans="1:59" ht="15" customHeight="1">
      <c r="A242" s="449">
        <v>2014</v>
      </c>
      <c r="B242" s="449"/>
      <c r="C242" s="50"/>
      <c r="D242" s="51"/>
      <c r="E242" s="51"/>
      <c r="F242" s="51"/>
      <c r="G242" s="51"/>
      <c r="H242" s="51"/>
      <c r="I242" s="51" t="s">
        <v>140</v>
      </c>
      <c r="J242" s="524" t="s">
        <v>553</v>
      </c>
      <c r="K242" s="543">
        <f t="shared" si="169"/>
        <v>12.876211592348891</v>
      </c>
      <c r="L242" s="543">
        <f t="shared" si="169"/>
        <v>12.786051999739421</v>
      </c>
      <c r="M242" s="543">
        <f t="shared" si="169"/>
        <v>12.9072941743581</v>
      </c>
      <c r="N242" s="543">
        <f t="shared" si="169"/>
        <v>13.058077150357926</v>
      </c>
      <c r="O242" s="543">
        <f t="shared" si="169"/>
        <v>12.832199479471225</v>
      </c>
      <c r="P242" s="149">
        <f t="shared" si="172"/>
        <v>0.12423966313515228</v>
      </c>
      <c r="Q242" s="149">
        <f t="shared" si="173"/>
        <v>0.10028440043768271</v>
      </c>
      <c r="R242" s="149">
        <f t="shared" si="174"/>
        <v>8.6061733027483933E-2</v>
      </c>
      <c r="S242" s="149">
        <f t="shared" si="175"/>
        <v>8.6420654308894507E-2</v>
      </c>
      <c r="T242" s="149">
        <f t="shared" si="176"/>
        <v>8.4471115594065269E-2</v>
      </c>
      <c r="U242" s="51">
        <f t="shared" si="177"/>
        <v>0.55004189219866817</v>
      </c>
      <c r="V242" s="51">
        <f t="shared" si="178"/>
        <v>0.57882440983781014</v>
      </c>
      <c r="W242" s="51">
        <f t="shared" si="179"/>
        <v>0.59219876932970617</v>
      </c>
      <c r="X242" s="51">
        <f t="shared" si="180"/>
        <v>0.6045700812520397</v>
      </c>
      <c r="Y242" s="51">
        <f t="shared" si="181"/>
        <v>0.62160081435895609</v>
      </c>
      <c r="Z242" s="51">
        <f t="shared" si="182"/>
        <v>0.50831593991074964</v>
      </c>
      <c r="AA242" s="51">
        <f t="shared" si="183"/>
        <v>0.46817057913180632</v>
      </c>
      <c r="AB242" s="51">
        <f t="shared" si="184"/>
        <v>0.5192782349887578</v>
      </c>
      <c r="AC242" s="51">
        <f t="shared" si="185"/>
        <v>0.47395065272622061</v>
      </c>
      <c r="AD242" s="62">
        <f t="shared" si="186"/>
        <v>0.36800997814182568</v>
      </c>
      <c r="AE242" s="699"/>
      <c r="AF242" s="701">
        <f t="shared" si="187"/>
        <v>-1.8463016314154292E-2</v>
      </c>
      <c r="AG242" s="61">
        <f t="shared" si="131"/>
        <v>3.2066787737352248E-2</v>
      </c>
      <c r="AH242" s="209"/>
      <c r="AI242" s="209"/>
      <c r="AJ242" s="700"/>
      <c r="AK242" s="701">
        <f t="shared" si="132"/>
        <v>1.4202302325452359E-2</v>
      </c>
      <c r="AL242" s="61">
        <f t="shared" si="133"/>
        <v>6.1693736738827984E-2</v>
      </c>
      <c r="AM242" s="845">
        <f t="shared" si="134"/>
        <v>7.5094694886874688E-2</v>
      </c>
      <c r="AN242" s="845">
        <f t="shared" si="135"/>
        <v>4.4012112877666175E-2</v>
      </c>
      <c r="AO242" s="536">
        <f t="shared" si="136"/>
        <v>-2.9402045029249924E-2</v>
      </c>
      <c r="AP242" s="552">
        <f t="shared" si="137"/>
        <v>-7.1558922160287919E-2</v>
      </c>
      <c r="AQ242" s="827">
        <f t="shared" ref="AQ242:BG242" si="189">AQ84</f>
        <v>346023.819372</v>
      </c>
      <c r="AR242" s="827">
        <f t="shared" si="189"/>
        <v>321344.52411600004</v>
      </c>
      <c r="AS242" s="827">
        <f t="shared" si="189"/>
        <v>316675.925392</v>
      </c>
      <c r="AT242" s="827">
        <f t="shared" si="189"/>
        <v>391189.55511000002</v>
      </c>
      <c r="AU242" s="827">
        <f t="shared" si="189"/>
        <v>384630.76926199999</v>
      </c>
      <c r="AV242" s="827"/>
      <c r="AW242" s="827">
        <f t="shared" si="189"/>
        <v>240888.04685000001</v>
      </c>
      <c r="AX242" s="827">
        <f t="shared" si="189"/>
        <v>262601.27380299999</v>
      </c>
      <c r="AY242" s="827">
        <f t="shared" si="189"/>
        <v>261981.702112</v>
      </c>
      <c r="AZ242" s="827">
        <f t="shared" si="189"/>
        <v>328124.45585999999</v>
      </c>
      <c r="BA242" s="827">
        <f t="shared" si="189"/>
        <v>404265.44890100003</v>
      </c>
      <c r="BB242" s="829">
        <f t="shared" si="189"/>
        <v>7.8161885825018956E-2</v>
      </c>
      <c r="BC242" s="829">
        <f t="shared" si="189"/>
        <v>0.12348943404355243</v>
      </c>
      <c r="BD242" s="829">
        <f t="shared" si="189"/>
        <v>0.1324664092195407</v>
      </c>
      <c r="BE242" s="829">
        <f t="shared" si="189"/>
        <v>0.10365896864578437</v>
      </c>
      <c r="BF242" s="829">
        <f t="shared" si="189"/>
        <v>0.11906079431587607</v>
      </c>
      <c r="BG242" s="829">
        <f t="shared" si="189"/>
        <v>0.11843212736396233</v>
      </c>
    </row>
    <row r="243" spans="1:59" ht="15" customHeight="1">
      <c r="A243" s="535">
        <v>2014</v>
      </c>
      <c r="B243" s="449"/>
      <c r="C243" s="50"/>
      <c r="D243" s="51"/>
      <c r="E243" s="51"/>
      <c r="F243" s="51"/>
      <c r="G243" s="51"/>
      <c r="H243" s="51"/>
      <c r="I243" s="51" t="s">
        <v>141</v>
      </c>
      <c r="J243" s="524" t="s">
        <v>540</v>
      </c>
      <c r="K243" s="543">
        <f t="shared" si="169"/>
        <v>15.189488127871122</v>
      </c>
      <c r="L243" s="543">
        <f t="shared" si="169"/>
        <v>15.101458754970468</v>
      </c>
      <c r="M243" s="543">
        <f t="shared" si="169"/>
        <v>14.968393205163625</v>
      </c>
      <c r="N243" s="543">
        <f t="shared" si="169"/>
        <v>15.012259633875884</v>
      </c>
      <c r="O243" s="543">
        <f t="shared" si="169"/>
        <v>15.105893508576877</v>
      </c>
      <c r="P243" s="149">
        <f t="shared" si="172"/>
        <v>1.6739664417045153E-2</v>
      </c>
      <c r="Q243" s="149">
        <f t="shared" si="173"/>
        <v>1.6416641123773078E-2</v>
      </c>
      <c r="R243" s="149">
        <f t="shared" si="174"/>
        <v>1.408387559159034E-2</v>
      </c>
      <c r="S243" s="149">
        <f t="shared" si="175"/>
        <v>1.7447280289338573E-2</v>
      </c>
      <c r="T243" s="149">
        <f t="shared" si="176"/>
        <v>1.2291913054341312E-2</v>
      </c>
      <c r="U243" s="51">
        <f t="shared" si="177"/>
        <v>0.773851522028836</v>
      </c>
      <c r="V243" s="51">
        <f t="shared" si="178"/>
        <v>0.7621883369922634</v>
      </c>
      <c r="W243" s="51">
        <f t="shared" si="179"/>
        <v>0.17041711312292679</v>
      </c>
      <c r="X243" s="51">
        <f t="shared" si="180"/>
        <v>0.71884582741324698</v>
      </c>
      <c r="Y243" s="51">
        <f t="shared" si="181"/>
        <v>0.68421653307304819</v>
      </c>
      <c r="Z243" s="51">
        <f t="shared" si="182"/>
        <v>2.1748573089365424</v>
      </c>
      <c r="AA243" s="51">
        <f t="shared" si="183"/>
        <v>2.317775994044923</v>
      </c>
      <c r="AB243" s="51">
        <f t="shared" si="184"/>
        <v>2.0321897636936423</v>
      </c>
      <c r="AC243" s="51">
        <f t="shared" si="185"/>
        <v>1.9477963152832989</v>
      </c>
      <c r="AD243" s="62">
        <f t="shared" si="186"/>
        <v>1.9750613168350786</v>
      </c>
      <c r="AE243" s="699"/>
      <c r="AF243" s="701">
        <f t="shared" si="187"/>
        <v>-7.7852736961909821E-3</v>
      </c>
      <c r="AG243" s="61">
        <f t="shared" si="131"/>
        <v>1.2129099523025967E-2</v>
      </c>
      <c r="AH243" s="209"/>
      <c r="AI243" s="209"/>
      <c r="AJ243" s="700"/>
      <c r="AK243" s="701">
        <f t="shared" si="132"/>
        <v>3.1856673893944018E-2</v>
      </c>
      <c r="AL243" s="61">
        <f t="shared" si="133"/>
        <v>1.6210088825276094</v>
      </c>
      <c r="AM243" s="845">
        <f t="shared" si="134"/>
        <v>-0.13750030341325148</v>
      </c>
      <c r="AN243" s="845">
        <f t="shared" si="135"/>
        <v>8.3594619294245304E-2</v>
      </c>
      <c r="AO243" s="536">
        <f t="shared" si="136"/>
        <v>-0.51379941995012146</v>
      </c>
      <c r="AP243" s="552">
        <f t="shared" si="137"/>
        <v>8.9634988955787809E-2</v>
      </c>
      <c r="AQ243" s="827">
        <f t="shared" ref="AQ243:BG243" si="190">AQ85</f>
        <v>41084</v>
      </c>
      <c r="AR243" s="827">
        <f t="shared" si="190"/>
        <v>37123</v>
      </c>
      <c r="AS243" s="827">
        <f t="shared" si="190"/>
        <v>395006</v>
      </c>
      <c r="AT243" s="827">
        <f t="shared" si="190"/>
        <v>477685</v>
      </c>
      <c r="AU243" s="827">
        <f t="shared" si="190"/>
        <v>581053</v>
      </c>
      <c r="AV243" s="827"/>
      <c r="AW243" s="827">
        <f t="shared" si="190"/>
        <v>49695</v>
      </c>
      <c r="AX243" s="827">
        <f t="shared" si="190"/>
        <v>156381</v>
      </c>
      <c r="AY243" s="827">
        <f t="shared" si="190"/>
        <v>165834</v>
      </c>
      <c r="AZ243" s="827">
        <f t="shared" si="190"/>
        <v>184522</v>
      </c>
      <c r="BA243" s="827">
        <f t="shared" si="190"/>
        <v>205461</v>
      </c>
      <c r="BB243" s="829">
        <f t="shared" si="190"/>
        <v>0.21741839083816394</v>
      </c>
      <c r="BC243" s="829">
        <f t="shared" si="190"/>
        <v>0.31291119758077629</v>
      </c>
      <c r="BD243" s="829">
        <f t="shared" si="190"/>
        <v>0.26899188344971475</v>
      </c>
      <c r="BE243" s="829">
        <f t="shared" si="190"/>
        <v>0.6828726325839003</v>
      </c>
      <c r="BF243" s="829">
        <f t="shared" si="190"/>
        <v>0.30222533757873338</v>
      </c>
      <c r="BG243" s="829">
        <f t="shared" si="190"/>
        <v>0.16927906694292408</v>
      </c>
    </row>
    <row r="244" spans="1:59" ht="15" customHeight="1">
      <c r="A244" s="535">
        <v>2014</v>
      </c>
      <c r="B244" s="449"/>
      <c r="C244" s="50"/>
      <c r="D244" s="51"/>
      <c r="E244" s="51"/>
      <c r="F244" s="51"/>
      <c r="G244" s="51"/>
      <c r="H244" s="51"/>
      <c r="I244" s="51" t="s">
        <v>141</v>
      </c>
      <c r="J244" s="524" t="s">
        <v>1047</v>
      </c>
      <c r="K244" s="543">
        <f t="shared" si="169"/>
        <v>9.8821617658213761</v>
      </c>
      <c r="L244" s="543">
        <f t="shared" si="169"/>
        <v>11.947211238886586</v>
      </c>
      <c r="M244" s="543">
        <f t="shared" si="169"/>
        <v>11.849604822997465</v>
      </c>
      <c r="N244" s="543">
        <f t="shared" si="169"/>
        <v>11.935260800514463</v>
      </c>
      <c r="O244" s="543">
        <f t="shared" si="169"/>
        <v>12.117640259385096</v>
      </c>
      <c r="P244" s="149">
        <f t="shared" si="172"/>
        <v>0.68827255082235161</v>
      </c>
      <c r="Q244" s="149">
        <f t="shared" si="173"/>
        <v>5.9279986527275792E-2</v>
      </c>
      <c r="R244" s="149">
        <f t="shared" si="174"/>
        <v>5.9694777510372853E-2</v>
      </c>
      <c r="S244" s="149">
        <f t="shared" si="175"/>
        <v>4.9176674183229324E-2</v>
      </c>
      <c r="T244" s="149">
        <f t="shared" si="176"/>
        <v>6.1702162525331422E-2</v>
      </c>
      <c r="U244" s="51">
        <f t="shared" si="177"/>
        <v>0.65780349768011015</v>
      </c>
      <c r="V244" s="51">
        <f t="shared" si="178"/>
        <v>0.67129368998407613</v>
      </c>
      <c r="W244" s="51">
        <f t="shared" si="179"/>
        <v>0.6408523437641559</v>
      </c>
      <c r="X244" s="51">
        <f t="shared" si="180"/>
        <v>6.5657304304470667</v>
      </c>
      <c r="Y244" s="51">
        <f t="shared" si="181"/>
        <v>0.64118313473376742</v>
      </c>
      <c r="Z244" s="51">
        <f t="shared" si="182"/>
        <v>0.24955386733289145</v>
      </c>
      <c r="AA244" s="51">
        <f t="shared" si="183"/>
        <v>2.4832478165060881</v>
      </c>
      <c r="AB244" s="51">
        <f t="shared" si="184"/>
        <v>2.5372628603526066</v>
      </c>
      <c r="AC244" s="51">
        <f t="shared" si="185"/>
        <v>25.353498421140102</v>
      </c>
      <c r="AD244" s="62">
        <f t="shared" si="186"/>
        <v>2.498846621077488</v>
      </c>
      <c r="AE244" s="699"/>
      <c r="AF244" s="701">
        <f t="shared" si="187"/>
        <v>-2.0299734902710864E-2</v>
      </c>
      <c r="AG244" s="61">
        <f t="shared" si="131"/>
        <v>1.7576836497193493E-2</v>
      </c>
      <c r="AH244" s="209"/>
      <c r="AI244" s="209"/>
      <c r="AJ244" s="700"/>
      <c r="AK244" s="701">
        <f t="shared" si="132"/>
        <v>0.29890397707503835</v>
      </c>
      <c r="AL244" s="61">
        <f t="shared" si="133"/>
        <v>0.13065640896244957</v>
      </c>
      <c r="AM244" s="845">
        <f t="shared" si="134"/>
        <v>-0.26803543638763216</v>
      </c>
      <c r="AN244" s="845">
        <f t="shared" si="135"/>
        <v>-2.2354784935637215</v>
      </c>
      <c r="AO244" s="536">
        <f t="shared" si="136"/>
        <v>-3.3079096961152743E-4</v>
      </c>
      <c r="AP244" s="552">
        <f t="shared" si="137"/>
        <v>1.6620362946342726E-2</v>
      </c>
      <c r="AQ244" s="827">
        <f t="shared" ref="AQ244:BG244" si="191">AQ86</f>
        <v>26846</v>
      </c>
      <c r="AR244" s="827">
        <f t="shared" si="191"/>
        <v>20436</v>
      </c>
      <c r="AS244" s="827">
        <f t="shared" si="191"/>
        <v>1982</v>
      </c>
      <c r="AT244" s="827">
        <f t="shared" si="191"/>
        <v>20664</v>
      </c>
      <c r="AU244" s="827">
        <f t="shared" si="191"/>
        <v>26288</v>
      </c>
      <c r="AV244" s="827"/>
      <c r="AW244" s="827">
        <f t="shared" si="191"/>
        <v>27</v>
      </c>
      <c r="AX244" s="827">
        <f t="shared" si="191"/>
        <v>183</v>
      </c>
      <c r="AY244" s="827">
        <f t="shared" si="191"/>
        <v>32</v>
      </c>
      <c r="AZ244" s="827">
        <f t="shared" si="191"/>
        <v>90</v>
      </c>
      <c r="BA244" s="827">
        <f t="shared" si="191"/>
        <v>0</v>
      </c>
      <c r="BB244" s="829" t="e">
        <f t="shared" si="191"/>
        <v>#DIV/0!</v>
      </c>
      <c r="BC244" s="829">
        <f t="shared" si="191"/>
        <v>83.355555555555554</v>
      </c>
      <c r="BD244" s="829">
        <f t="shared" si="191"/>
        <v>261.21875</v>
      </c>
      <c r="BE244" s="829" t="e">
        <f t="shared" si="191"/>
        <v>#DIV/0!</v>
      </c>
      <c r="BF244" s="829">
        <f t="shared" si="191"/>
        <v>55.009414326329818</v>
      </c>
      <c r="BG244" s="829">
        <f t="shared" si="191"/>
        <v>247.39619613547953</v>
      </c>
    </row>
    <row r="245" spans="1:59" ht="15" customHeight="1">
      <c r="A245" s="535">
        <v>2014</v>
      </c>
      <c r="B245" s="449"/>
      <c r="C245" s="50"/>
      <c r="D245" s="51"/>
      <c r="E245" s="51"/>
      <c r="F245" s="51"/>
      <c r="G245" s="51"/>
      <c r="H245" s="51"/>
      <c r="I245" s="51" t="s">
        <v>141</v>
      </c>
      <c r="J245" s="524" t="s">
        <v>1048</v>
      </c>
      <c r="K245" s="543">
        <f t="shared" si="169"/>
        <v>10.965764295283641</v>
      </c>
      <c r="L245" s="543">
        <f t="shared" si="169"/>
        <v>10.80525330579372</v>
      </c>
      <c r="M245" s="543">
        <f t="shared" si="169"/>
        <v>8.5055253865485554</v>
      </c>
      <c r="N245" s="543">
        <f t="shared" si="169"/>
        <v>10.988659928837535</v>
      </c>
      <c r="O245" s="543">
        <f t="shared" si="169"/>
        <v>11.245202870258051</v>
      </c>
      <c r="P245" s="149">
        <f t="shared" si="172"/>
        <v>6.2393058988230006E-2</v>
      </c>
      <c r="Q245" s="149">
        <f t="shared" si="173"/>
        <v>5.957913107002983E-2</v>
      </c>
      <c r="R245" s="149">
        <f t="shared" si="174"/>
        <v>0.30008093889113718</v>
      </c>
      <c r="S245" s="149">
        <f t="shared" si="175"/>
        <v>-1.1081268264666632E-2</v>
      </c>
      <c r="T245" s="149">
        <f t="shared" si="176"/>
        <v>3.3968527812630697E-2</v>
      </c>
      <c r="U245" s="51">
        <f t="shared" si="177"/>
        <v>0.76311544665488906</v>
      </c>
      <c r="V245" s="51">
        <f t="shared" si="178"/>
        <v>0.74023993074164163</v>
      </c>
      <c r="W245" s="51">
        <f t="shared" si="179"/>
        <v>0.74714338370807221</v>
      </c>
      <c r="X245" s="51">
        <f t="shared" si="180"/>
        <v>0.73961139245052621</v>
      </c>
      <c r="Y245" s="51">
        <f t="shared" si="181"/>
        <v>0.60501671316887207</v>
      </c>
      <c r="Z245" s="51">
        <f t="shared" si="182"/>
        <v>2.2220984714647822</v>
      </c>
      <c r="AA245" s="51">
        <f t="shared" si="183"/>
        <v>2.0315372882054663</v>
      </c>
      <c r="AB245" s="51">
        <f t="shared" si="184"/>
        <v>0.20239996723594217</v>
      </c>
      <c r="AC245" s="51">
        <f t="shared" si="185"/>
        <v>2.1261717487339724</v>
      </c>
      <c r="AD245" s="62">
        <f t="shared" si="186"/>
        <v>2.1136495483300646</v>
      </c>
      <c r="AE245" s="699"/>
      <c r="AF245" s="701">
        <f t="shared" si="187"/>
        <v>-7.7907148808060961E-2</v>
      </c>
      <c r="AG245" s="61">
        <f t="shared" si="131"/>
        <v>6.6845957539153789E-2</v>
      </c>
      <c r="AH245" s="209"/>
      <c r="AI245" s="209"/>
      <c r="AJ245" s="700"/>
      <c r="AK245" s="701">
        <f t="shared" si="132"/>
        <v>3.0563034239402681E-2</v>
      </c>
      <c r="AL245" s="61">
        <f t="shared" si="133"/>
        <v>0.38866794484601253</v>
      </c>
      <c r="AM245" s="845">
        <f t="shared" si="134"/>
        <v>-2.7396774837094959</v>
      </c>
      <c r="AN245" s="845">
        <f t="shared" si="135"/>
        <v>-0.2794385749744106</v>
      </c>
      <c r="AO245" s="536">
        <f t="shared" si="136"/>
        <v>0.14212667053920014</v>
      </c>
      <c r="AP245" s="552">
        <f t="shared" si="137"/>
        <v>0.158098733486017</v>
      </c>
      <c r="AQ245" s="827">
        <f t="shared" ref="AQ245:BG245" si="192">AQ87</f>
        <v>6168</v>
      </c>
      <c r="AR245" s="827">
        <f t="shared" si="192"/>
        <v>6301</v>
      </c>
      <c r="AS245" s="827">
        <f t="shared" si="192"/>
        <v>6175</v>
      </c>
      <c r="AT245" s="827">
        <f t="shared" si="192"/>
        <v>7250</v>
      </c>
      <c r="AU245" s="827">
        <f t="shared" si="192"/>
        <v>14299</v>
      </c>
      <c r="AV245" s="827"/>
      <c r="AW245" s="827">
        <f t="shared" si="192"/>
        <v>828</v>
      </c>
      <c r="AX245" s="827">
        <f t="shared" si="192"/>
        <v>2356</v>
      </c>
      <c r="AY245" s="827">
        <f t="shared" si="192"/>
        <v>2557</v>
      </c>
      <c r="AZ245" s="827">
        <f t="shared" si="192"/>
        <v>2158</v>
      </c>
      <c r="BA245" s="827">
        <f t="shared" si="192"/>
        <v>2603</v>
      </c>
      <c r="BB245" s="829">
        <f t="shared" si="192"/>
        <v>0.99846331156358048</v>
      </c>
      <c r="BC245" s="829">
        <f t="shared" si="192"/>
        <v>-0.303985171455051</v>
      </c>
      <c r="BD245" s="829">
        <f t="shared" si="192"/>
        <v>0.57997653500195545</v>
      </c>
      <c r="BE245" s="829">
        <f t="shared" si="192"/>
        <v>0.83278952717067944</v>
      </c>
      <c r="BF245" s="829">
        <f t="shared" si="192"/>
        <v>-0.10227543718091589</v>
      </c>
      <c r="BG245" s="829">
        <f t="shared" si="192"/>
        <v>0.48917853478955381</v>
      </c>
    </row>
    <row r="246" spans="1:59" ht="15" customHeight="1">
      <c r="A246" s="535">
        <v>2014</v>
      </c>
      <c r="B246" s="449"/>
      <c r="C246" s="50"/>
      <c r="D246" s="51"/>
      <c r="E246" s="51"/>
      <c r="F246" s="51"/>
      <c r="G246" s="51"/>
      <c r="H246" s="51"/>
      <c r="I246" s="51" t="s">
        <v>141</v>
      </c>
      <c r="J246" s="524" t="s">
        <v>1049</v>
      </c>
      <c r="K246" s="543">
        <f t="shared" si="169"/>
        <v>7.6722924556287557</v>
      </c>
      <c r="L246" s="543">
        <f t="shared" si="169"/>
        <v>6.62273632394984</v>
      </c>
      <c r="M246" s="543">
        <f t="shared" si="169"/>
        <v>6.3261494731550991</v>
      </c>
      <c r="N246" s="543">
        <f t="shared" si="169"/>
        <v>10.923904038063169</v>
      </c>
      <c r="O246" s="543">
        <f t="shared" si="169"/>
        <v>8.8424600241952902</v>
      </c>
      <c r="P246" s="149">
        <f t="shared" si="172"/>
        <v>-2.6927374301675977</v>
      </c>
      <c r="Q246" s="149">
        <f t="shared" si="173"/>
        <v>-6.4760638297872344</v>
      </c>
      <c r="R246" s="149">
        <f t="shared" si="174"/>
        <v>-3.7513416815742398</v>
      </c>
      <c r="S246" s="149">
        <f t="shared" si="175"/>
        <v>-4.1649395353866671E-2</v>
      </c>
      <c r="T246" s="149">
        <f t="shared" si="176"/>
        <v>-5.3452759318116154E-2</v>
      </c>
      <c r="U246" s="51">
        <f t="shared" si="177"/>
        <v>0.60067380103051926</v>
      </c>
      <c r="V246" s="51">
        <f t="shared" si="178"/>
        <v>0.47135416666666669</v>
      </c>
      <c r="W246" s="51">
        <f t="shared" si="179"/>
        <v>1.0154798761609907</v>
      </c>
      <c r="X246" s="51">
        <f t="shared" si="180"/>
        <v>0.43841619483440625</v>
      </c>
      <c r="Y246" s="51">
        <f t="shared" si="181"/>
        <v>0.36798548094373867</v>
      </c>
      <c r="Z246" s="51">
        <f t="shared" si="182"/>
        <v>0.42568370986920334</v>
      </c>
      <c r="AA246" s="51">
        <f t="shared" si="183"/>
        <v>0.65277777777777779</v>
      </c>
      <c r="AB246" s="51">
        <f t="shared" si="184"/>
        <v>0.8653250773993808</v>
      </c>
      <c r="AC246" s="51">
        <f t="shared" si="185"/>
        <v>1.0759132862793763</v>
      </c>
      <c r="AD246" s="62">
        <f t="shared" si="186"/>
        <v>0.10050090744101633</v>
      </c>
      <c r="AE246" s="699"/>
      <c r="AF246" s="701">
        <f t="shared" si="187"/>
        <v>-2.099875571982345</v>
      </c>
      <c r="AG246" s="61">
        <f t="shared" si="131"/>
        <v>-1.1408824081607107</v>
      </c>
      <c r="AH246" s="209"/>
      <c r="AI246" s="209"/>
      <c r="AJ246" s="700"/>
      <c r="AK246" s="701">
        <f t="shared" si="132"/>
        <v>-0.13442057268251476</v>
      </c>
      <c r="AL246" s="61">
        <f t="shared" si="133"/>
        <v>12.52992040548825</v>
      </c>
      <c r="AM246" s="845">
        <f t="shared" si="134"/>
        <v>-2.5163105510401902</v>
      </c>
      <c r="AN246" s="845">
        <f t="shared" si="135"/>
        <v>-1.1701675685665343</v>
      </c>
      <c r="AO246" s="536">
        <f t="shared" si="136"/>
        <v>0.64749439521725205</v>
      </c>
      <c r="AP246" s="552">
        <f t="shared" si="137"/>
        <v>0.23268832008678059</v>
      </c>
      <c r="AQ246" s="827">
        <f t="shared" ref="AQ246:BG246" si="193">AQ88</f>
        <v>2014</v>
      </c>
      <c r="AR246" s="827">
        <f t="shared" si="193"/>
        <v>-2938</v>
      </c>
      <c r="AS246" s="827">
        <f t="shared" si="193"/>
        <v>-10</v>
      </c>
      <c r="AT246" s="827">
        <f t="shared" si="193"/>
        <v>28962</v>
      </c>
      <c r="AU246" s="827">
        <f t="shared" si="193"/>
        <v>37788</v>
      </c>
      <c r="AV246" s="827"/>
      <c r="AW246" s="827">
        <f t="shared" si="193"/>
        <v>110</v>
      </c>
      <c r="AX246" s="827">
        <f t="shared" si="193"/>
        <v>149</v>
      </c>
      <c r="AY246" s="827">
        <f t="shared" si="193"/>
        <v>0</v>
      </c>
      <c r="AZ246" s="827">
        <f t="shared" si="193"/>
        <v>2513</v>
      </c>
      <c r="BA246" s="827">
        <f t="shared" si="193"/>
        <v>58</v>
      </c>
      <c r="BB246" s="829">
        <f t="shared" si="193"/>
        <v>-6.3793103448275863</v>
      </c>
      <c r="BC246" s="829">
        <f t="shared" si="193"/>
        <v>-0.9196179864703542</v>
      </c>
      <c r="BD246" s="829" t="e">
        <f t="shared" si="193"/>
        <v>#DIV/0!</v>
      </c>
      <c r="BE246" s="829">
        <f t="shared" si="193"/>
        <v>4.9324839494475885</v>
      </c>
      <c r="BF246" s="829">
        <f t="shared" si="193"/>
        <v>1.4522608986014887</v>
      </c>
      <c r="BG246" s="829" t="e">
        <f t="shared" si="193"/>
        <v>#DIV/0!</v>
      </c>
    </row>
    <row r="247" spans="1:59" ht="15" customHeight="1">
      <c r="A247" s="535">
        <v>2014</v>
      </c>
      <c r="B247" s="535"/>
      <c r="C247" s="411"/>
      <c r="D247" s="536"/>
      <c r="E247" s="536"/>
      <c r="F247" s="536"/>
      <c r="G247" s="536"/>
      <c r="H247" s="536"/>
      <c r="I247" s="562" t="s">
        <v>141</v>
      </c>
      <c r="J247" s="524" t="s">
        <v>524</v>
      </c>
      <c r="K247" s="543">
        <f t="shared" si="169"/>
        <v>12.945626198904275</v>
      </c>
      <c r="L247" s="543">
        <f t="shared" si="169"/>
        <v>13.193753373491001</v>
      </c>
      <c r="M247" s="543">
        <f t="shared" si="169"/>
        <v>13.331002242515657</v>
      </c>
      <c r="N247" s="543">
        <f t="shared" si="169"/>
        <v>13.083622549087899</v>
      </c>
      <c r="O247" s="543">
        <f t="shared" si="169"/>
        <v>12.611871031428459</v>
      </c>
      <c r="P247" s="149">
        <f t="shared" si="172"/>
        <v>-0.15966587112171837</v>
      </c>
      <c r="Q247" s="149">
        <f t="shared" si="173"/>
        <v>-0.11731843575418995</v>
      </c>
      <c r="R247" s="149">
        <f t="shared" si="174"/>
        <v>-8.1168831168831168E-2</v>
      </c>
      <c r="S247" s="149">
        <f t="shared" si="175"/>
        <v>-0.12266112266112267</v>
      </c>
      <c r="T247" s="149">
        <f t="shared" si="176"/>
        <v>0.20093302232589136</v>
      </c>
      <c r="U247" s="51">
        <f t="shared" si="177"/>
        <v>0.26484448633364749</v>
      </c>
      <c r="V247" s="51">
        <f t="shared" si="178"/>
        <v>0.37873357228195936</v>
      </c>
      <c r="W247" s="51">
        <f t="shared" si="179"/>
        <v>0.6085997794928335</v>
      </c>
      <c r="X247" s="51">
        <f t="shared" si="180"/>
        <v>0.54691358024691361</v>
      </c>
      <c r="Y247" s="51">
        <f t="shared" si="181"/>
        <v>0.41080472706809229</v>
      </c>
      <c r="Z247" s="51">
        <f t="shared" si="182"/>
        <v>0.65818410304743957</v>
      </c>
      <c r="AA247" s="51">
        <f t="shared" si="183"/>
        <v>0.64157706093189959</v>
      </c>
      <c r="AB247" s="51">
        <f t="shared" si="184"/>
        <v>0.67916207276736495</v>
      </c>
      <c r="AC247" s="51">
        <f t="shared" si="185"/>
        <v>0.59382716049382711</v>
      </c>
      <c r="AD247" s="62">
        <f t="shared" si="186"/>
        <v>0.56293378353029455</v>
      </c>
      <c r="AE247" s="699"/>
      <c r="AF247" s="701">
        <f t="shared" si="187"/>
        <v>4.9962746550808609E-2</v>
      </c>
      <c r="AG247" s="61">
        <f t="shared" si="131"/>
        <v>-0.21820152466562745</v>
      </c>
      <c r="AH247" s="209"/>
      <c r="AI247" s="209"/>
      <c r="AJ247" s="700"/>
      <c r="AK247" s="701">
        <f t="shared" si="132"/>
        <v>-0.40199552501759672</v>
      </c>
      <c r="AL247" s="61">
        <f t="shared" si="133"/>
        <v>-0.39891647110751788</v>
      </c>
      <c r="AM247" s="845">
        <f t="shared" si="134"/>
        <v>0.71913121108719835</v>
      </c>
      <c r="AN247" s="845">
        <f t="shared" si="135"/>
        <v>0.33375516747581624</v>
      </c>
      <c r="AO247" s="536">
        <f t="shared" si="136"/>
        <v>0.19779505242474121</v>
      </c>
      <c r="AP247" s="552">
        <f t="shared" si="137"/>
        <v>-0.1459602407344448</v>
      </c>
      <c r="AQ247" s="827">
        <f t="shared" ref="AQ247:BG247" si="194">AQ89</f>
        <v>468000</v>
      </c>
      <c r="AR247" s="827">
        <f t="shared" si="194"/>
        <v>520000</v>
      </c>
      <c r="AS247" s="827">
        <f t="shared" si="194"/>
        <v>355000</v>
      </c>
      <c r="AT247" s="827">
        <f t="shared" si="194"/>
        <v>367000</v>
      </c>
      <c r="AU247" s="827">
        <f t="shared" si="194"/>
        <v>313900</v>
      </c>
      <c r="AV247" s="827"/>
      <c r="AW247" s="827">
        <f t="shared" si="194"/>
        <v>38800</v>
      </c>
      <c r="AX247" s="827">
        <f t="shared" si="194"/>
        <v>166000</v>
      </c>
      <c r="AY247" s="827">
        <f t="shared" si="194"/>
        <v>229000</v>
      </c>
      <c r="AZ247" s="827">
        <f t="shared" si="194"/>
        <v>203000</v>
      </c>
      <c r="BA247" s="827">
        <f t="shared" si="194"/>
        <v>74900</v>
      </c>
      <c r="BB247" s="829">
        <f t="shared" si="194"/>
        <v>0.80507343124165553</v>
      </c>
      <c r="BC247" s="829">
        <f t="shared" si="194"/>
        <v>-0.29064039408866993</v>
      </c>
      <c r="BD247" s="829">
        <f t="shared" si="194"/>
        <v>-0.2183406113537118</v>
      </c>
      <c r="BE247" s="829">
        <f t="shared" si="194"/>
        <v>0.25108114500031431</v>
      </c>
      <c r="BF247" s="829">
        <f t="shared" si="194"/>
        <v>-0.22419962293985282</v>
      </c>
      <c r="BG247" s="829">
        <f t="shared" si="194"/>
        <v>-0.18709260478114775</v>
      </c>
    </row>
    <row r="248" spans="1:59" ht="15" customHeight="1">
      <c r="A248" s="449">
        <v>2014</v>
      </c>
      <c r="B248" s="449"/>
      <c r="C248" s="50"/>
      <c r="D248" s="51"/>
      <c r="E248" s="51"/>
      <c r="F248" s="51"/>
      <c r="G248" s="51"/>
      <c r="H248" s="51"/>
      <c r="I248" s="51" t="s">
        <v>141</v>
      </c>
      <c r="J248" s="524" t="s">
        <v>522</v>
      </c>
      <c r="K248" s="543">
        <f t="shared" si="169"/>
        <v>11.654352416517556</v>
      </c>
      <c r="L248" s="543">
        <f t="shared" si="169"/>
        <v>11.800800939703583</v>
      </c>
      <c r="M248" s="543">
        <f t="shared" si="169"/>
        <v>11.866178141143138</v>
      </c>
      <c r="N248" s="543">
        <f t="shared" si="169"/>
        <v>11.789763600614192</v>
      </c>
      <c r="O248" s="543">
        <f t="shared" si="169"/>
        <v>11.71505250110695</v>
      </c>
      <c r="P248" s="149">
        <f t="shared" si="172"/>
        <v>1.0546749373080618E-2</v>
      </c>
      <c r="Q248" s="149">
        <f t="shared" si="173"/>
        <v>6.6239289533872661E-2</v>
      </c>
      <c r="R248" s="149">
        <f t="shared" si="174"/>
        <v>3.1798814884878401E-2</v>
      </c>
      <c r="S248" s="149">
        <f t="shared" si="175"/>
        <v>-2.1967039784481614E-3</v>
      </c>
      <c r="T248" s="149">
        <f t="shared" si="176"/>
        <v>7.1179471200058977E-2</v>
      </c>
      <c r="U248" s="51">
        <f t="shared" si="177"/>
        <v>0.5960195972444251</v>
      </c>
      <c r="V248" s="51">
        <f t="shared" si="178"/>
        <v>0.51316499930231574</v>
      </c>
      <c r="W248" s="51">
        <f t="shared" si="179"/>
        <v>0.55986211634821548</v>
      </c>
      <c r="X248" s="51">
        <f t="shared" si="180"/>
        <v>0.59642594626805079</v>
      </c>
      <c r="Y248" s="51">
        <f t="shared" si="181"/>
        <v>0.49255730480755422</v>
      </c>
      <c r="Z248" s="51">
        <f t="shared" si="182"/>
        <v>1.3678364826166463</v>
      </c>
      <c r="AA248" s="51">
        <f t="shared" si="183"/>
        <v>1.6989613604237066</v>
      </c>
      <c r="AB248" s="51">
        <f t="shared" si="184"/>
        <v>1.6969654343216574</v>
      </c>
      <c r="AC248" s="51">
        <f t="shared" si="185"/>
        <v>1.3563363657347911</v>
      </c>
      <c r="AD248" s="62">
        <f t="shared" si="186"/>
        <v>1.4544930327794223</v>
      </c>
      <c r="AE248" s="699"/>
      <c r="AF248" s="701">
        <f t="shared" si="187"/>
        <v>3.9535261146517744E-2</v>
      </c>
      <c r="AG248" s="61">
        <f t="shared" si="131"/>
        <v>-8.910381637189542E-2</v>
      </c>
      <c r="AH248" s="209"/>
      <c r="AI248" s="209"/>
      <c r="AJ248" s="700"/>
      <c r="AK248" s="701">
        <f t="shared" si="132"/>
        <v>-0.11319494389832545</v>
      </c>
      <c r="AL248" s="61">
        <f t="shared" si="133"/>
        <v>-0.1984267083342659</v>
      </c>
      <c r="AM248" s="845">
        <f t="shared" si="134"/>
        <v>0.15112564003618881</v>
      </c>
      <c r="AN248" s="845">
        <f t="shared" si="135"/>
        <v>-6.0700084589394028E-2</v>
      </c>
      <c r="AO248" s="536">
        <f t="shared" si="136"/>
        <v>6.7304811540661258E-2</v>
      </c>
      <c r="AP248" s="552">
        <f t="shared" si="137"/>
        <v>0.10346229243687088</v>
      </c>
      <c r="AQ248" s="827">
        <f t="shared" ref="AQ248:BG248" si="195">AQ90</f>
        <v>34020.998791999999</v>
      </c>
      <c r="AR248" s="827">
        <f t="shared" si="195"/>
        <v>38213.750993000001</v>
      </c>
      <c r="AS248" s="827">
        <f t="shared" si="195"/>
        <v>36925.805822000002</v>
      </c>
      <c r="AT248" s="827">
        <f t="shared" si="195"/>
        <v>39244.751400000001</v>
      </c>
      <c r="AU248" s="827">
        <f t="shared" si="195"/>
        <v>42702.623066</v>
      </c>
      <c r="AV248" s="827"/>
      <c r="AW248" s="827">
        <f t="shared" si="195"/>
        <v>6300.87997</v>
      </c>
      <c r="AX248" s="827">
        <f t="shared" si="195"/>
        <v>4532.9429749999999</v>
      </c>
      <c r="AY248" s="827">
        <f t="shared" si="195"/>
        <v>4619.4680360000002</v>
      </c>
      <c r="AZ248" s="827">
        <f t="shared" si="195"/>
        <v>10852.641540000001</v>
      </c>
      <c r="BA248" s="827">
        <f t="shared" si="195"/>
        <v>9086.6389890000009</v>
      </c>
      <c r="BB248" s="829">
        <f t="shared" si="195"/>
        <v>0.95881349897876955</v>
      </c>
      <c r="BC248" s="829">
        <f t="shared" si="195"/>
        <v>-2.6697177726926008E-2</v>
      </c>
      <c r="BD248" s="829">
        <f t="shared" si="195"/>
        <v>0.9800193621255312</v>
      </c>
      <c r="BE248" s="829">
        <f t="shared" si="195"/>
        <v>0.48934152810271547</v>
      </c>
      <c r="BF248" s="829">
        <f t="shared" si="195"/>
        <v>7.8967156993682258E-2</v>
      </c>
      <c r="BG248" s="829">
        <f t="shared" si="195"/>
        <v>0.60099528368963351</v>
      </c>
    </row>
    <row r="249" spans="1:59" ht="15" customHeight="1">
      <c r="A249" s="449">
        <v>2014</v>
      </c>
      <c r="B249" s="449"/>
      <c r="C249" s="50"/>
      <c r="D249" s="51"/>
      <c r="E249" s="51"/>
      <c r="F249" s="51"/>
      <c r="G249" s="51"/>
      <c r="H249" s="51"/>
      <c r="I249" s="51" t="s">
        <v>142</v>
      </c>
      <c r="J249" s="524" t="s">
        <v>515</v>
      </c>
      <c r="K249" s="543">
        <f t="shared" ref="K249:O258" si="196">LN(K91)</f>
        <v>9.3489804050725009</v>
      </c>
      <c r="L249" s="543">
        <f t="shared" si="196"/>
        <v>9.1404100739922765</v>
      </c>
      <c r="M249" s="543">
        <f t="shared" si="196"/>
        <v>7.1680343848628336</v>
      </c>
      <c r="N249" s="543">
        <f t="shared" si="196"/>
        <v>6.4202787803654324</v>
      </c>
      <c r="O249" s="543">
        <f t="shared" si="196"/>
        <v>6.5616802215091603</v>
      </c>
      <c r="P249" s="149">
        <f t="shared" si="172"/>
        <v>0.46382386728918773</v>
      </c>
      <c r="Q249" s="149">
        <f t="shared" si="173"/>
        <v>-1.8362677629814999</v>
      </c>
      <c r="R249" s="149">
        <f t="shared" si="174"/>
        <v>-3.4580101503399403</v>
      </c>
      <c r="S249" s="149">
        <f t="shared" si="175"/>
        <v>-2.7078797304302751</v>
      </c>
      <c r="T249" s="149">
        <f t="shared" si="176"/>
        <v>-2.1756919374247894</v>
      </c>
      <c r="U249" s="51">
        <f t="shared" si="177"/>
        <v>0.653737746156419</v>
      </c>
      <c r="V249" s="51">
        <f t="shared" si="178"/>
        <v>0.70854773236397739</v>
      </c>
      <c r="W249" s="51">
        <f t="shared" si="179"/>
        <v>0.4085868102784817</v>
      </c>
      <c r="X249" s="51">
        <f t="shared" si="180"/>
        <v>0.11660744991352869</v>
      </c>
      <c r="Y249" s="51">
        <f t="shared" si="181"/>
        <v>4.9060360985678599E-2</v>
      </c>
      <c r="Z249" s="51">
        <f t="shared" si="182"/>
        <v>0.14899009328859167</v>
      </c>
      <c r="AA249" s="51">
        <f t="shared" si="183"/>
        <v>0.12929644101736157</v>
      </c>
      <c r="AB249" s="51">
        <f t="shared" si="184"/>
        <v>1.9273537320677481E-2</v>
      </c>
      <c r="AC249" s="51">
        <f t="shared" si="185"/>
        <v>9.5589219082165104E-3</v>
      </c>
      <c r="AD249" s="62">
        <f t="shared" si="186"/>
        <v>1.0801494271698525E-2</v>
      </c>
      <c r="AE249" s="699"/>
      <c r="AF249" s="701">
        <f t="shared" si="187"/>
        <v>-0.13575324894474983</v>
      </c>
      <c r="AG249" s="61">
        <f t="shared" si="131"/>
        <v>9.2605885255965983E-2</v>
      </c>
      <c r="AH249" s="209"/>
      <c r="AI249" s="209"/>
      <c r="AJ249" s="700"/>
      <c r="AK249" s="701">
        <f t="shared" si="132"/>
        <v>-6.5489769034979231E-2</v>
      </c>
      <c r="AL249" s="61">
        <f t="shared" si="133"/>
        <v>0.25074334053157771</v>
      </c>
      <c r="AM249" s="845">
        <f t="shared" si="134"/>
        <v>0.60635416335367354</v>
      </c>
      <c r="AN249" s="845">
        <f t="shared" si="135"/>
        <v>2.7873001835633411</v>
      </c>
      <c r="AO249" s="536">
        <f t="shared" si="136"/>
        <v>0.35952644929280309</v>
      </c>
      <c r="AP249" s="552">
        <f t="shared" si="137"/>
        <v>0.60467738517074043</v>
      </c>
      <c r="AQ249" s="827">
        <f t="shared" ref="AQ249:BG249" si="197">AQ91</f>
        <v>26696.747924000003</v>
      </c>
      <c r="AR249" s="827">
        <f t="shared" si="197"/>
        <v>21018.926203000003</v>
      </c>
      <c r="AS249" s="827">
        <f t="shared" si="197"/>
        <v>39807.849022000002</v>
      </c>
      <c r="AT249" s="827">
        <f t="shared" si="197"/>
        <v>56759.226105000002</v>
      </c>
      <c r="AU249" s="827">
        <f t="shared" si="197"/>
        <v>62283.157799000001</v>
      </c>
      <c r="AV249" s="827"/>
      <c r="AW249" s="827">
        <f t="shared" si="197"/>
        <v>43949.016122000001</v>
      </c>
      <c r="AX249" s="827">
        <f t="shared" si="197"/>
        <v>49392.827692999999</v>
      </c>
      <c r="AY249" s="827">
        <f t="shared" si="197"/>
        <v>26313.302867999999</v>
      </c>
      <c r="AZ249" s="827">
        <f t="shared" si="197"/>
        <v>2228.0932200000002</v>
      </c>
      <c r="BA249" s="827">
        <f t="shared" si="197"/>
        <v>1702.4997330000001</v>
      </c>
      <c r="BB249" s="829">
        <f t="shared" si="197"/>
        <v>-0.9040904090409041</v>
      </c>
      <c r="BC249" s="829">
        <f t="shared" si="197"/>
        <v>-0.74642755072877964</v>
      </c>
      <c r="BD249" s="829">
        <f t="shared" si="197"/>
        <v>-0.17048598324977104</v>
      </c>
      <c r="BE249" s="829">
        <f t="shared" si="197"/>
        <v>0.16801128650679331</v>
      </c>
      <c r="BF249" s="829">
        <f t="shared" si="197"/>
        <v>-0.58438040210109332</v>
      </c>
      <c r="BG249" s="829">
        <f t="shared" si="197"/>
        <v>-0.12460678152260318</v>
      </c>
    </row>
    <row r="250" spans="1:59" ht="15" customHeight="1">
      <c r="A250" s="449">
        <v>2014</v>
      </c>
      <c r="B250" s="449"/>
      <c r="C250" s="50"/>
      <c r="D250" s="51"/>
      <c r="E250" s="51"/>
      <c r="F250" s="51"/>
      <c r="G250" s="51"/>
      <c r="H250" s="51"/>
      <c r="I250" s="51" t="s">
        <v>554</v>
      </c>
      <c r="J250" s="524" t="s">
        <v>1050</v>
      </c>
      <c r="K250" s="543">
        <f t="shared" si="196"/>
        <v>13.400720608343692</v>
      </c>
      <c r="L250" s="543">
        <f t="shared" si="196"/>
        <v>13.287760859890275</v>
      </c>
      <c r="M250" s="543">
        <f t="shared" si="196"/>
        <v>13.172014123547799</v>
      </c>
      <c r="N250" s="543">
        <f t="shared" si="196"/>
        <v>13.25898125193928</v>
      </c>
      <c r="O250" s="543">
        <f t="shared" si="196"/>
        <v>13.334123988169967</v>
      </c>
      <c r="P250" s="149">
        <f t="shared" si="172"/>
        <v>7.1885707191296014E-2</v>
      </c>
      <c r="Q250" s="149">
        <f t="shared" si="173"/>
        <v>8.1346801575099464E-2</v>
      </c>
      <c r="R250" s="149">
        <f t="shared" si="174"/>
        <v>5.9963612280474712E-2</v>
      </c>
      <c r="S250" s="149">
        <f t="shared" si="175"/>
        <v>3.5054388122715656E-2</v>
      </c>
      <c r="T250" s="149">
        <f t="shared" si="176"/>
        <v>2.6396364613238479E-2</v>
      </c>
      <c r="U250" s="51">
        <f t="shared" si="177"/>
        <v>0.3974025505184971</v>
      </c>
      <c r="V250" s="51">
        <f t="shared" si="178"/>
        <v>0.61492487433719789</v>
      </c>
      <c r="W250" s="51">
        <f t="shared" si="179"/>
        <v>0.62665725555682283</v>
      </c>
      <c r="X250" s="51">
        <f t="shared" si="180"/>
        <v>0.68029791824009744</v>
      </c>
      <c r="Y250" s="51">
        <f t="shared" si="181"/>
        <v>0.73638726821096412</v>
      </c>
      <c r="Z250" s="51">
        <f t="shared" si="182"/>
        <v>1.1921896011768847</v>
      </c>
      <c r="AA250" s="51">
        <f t="shared" si="183"/>
        <v>1.1462293387426141</v>
      </c>
      <c r="AB250" s="51">
        <f t="shared" si="184"/>
        <v>1.1307362400177319</v>
      </c>
      <c r="AC250" s="51">
        <f t="shared" si="185"/>
        <v>1.1302968336820352</v>
      </c>
      <c r="AD250" s="62">
        <f t="shared" si="186"/>
        <v>1.0198734083200607</v>
      </c>
      <c r="AE250" s="699"/>
      <c r="AF250" s="701">
        <f t="shared" si="187"/>
        <v>-1.7898363098804423E-2</v>
      </c>
      <c r="AG250" s="61">
        <f t="shared" si="131"/>
        <v>5.8780442241346931E-2</v>
      </c>
      <c r="AH250" s="209"/>
      <c r="AI250" s="209"/>
      <c r="AJ250" s="700"/>
      <c r="AK250" s="701">
        <f t="shared" si="132"/>
        <v>8.9317056681269116E-2</v>
      </c>
      <c r="AL250" s="61">
        <f t="shared" si="133"/>
        <v>0.13143730286540384</v>
      </c>
      <c r="AM250" s="845">
        <f t="shared" si="134"/>
        <v>-0.16210986462216773</v>
      </c>
      <c r="AN250" s="845">
        <f t="shared" si="135"/>
        <v>6.659662017372539E-2</v>
      </c>
      <c r="AO250" s="536">
        <f t="shared" si="136"/>
        <v>-0.10973001265414128</v>
      </c>
      <c r="AP250" s="552">
        <f t="shared" si="137"/>
        <v>-0.33898471769246702</v>
      </c>
      <c r="AQ250" s="827">
        <f t="shared" ref="AQ250:BG250" si="198">AQ92</f>
        <v>214888</v>
      </c>
      <c r="AR250" s="827">
        <f t="shared" si="198"/>
        <v>198187</v>
      </c>
      <c r="AS250" s="827">
        <f t="shared" si="198"/>
        <v>173492</v>
      </c>
      <c r="AT250" s="827">
        <f t="shared" si="198"/>
        <v>162127</v>
      </c>
      <c r="AU250" s="827">
        <f t="shared" si="198"/>
        <v>159719</v>
      </c>
      <c r="AV250" s="827"/>
      <c r="AW250" s="827">
        <f t="shared" si="198"/>
        <v>206946</v>
      </c>
      <c r="AX250" s="827">
        <f t="shared" si="198"/>
        <v>196487</v>
      </c>
      <c r="AY250" s="827">
        <f t="shared" si="198"/>
        <v>194163</v>
      </c>
      <c r="AZ250" s="827">
        <f t="shared" si="198"/>
        <v>214823</v>
      </c>
      <c r="BA250" s="827">
        <f t="shared" si="198"/>
        <v>303115</v>
      </c>
      <c r="BB250" s="829">
        <f t="shared" si="198"/>
        <v>5.3811259752899063E-2</v>
      </c>
      <c r="BC250" s="829">
        <f t="shared" si="198"/>
        <v>9.3532815387551607E-2</v>
      </c>
      <c r="BD250" s="829">
        <f t="shared" si="198"/>
        <v>0.16227602581336301</v>
      </c>
      <c r="BE250" s="829">
        <f t="shared" si="198"/>
        <v>0.10022542492883046</v>
      </c>
      <c r="BF250" s="829">
        <f t="shared" si="198"/>
        <v>0.14618627343742446</v>
      </c>
      <c r="BG250" s="829">
        <f t="shared" si="198"/>
        <v>0.17179047908095396</v>
      </c>
    </row>
    <row r="251" spans="1:59" ht="15" customHeight="1">
      <c r="A251" s="449">
        <v>2014</v>
      </c>
      <c r="B251" s="449"/>
      <c r="C251" s="50"/>
      <c r="D251" s="51"/>
      <c r="E251" s="51"/>
      <c r="F251" s="51"/>
      <c r="G251" s="51"/>
      <c r="H251" s="51"/>
      <c r="I251" s="51" t="s">
        <v>554</v>
      </c>
      <c r="J251" s="524" t="s">
        <v>517</v>
      </c>
      <c r="K251" s="543">
        <f t="shared" si="196"/>
        <v>11.184641762160672</v>
      </c>
      <c r="L251" s="543">
        <f t="shared" si="196"/>
        <v>11.776922495403449</v>
      </c>
      <c r="M251" s="543">
        <f t="shared" si="196"/>
        <v>12.178877132940956</v>
      </c>
      <c r="N251" s="543">
        <f t="shared" si="196"/>
        <v>12.503084568827706</v>
      </c>
      <c r="O251" s="543">
        <f t="shared" si="196"/>
        <v>12.4230422508621</v>
      </c>
      <c r="P251" s="149">
        <f t="shared" si="172"/>
        <v>1.3022318306525364</v>
      </c>
      <c r="Q251" s="149">
        <f t="shared" si="173"/>
        <v>-1.0992699328447932</v>
      </c>
      <c r="R251" s="149">
        <f t="shared" si="174"/>
        <v>-0.97439708956295579</v>
      </c>
      <c r="S251" s="149">
        <f t="shared" si="175"/>
        <v>2.1244431616824263E-3</v>
      </c>
      <c r="T251" s="149">
        <f t="shared" si="176"/>
        <v>9.2376537181898862E-3</v>
      </c>
      <c r="U251" s="51">
        <f t="shared" si="177"/>
        <v>0.91178210219270905</v>
      </c>
      <c r="V251" s="51">
        <f t="shared" si="178"/>
        <v>1.1279256678722598</v>
      </c>
      <c r="W251" s="51">
        <f t="shared" si="179"/>
        <v>0.92311180448554908</v>
      </c>
      <c r="X251" s="51">
        <f t="shared" si="180"/>
        <v>0.75851881963573331</v>
      </c>
      <c r="Y251" s="51">
        <f t="shared" si="181"/>
        <v>0.75769989499475821</v>
      </c>
      <c r="Z251" s="51">
        <f t="shared" si="182"/>
        <v>0.12401743192465653</v>
      </c>
      <c r="AA251" s="51">
        <f t="shared" si="183"/>
        <v>0.19989882011016108</v>
      </c>
      <c r="AB251" s="51">
        <f t="shared" si="184"/>
        <v>0.23977966486630095</v>
      </c>
      <c r="AC251" s="51">
        <f t="shared" si="185"/>
        <v>0.20191612985048285</v>
      </c>
      <c r="AD251" s="62">
        <f t="shared" si="186"/>
        <v>0.17489826980462264</v>
      </c>
      <c r="AE251" s="699"/>
      <c r="AF251" s="701">
        <f t="shared" si="187"/>
        <v>-0.39514005499017635</v>
      </c>
      <c r="AG251" s="61">
        <f t="shared" si="131"/>
        <v>0.15988379775570613</v>
      </c>
      <c r="AH251" s="209"/>
      <c r="AI251" s="209"/>
      <c r="AJ251" s="700"/>
      <c r="AK251" s="701">
        <f t="shared" si="132"/>
        <v>-0.99359988108255104</v>
      </c>
      <c r="AL251" s="61">
        <f t="shared" si="133"/>
        <v>-5.8493082644782959</v>
      </c>
      <c r="AM251" s="845">
        <f t="shared" si="134"/>
        <v>-0.24416511792114343</v>
      </c>
      <c r="AN251" s="845">
        <f t="shared" si="135"/>
        <v>-1.2384004887014277</v>
      </c>
      <c r="AO251" s="536">
        <f t="shared" si="136"/>
        <v>0.16541190949079088</v>
      </c>
      <c r="AP251" s="552">
        <f t="shared" si="137"/>
        <v>0.15408220719795085</v>
      </c>
      <c r="AQ251" s="827">
        <f t="shared" ref="AQ251:BG251" si="199">AQ93</f>
        <v>51227.504042</v>
      </c>
      <c r="AR251" s="827">
        <f t="shared" si="199"/>
        <v>-83329.837767000005</v>
      </c>
      <c r="AS251" s="827">
        <f t="shared" si="199"/>
        <v>62411.763530000004</v>
      </c>
      <c r="AT251" s="827">
        <f t="shared" si="199"/>
        <v>321908.68708499998</v>
      </c>
      <c r="AU251" s="827">
        <f t="shared" si="199"/>
        <v>344212.61853500002</v>
      </c>
      <c r="AV251" s="827"/>
      <c r="AW251" s="827">
        <f t="shared" si="199"/>
        <v>500328.36860600003</v>
      </c>
      <c r="AX251" s="827">
        <f t="shared" si="199"/>
        <v>7995.5994800000008</v>
      </c>
      <c r="AY251" s="827">
        <f t="shared" si="199"/>
        <v>16365.781692</v>
      </c>
      <c r="AZ251" s="827">
        <f t="shared" si="199"/>
        <v>818322.63490499998</v>
      </c>
      <c r="BA251" s="827">
        <f t="shared" si="199"/>
        <v>844157.05408100004</v>
      </c>
      <c r="BB251" s="829">
        <f t="shared" si="199"/>
        <v>2.7189243386690543E-3</v>
      </c>
      <c r="BC251" s="829">
        <f t="shared" si="199"/>
        <v>6.9878115991058249E-4</v>
      </c>
      <c r="BD251" s="829">
        <f t="shared" si="199"/>
        <v>-11.588263423965023</v>
      </c>
      <c r="BE251" s="829">
        <f t="shared" si="199"/>
        <v>-1.4136146630113688</v>
      </c>
      <c r="BF251" s="829">
        <f t="shared" si="199"/>
        <v>3.3053532005281552</v>
      </c>
      <c r="BG251" s="829">
        <f t="shared" si="199"/>
        <v>-10.773146946526923</v>
      </c>
    </row>
    <row r="252" spans="1:59" ht="15" customHeight="1">
      <c r="A252" s="449">
        <v>2014</v>
      </c>
      <c r="B252" s="449"/>
      <c r="C252" s="50"/>
      <c r="D252" s="51"/>
      <c r="E252" s="51"/>
      <c r="F252" s="51"/>
      <c r="G252" s="51"/>
      <c r="H252" s="51"/>
      <c r="I252" s="51" t="s">
        <v>554</v>
      </c>
      <c r="J252" s="524" t="s">
        <v>555</v>
      </c>
      <c r="K252" s="543">
        <f t="shared" si="196"/>
        <v>10.682870345779202</v>
      </c>
      <c r="L252" s="543">
        <f t="shared" si="196"/>
        <v>10.571035452912456</v>
      </c>
      <c r="M252" s="543">
        <f t="shared" si="196"/>
        <v>11.274733291422768</v>
      </c>
      <c r="N252" s="543">
        <f t="shared" si="196"/>
        <v>10.810404976897123</v>
      </c>
      <c r="O252" s="543">
        <f t="shared" si="196"/>
        <v>9.2689439120291777</v>
      </c>
      <c r="P252" s="149">
        <f t="shared" si="172"/>
        <v>-8.5421554608432482E-2</v>
      </c>
      <c r="Q252" s="149">
        <f t="shared" si="173"/>
        <v>-7.0877850824292418E-2</v>
      </c>
      <c r="R252" s="149">
        <f t="shared" si="174"/>
        <v>4.1962958467390435E-3</v>
      </c>
      <c r="S252" s="149">
        <f t="shared" si="175"/>
        <v>7.9803953077293904E-2</v>
      </c>
      <c r="T252" s="149">
        <f t="shared" si="176"/>
        <v>-0.25285824394630357</v>
      </c>
      <c r="U252" s="51">
        <f t="shared" si="177"/>
        <v>0.43962956491350696</v>
      </c>
      <c r="V252" s="51">
        <f t="shared" si="178"/>
        <v>0.45427174386282193</v>
      </c>
      <c r="W252" s="51">
        <f t="shared" si="179"/>
        <v>0.53590977824809216</v>
      </c>
      <c r="X252" s="51">
        <f t="shared" si="180"/>
        <v>0.41368714871350232</v>
      </c>
      <c r="Y252" s="51">
        <f t="shared" si="181"/>
        <v>0.38973926794278763</v>
      </c>
      <c r="Z252" s="51">
        <f t="shared" si="182"/>
        <v>0.92545816159768113</v>
      </c>
      <c r="AA252" s="51">
        <f t="shared" si="183"/>
        <v>1.0967982852741218</v>
      </c>
      <c r="AB252" s="51">
        <f t="shared" si="184"/>
        <v>1.869899455568558</v>
      </c>
      <c r="AC252" s="51">
        <f t="shared" si="185"/>
        <v>1.1832508119043816</v>
      </c>
      <c r="AD252" s="62">
        <f t="shared" si="186"/>
        <v>0.29484927537604222</v>
      </c>
      <c r="AE252" s="699"/>
      <c r="AF252" s="701">
        <f t="shared" si="187"/>
        <v>8.6900726207957787E-2</v>
      </c>
      <c r="AG252" s="61">
        <f t="shared" si="131"/>
        <v>-4.4990048883097322E-3</v>
      </c>
      <c r="AH252" s="209"/>
      <c r="AI252" s="209"/>
      <c r="AJ252" s="700"/>
      <c r="AK252" s="701">
        <f t="shared" si="132"/>
        <v>0.19646520536916229</v>
      </c>
      <c r="AL252" s="61">
        <f t="shared" si="133"/>
        <v>1.8827786568456878E-2</v>
      </c>
      <c r="AM252" s="845">
        <f t="shared" si="134"/>
        <v>2.0057893793935904</v>
      </c>
      <c r="AN252" s="845">
        <f t="shared" si="135"/>
        <v>1.4139264337500252</v>
      </c>
      <c r="AO252" s="536">
        <f t="shared" si="136"/>
        <v>0.14617051030530454</v>
      </c>
      <c r="AP252" s="552">
        <f t="shared" si="137"/>
        <v>4.9890296970719339E-2</v>
      </c>
      <c r="AQ252" s="827">
        <f t="shared" ref="AQ252:BG252" si="200">AQ94</f>
        <v>26401.831148000001</v>
      </c>
      <c r="AR252" s="827">
        <f t="shared" si="200"/>
        <v>19399.567297000001</v>
      </c>
      <c r="AS252" s="827">
        <f t="shared" si="200"/>
        <v>19558.638343999999</v>
      </c>
      <c r="AT252" s="827">
        <f t="shared" si="200"/>
        <v>24544.207515000002</v>
      </c>
      <c r="AU252" s="827">
        <f t="shared" si="200"/>
        <v>21946.564965000001</v>
      </c>
      <c r="AV252" s="827"/>
      <c r="AW252" s="827">
        <f t="shared" si="200"/>
        <v>5196.0316540000003</v>
      </c>
      <c r="AX252" s="827">
        <f t="shared" si="200"/>
        <v>7646.417031</v>
      </c>
      <c r="AY252" s="827">
        <f t="shared" si="200"/>
        <v>11751.903826</v>
      </c>
      <c r="AZ252" s="827">
        <f t="shared" si="200"/>
        <v>9474.9680100000005</v>
      </c>
      <c r="BA252" s="827">
        <f t="shared" si="200"/>
        <v>11412.826743</v>
      </c>
      <c r="BB252" s="829">
        <f t="shared" si="200"/>
        <v>-0.23492816542093722</v>
      </c>
      <c r="BC252" s="829">
        <f t="shared" si="200"/>
        <v>0.41720151886824153</v>
      </c>
      <c r="BD252" s="829">
        <f t="shared" si="200"/>
        <v>2.8139237428779825E-2</v>
      </c>
      <c r="BE252" s="829">
        <f t="shared" si="200"/>
        <v>-0.19081422335307036</v>
      </c>
      <c r="BF252" s="829">
        <f t="shared" si="200"/>
        <v>8.9412848713713078E-2</v>
      </c>
      <c r="BG252" s="829">
        <f t="shared" si="200"/>
        <v>2.2039725701263758E-2</v>
      </c>
    </row>
    <row r="253" spans="1:59" ht="15" customHeight="1">
      <c r="A253" s="449">
        <v>2013</v>
      </c>
      <c r="B253" s="449"/>
      <c r="C253" s="50"/>
      <c r="D253" s="51"/>
      <c r="E253" s="51"/>
      <c r="F253" s="51"/>
      <c r="G253" s="51"/>
      <c r="H253" s="51"/>
      <c r="I253" s="51" t="s">
        <v>144</v>
      </c>
      <c r="J253" s="524" t="s">
        <v>518</v>
      </c>
      <c r="K253" s="543">
        <f t="shared" si="196"/>
        <v>13.562670861429643</v>
      </c>
      <c r="L253" s="543">
        <f t="shared" si="196"/>
        <v>13.535784898592562</v>
      </c>
      <c r="M253" s="543">
        <f t="shared" si="196"/>
        <v>13.597290417709267</v>
      </c>
      <c r="N253" s="543">
        <f t="shared" si="196"/>
        <v>13.571090676093069</v>
      </c>
      <c r="O253" s="543">
        <f t="shared" si="196"/>
        <v>13.039648369585201</v>
      </c>
      <c r="P253" s="149">
        <f t="shared" si="172"/>
        <v>7.2917843577291169E-2</v>
      </c>
      <c r="Q253" s="149">
        <f t="shared" si="173"/>
        <v>8.0742262362809583E-2</v>
      </c>
      <c r="R253" s="149">
        <f t="shared" si="174"/>
        <v>4.4535677214209812E-2</v>
      </c>
      <c r="S253" s="149">
        <f t="shared" si="175"/>
        <v>1.7235659162812701E-2</v>
      </c>
      <c r="T253" s="149">
        <f t="shared" si="176"/>
        <v>0.12204483105716958</v>
      </c>
      <c r="U253" s="51">
        <f t="shared" si="177"/>
        <v>0.59084364224366648</v>
      </c>
      <c r="V253" s="51">
        <f t="shared" si="178"/>
        <v>0.60037452659049684</v>
      </c>
      <c r="W253" s="51">
        <f t="shared" si="179"/>
        <v>0.63931953518336793</v>
      </c>
      <c r="X253" s="51">
        <f t="shared" si="180"/>
        <v>0.56968905703844819</v>
      </c>
      <c r="Y253" s="51">
        <f t="shared" si="181"/>
        <v>0.54433541034237476</v>
      </c>
      <c r="Z253" s="51">
        <f t="shared" si="182"/>
        <v>0.8391309577333067</v>
      </c>
      <c r="AA253" s="51">
        <f t="shared" si="183"/>
        <v>0.7747189459278826</v>
      </c>
      <c r="AB253" s="51">
        <f t="shared" si="184"/>
        <v>0.73243427710838127</v>
      </c>
      <c r="AC253" s="51">
        <f t="shared" si="185"/>
        <v>0.66694526184708613</v>
      </c>
      <c r="AD253" s="62">
        <f t="shared" si="186"/>
        <v>0.41115089110321862</v>
      </c>
      <c r="AE253" s="699"/>
      <c r="AF253" s="701">
        <f t="shared" si="187"/>
        <v>-2.8568163370937816E-2</v>
      </c>
      <c r="AG253" s="61">
        <f t="shared" si="131"/>
        <v>1.1008778873162747E-2</v>
      </c>
      <c r="AH253" s="209"/>
      <c r="AI253" s="209"/>
      <c r="AJ253" s="700"/>
      <c r="AK253" s="701">
        <f t="shared" si="132"/>
        <v>-3.8343471953915645E-2</v>
      </c>
      <c r="AL253" s="61">
        <f t="shared" si="133"/>
        <v>2.9542979152869742E-2</v>
      </c>
      <c r="AM253" s="845">
        <f t="shared" si="134"/>
        <v>0.5576420481240667</v>
      </c>
      <c r="AN253" s="845">
        <f t="shared" si="135"/>
        <v>0.52302249184444138</v>
      </c>
      <c r="AO253" s="536">
        <f t="shared" si="136"/>
        <v>9.4984124840993167E-2</v>
      </c>
      <c r="AP253" s="552">
        <f t="shared" si="137"/>
        <v>4.6508231901291719E-2</v>
      </c>
      <c r="AQ253" s="827">
        <f t="shared" ref="AQ253:BG253" si="201">AQ95</f>
        <v>378662.82907199999</v>
      </c>
      <c r="AR253" s="827">
        <f t="shared" si="201"/>
        <v>389965.041708</v>
      </c>
      <c r="AS253" s="827">
        <f t="shared" si="201"/>
        <v>395896.95126</v>
      </c>
      <c r="AT253" s="827">
        <f t="shared" si="201"/>
        <v>505291.50041400001</v>
      </c>
      <c r="AU253" s="827">
        <f t="shared" si="201"/>
        <v>510142.34862</v>
      </c>
      <c r="AV253" s="827"/>
      <c r="AW253" s="827">
        <f t="shared" si="201"/>
        <v>274649.19929700001</v>
      </c>
      <c r="AX253" s="827">
        <f t="shared" si="201"/>
        <v>262181.58174599998</v>
      </c>
      <c r="AY253" s="827">
        <f t="shared" si="201"/>
        <v>371044.06464</v>
      </c>
      <c r="AZ253" s="827">
        <f t="shared" si="201"/>
        <v>432618.820542</v>
      </c>
      <c r="BA253" s="827">
        <f t="shared" si="201"/>
        <v>403964.14930799999</v>
      </c>
      <c r="BB253" s="829">
        <f t="shared" si="201"/>
        <v>0.13906694012385584</v>
      </c>
      <c r="BC253" s="829">
        <f t="shared" si="201"/>
        <v>3.120127076785266E-2</v>
      </c>
      <c r="BD253" s="829">
        <f t="shared" si="201"/>
        <v>9.649632393321983E-2</v>
      </c>
      <c r="BE253" s="829">
        <f t="shared" si="201"/>
        <v>0.14283979309343514</v>
      </c>
      <c r="BF253" s="829">
        <f t="shared" si="201"/>
        <v>8.4622296969403904E-2</v>
      </c>
      <c r="BG253" s="829">
        <f t="shared" si="201"/>
        <v>9.0351791632074033E-2</v>
      </c>
    </row>
    <row r="254" spans="1:59" ht="15" customHeight="1">
      <c r="A254" s="449">
        <v>2013</v>
      </c>
      <c r="B254" s="449"/>
      <c r="C254" s="50"/>
      <c r="D254" s="51"/>
      <c r="E254" s="51"/>
      <c r="F254" s="51"/>
      <c r="G254" s="51"/>
      <c r="H254" s="51"/>
      <c r="I254" s="51" t="s">
        <v>144</v>
      </c>
      <c r="J254" s="740" t="s">
        <v>556</v>
      </c>
      <c r="K254" s="543">
        <f t="shared" si="196"/>
        <v>5.5501398496361292</v>
      </c>
      <c r="L254" s="543">
        <f t="shared" si="196"/>
        <v>5.1087840594836198</v>
      </c>
      <c r="M254" s="543">
        <f t="shared" si="196"/>
        <v>5.3278680619606043</v>
      </c>
      <c r="N254" s="543">
        <f t="shared" si="196"/>
        <v>2.5336776074237815</v>
      </c>
      <c r="O254" s="543">
        <f t="shared" si="196"/>
        <v>3.537614606265135</v>
      </c>
      <c r="P254" s="149">
        <f t="shared" si="172"/>
        <v>-37.213789912077743</v>
      </c>
      <c r="Q254" s="149">
        <f t="shared" si="173"/>
        <v>-107.90690690690691</v>
      </c>
      <c r="R254" s="149">
        <f t="shared" si="174"/>
        <v>6.464451313755796</v>
      </c>
      <c r="S254" s="149">
        <f t="shared" si="175"/>
        <v>272.13513513513516</v>
      </c>
      <c r="T254" s="149">
        <f t="shared" si="176"/>
        <v>-65.52000000000001</v>
      </c>
      <c r="U254" s="51">
        <f t="shared" si="177"/>
        <v>0.26287135594939753</v>
      </c>
      <c r="V254" s="51">
        <f t="shared" si="178"/>
        <v>0.3008028149076864</v>
      </c>
      <c r="W254" s="51">
        <f t="shared" si="179"/>
        <v>0.18887104990969014</v>
      </c>
      <c r="X254" s="51">
        <f t="shared" si="180"/>
        <v>7.4848788009508702E-3</v>
      </c>
      <c r="Y254" s="51">
        <f t="shared" si="181"/>
        <v>0.30404226184083344</v>
      </c>
      <c r="Z254" s="51">
        <f t="shared" si="182"/>
        <v>8.119389974939226E-3</v>
      </c>
      <c r="AA254" s="51">
        <f t="shared" si="183"/>
        <v>3.3669693231683888E-3</v>
      </c>
      <c r="AB254" s="51">
        <f t="shared" si="184"/>
        <v>2.4970282662055976E-3</v>
      </c>
      <c r="AC254" s="51">
        <f t="shared" si="185"/>
        <v>3.3959597257533065E-4</v>
      </c>
      <c r="AD254" s="62">
        <f t="shared" si="186"/>
        <v>1.3424981205026314E-3</v>
      </c>
      <c r="AE254" s="699"/>
      <c r="AF254" s="701">
        <f t="shared" si="187"/>
        <v>0.31829519039757664</v>
      </c>
      <c r="AG254" s="61">
        <f t="shared" si="131"/>
        <v>-0.21419279588628609</v>
      </c>
      <c r="AH254" s="209"/>
      <c r="AI254" s="209"/>
      <c r="AJ254" s="700"/>
      <c r="AK254" s="701">
        <f t="shared" si="132"/>
        <v>0.1421540059916902</v>
      </c>
      <c r="AL254" s="61">
        <f t="shared" si="133"/>
        <v>-0.21526897080311858</v>
      </c>
      <c r="AM254" s="845">
        <f t="shared" si="134"/>
        <v>1.7902534556954692</v>
      </c>
      <c r="AN254" s="845">
        <f t="shared" si="135"/>
        <v>2.0125252433709937</v>
      </c>
      <c r="AO254" s="536">
        <f t="shared" si="136"/>
        <v>-0.1151712119311433</v>
      </c>
      <c r="AP254" s="552">
        <f t="shared" si="137"/>
        <v>-4.1170905891435905E-2</v>
      </c>
      <c r="AQ254" s="827">
        <f t="shared" ref="AQ254:BG254" si="202">AQ96</f>
        <v>23356.889017000001</v>
      </c>
      <c r="AR254" s="827">
        <f t="shared" si="202"/>
        <v>34362.029633999999</v>
      </c>
      <c r="AS254" s="827">
        <f t="shared" si="202"/>
        <v>66916.026299999998</v>
      </c>
      <c r="AT254" s="827">
        <f t="shared" si="202"/>
        <v>36824.325158</v>
      </c>
      <c r="AU254" s="827">
        <f t="shared" si="202"/>
        <v>17825.252243999999</v>
      </c>
      <c r="AV254" s="827"/>
      <c r="AW254" s="827">
        <f t="shared" si="202"/>
        <v>0</v>
      </c>
      <c r="AX254" s="827">
        <f t="shared" si="202"/>
        <v>9044.1497039999995</v>
      </c>
      <c r="AY254" s="827">
        <f t="shared" si="202"/>
        <v>0</v>
      </c>
      <c r="AZ254" s="827">
        <f t="shared" si="202"/>
        <v>0</v>
      </c>
      <c r="BA254" s="827">
        <f t="shared" si="202"/>
        <v>0</v>
      </c>
      <c r="BB254" s="829" t="e">
        <f t="shared" si="202"/>
        <v>#DIV/0!</v>
      </c>
      <c r="BC254" s="829" t="e">
        <f t="shared" si="202"/>
        <v>#DIV/0!</v>
      </c>
      <c r="BD254" s="829" t="e">
        <f t="shared" si="202"/>
        <v>#DIV/0!</v>
      </c>
      <c r="BE254" s="829" t="e">
        <f t="shared" si="202"/>
        <v>#DIV/0!</v>
      </c>
      <c r="BF254" s="829" t="e">
        <f t="shared" si="202"/>
        <v>#DIV/0!</v>
      </c>
      <c r="BG254" s="829" t="e">
        <f t="shared" si="202"/>
        <v>#DIV/0!</v>
      </c>
    </row>
    <row r="255" spans="1:59" ht="15" customHeight="1">
      <c r="A255" s="449">
        <v>2012</v>
      </c>
      <c r="B255" s="449"/>
      <c r="C255" s="50"/>
      <c r="D255" s="51"/>
      <c r="E255" s="51"/>
      <c r="F255" s="51"/>
      <c r="G255" s="51"/>
      <c r="H255" s="51"/>
      <c r="I255" s="51" t="s">
        <v>145</v>
      </c>
      <c r="J255" s="524" t="s">
        <v>1069</v>
      </c>
      <c r="K255" s="543">
        <f t="shared" si="196"/>
        <v>11.382680096022749</v>
      </c>
      <c r="L255" s="543">
        <f t="shared" si="196"/>
        <v>11.381004203959231</v>
      </c>
      <c r="M255" s="543">
        <f t="shared" si="196"/>
        <v>11.377712659563167</v>
      </c>
      <c r="N255" s="543">
        <f t="shared" si="196"/>
        <v>11.382714268674379</v>
      </c>
      <c r="O255" s="543">
        <f t="shared" si="196"/>
        <v>11.336975565983122</v>
      </c>
      <c r="P255" s="149">
        <f t="shared" si="172"/>
        <v>0.16756276484257529</v>
      </c>
      <c r="Q255" s="149">
        <f t="shared" si="173"/>
        <v>0.2622288654853322</v>
      </c>
      <c r="R255" s="149">
        <f t="shared" si="174"/>
        <v>0.35384016576419813</v>
      </c>
      <c r="S255" s="149">
        <f t="shared" si="175"/>
        <v>-0.1011493205453862</v>
      </c>
      <c r="T255" s="149">
        <f t="shared" si="176"/>
        <v>-8.8999117640044839E-2</v>
      </c>
      <c r="U255" s="51">
        <f t="shared" si="177"/>
        <v>0.75276631120284376</v>
      </c>
      <c r="V255" s="51">
        <f t="shared" si="178"/>
        <v>0.76537898279042405</v>
      </c>
      <c r="W255" s="51">
        <f t="shared" si="179"/>
        <v>0.92196440707399219</v>
      </c>
      <c r="X255" s="51">
        <f t="shared" si="180"/>
        <v>0.95641960113983826</v>
      </c>
      <c r="Y255" s="51">
        <f t="shared" si="181"/>
        <v>0.95107356937725263</v>
      </c>
      <c r="Z255" s="51">
        <f t="shared" si="182"/>
        <v>9.6791123106912583E-2</v>
      </c>
      <c r="AA255" s="51">
        <f t="shared" si="183"/>
        <v>8.7669404887183444E-2</v>
      </c>
      <c r="AB255" s="51">
        <f t="shared" si="184"/>
        <v>9.3637780555311384E-2</v>
      </c>
      <c r="AC255" s="51">
        <f t="shared" si="185"/>
        <v>9.1335835095907258E-2</v>
      </c>
      <c r="AD255" s="62">
        <f t="shared" si="186"/>
        <v>8.0822234643332116E-2</v>
      </c>
      <c r="AE255" s="699"/>
      <c r="AF255" s="701">
        <f t="shared" si="187"/>
        <v>1.6914219593470645E-2</v>
      </c>
      <c r="AG255" s="61">
        <f t="shared" si="131"/>
        <v>2.3411695768965572E-2</v>
      </c>
      <c r="AH255" s="209"/>
      <c r="AI255" s="209"/>
      <c r="AJ255" s="700"/>
      <c r="AK255" s="701">
        <f t="shared" si="132"/>
        <v>0.67596649955528199</v>
      </c>
      <c r="AL255" s="61">
        <f t="shared" si="133"/>
        <v>0.20107793264102719</v>
      </c>
      <c r="AM255" s="845">
        <f t="shared" si="134"/>
        <v>4.0737093580045486E-2</v>
      </c>
      <c r="AN255" s="845">
        <f t="shared" si="135"/>
        <v>4.5704530039626969E-2</v>
      </c>
      <c r="AO255" s="536">
        <f t="shared" si="136"/>
        <v>-2.9109162303260439E-2</v>
      </c>
      <c r="AP255" s="552">
        <f t="shared" si="137"/>
        <v>-0.19830725817440886</v>
      </c>
      <c r="AQ255" s="827">
        <f t="shared" ref="AQ255:BG255" si="203">AQ97</f>
        <v>224237</v>
      </c>
      <c r="AR255" s="827">
        <f t="shared" si="203"/>
        <v>234545</v>
      </c>
      <c r="AS255" s="827">
        <f t="shared" si="203"/>
        <v>72798</v>
      </c>
      <c r="AT255" s="827">
        <f t="shared" si="203"/>
        <v>41889</v>
      </c>
      <c r="AU255" s="827">
        <f t="shared" si="203"/>
        <v>50769</v>
      </c>
      <c r="AV255" s="827"/>
      <c r="AW255" s="827">
        <f t="shared" si="203"/>
        <v>660783</v>
      </c>
      <c r="AX255" s="827">
        <f t="shared" si="203"/>
        <v>683671</v>
      </c>
      <c r="AY255" s="827">
        <f t="shared" si="203"/>
        <v>778390</v>
      </c>
      <c r="AZ255" s="827">
        <f t="shared" si="203"/>
        <v>861360</v>
      </c>
      <c r="BA255" s="827">
        <f t="shared" si="203"/>
        <v>919849</v>
      </c>
      <c r="BB255" s="829">
        <f t="shared" si="203"/>
        <v>-8.1143752942058976E-3</v>
      </c>
      <c r="BC255" s="829">
        <f t="shared" si="203"/>
        <v>-1.0309278350515464E-2</v>
      </c>
      <c r="BD255" s="829">
        <f t="shared" si="203"/>
        <v>3.9708886290933852E-2</v>
      </c>
      <c r="BE255" s="829">
        <f t="shared" si="203"/>
        <v>-4.5798960708969879E-3</v>
      </c>
      <c r="BF255" s="829">
        <f t="shared" si="203"/>
        <v>-3.3424260940033484E-3</v>
      </c>
      <c r="BG255" s="829">
        <f t="shared" si="203"/>
        <v>7.8672525872782728E-2</v>
      </c>
    </row>
    <row r="256" spans="1:59" ht="15" customHeight="1">
      <c r="A256" s="449">
        <v>2012</v>
      </c>
      <c r="B256" s="449"/>
      <c r="C256" s="50"/>
      <c r="D256" s="51"/>
      <c r="E256" s="51"/>
      <c r="F256" s="51"/>
      <c r="G256" s="51"/>
      <c r="H256" s="51"/>
      <c r="I256" s="51" t="s">
        <v>145</v>
      </c>
      <c r="J256" s="524" t="s">
        <v>515</v>
      </c>
      <c r="K256" s="543">
        <f t="shared" si="196"/>
        <v>7.1680343848628336</v>
      </c>
      <c r="L256" s="543">
        <f t="shared" si="196"/>
        <v>6.4202787803654324</v>
      </c>
      <c r="M256" s="543">
        <f t="shared" si="196"/>
        <v>6.5616802215091603</v>
      </c>
      <c r="N256" s="543">
        <f t="shared" si="196"/>
        <v>6.6334184335433415</v>
      </c>
      <c r="O256" s="543">
        <f t="shared" si="196"/>
        <v>8.6807849882260033</v>
      </c>
      <c r="P256" s="149">
        <f t="shared" si="172"/>
        <v>-3.4580101503399403</v>
      </c>
      <c r="Q256" s="149">
        <f t="shared" si="173"/>
        <v>-2.7078797304302751</v>
      </c>
      <c r="R256" s="149">
        <f t="shared" si="174"/>
        <v>-2.1756919374247894</v>
      </c>
      <c r="S256" s="149">
        <f t="shared" si="175"/>
        <v>-6.0952273241348109</v>
      </c>
      <c r="T256" s="149">
        <f t="shared" si="176"/>
        <v>0.64536576489142305</v>
      </c>
      <c r="U256" s="51">
        <f t="shared" si="177"/>
        <v>0.4085868102784817</v>
      </c>
      <c r="V256" s="51">
        <f t="shared" si="178"/>
        <v>0.11660744991352869</v>
      </c>
      <c r="W256" s="51">
        <f t="shared" si="179"/>
        <v>4.9060360985678599E-2</v>
      </c>
      <c r="X256" s="51">
        <f t="shared" si="180"/>
        <v>0.24707222955999275</v>
      </c>
      <c r="Y256" s="51">
        <f t="shared" si="181"/>
        <v>0.2620668345584477</v>
      </c>
      <c r="Z256" s="51">
        <f t="shared" si="182"/>
        <v>1.9273537320677481E-2</v>
      </c>
      <c r="AA256" s="51">
        <f t="shared" si="183"/>
        <v>9.5589219082165104E-3</v>
      </c>
      <c r="AB256" s="51">
        <f t="shared" si="184"/>
        <v>1.0801494271698525E-2</v>
      </c>
      <c r="AC256" s="51">
        <f t="shared" si="185"/>
        <v>1.144951182244322E-2</v>
      </c>
      <c r="AD256" s="62">
        <f t="shared" si="186"/>
        <v>7.660139951119331E-2</v>
      </c>
      <c r="AE256" s="699"/>
      <c r="AF256" s="701">
        <f t="shared" si="187"/>
        <v>4.3147363688783857E-2</v>
      </c>
      <c r="AG256" s="61">
        <f t="shared" si="131"/>
        <v>-0.11608400847515314</v>
      </c>
      <c r="AH256" s="209"/>
      <c r="AI256" s="209"/>
      <c r="AJ256" s="700"/>
      <c r="AK256" s="701">
        <f t="shared" si="132"/>
        <v>-9.9491082214774457E-2</v>
      </c>
      <c r="AL256" s="61">
        <f t="shared" si="133"/>
        <v>-0.1649808512497537</v>
      </c>
      <c r="AM256" s="845">
        <f t="shared" si="134"/>
        <v>-2.1191047667168426</v>
      </c>
      <c r="AN256" s="845">
        <f t="shared" si="135"/>
        <v>-1.512750603363169</v>
      </c>
      <c r="AO256" s="536">
        <f t="shared" si="136"/>
        <v>-0.21300647357276911</v>
      </c>
      <c r="AP256" s="552">
        <f t="shared" si="137"/>
        <v>0.146519975720034</v>
      </c>
      <c r="AQ256" s="827">
        <f t="shared" ref="AQ256:BG256" si="204">AQ98</f>
        <v>39807.849022000002</v>
      </c>
      <c r="AR256" s="827">
        <f t="shared" si="204"/>
        <v>56759.226105000002</v>
      </c>
      <c r="AS256" s="827">
        <f t="shared" si="204"/>
        <v>62283.157799000001</v>
      </c>
      <c r="AT256" s="827">
        <f t="shared" si="204"/>
        <v>49983.120671999997</v>
      </c>
      <c r="AU256" s="827">
        <f t="shared" si="204"/>
        <v>56727.804671999998</v>
      </c>
      <c r="AV256" s="827"/>
      <c r="AW256" s="827">
        <f t="shared" si="204"/>
        <v>26313.302867999999</v>
      </c>
      <c r="AX256" s="827">
        <f t="shared" si="204"/>
        <v>2228.0932200000002</v>
      </c>
      <c r="AY256" s="827">
        <f t="shared" si="204"/>
        <v>1702.4997330000001</v>
      </c>
      <c r="AZ256" s="827">
        <f t="shared" si="204"/>
        <v>2291.4030720000001</v>
      </c>
      <c r="BA256" s="827">
        <f t="shared" si="204"/>
        <v>15846.82308</v>
      </c>
      <c r="BB256" s="829">
        <f t="shared" si="204"/>
        <v>0.23981742364476502</v>
      </c>
      <c r="BC256" s="829">
        <f t="shared" si="204"/>
        <v>-2.0218337334933971</v>
      </c>
      <c r="BD256" s="829">
        <f t="shared" si="204"/>
        <v>-0.9040904090409041</v>
      </c>
      <c r="BE256" s="829">
        <f t="shared" si="204"/>
        <v>-5.7133696109079035E-3</v>
      </c>
      <c r="BF256" s="829">
        <f t="shared" si="204"/>
        <v>-0.52057688419980697</v>
      </c>
      <c r="BG256" s="829">
        <f t="shared" si="204"/>
        <v>-7.0430495223550285E-2</v>
      </c>
    </row>
    <row r="257" spans="1:59" ht="15" customHeight="1">
      <c r="A257" s="449">
        <v>2012</v>
      </c>
      <c r="B257" s="449"/>
      <c r="C257" s="50"/>
      <c r="D257" s="51"/>
      <c r="E257" s="51"/>
      <c r="F257" s="51"/>
      <c r="G257" s="51"/>
      <c r="H257" s="51"/>
      <c r="I257" s="51" t="s">
        <v>145</v>
      </c>
      <c r="J257" s="524" t="s">
        <v>557</v>
      </c>
      <c r="K257" s="543">
        <f t="shared" si="196"/>
        <v>10.66673906139933</v>
      </c>
      <c r="L257" s="543">
        <f t="shared" si="196"/>
        <v>10.764366927694565</v>
      </c>
      <c r="M257" s="543">
        <f t="shared" si="196"/>
        <v>10.610155140097312</v>
      </c>
      <c r="N257" s="543">
        <f t="shared" si="196"/>
        <v>10.319925702805369</v>
      </c>
      <c r="O257" s="543">
        <f t="shared" si="196"/>
        <v>10.168465734511907</v>
      </c>
      <c r="P257" s="149">
        <f t="shared" si="172"/>
        <v>0.48183000026058481</v>
      </c>
      <c r="Q257" s="149">
        <f t="shared" si="173"/>
        <v>0.51899040888440184</v>
      </c>
      <c r="R257" s="149">
        <f t="shared" si="174"/>
        <v>0.46082486782041215</v>
      </c>
      <c r="S257" s="149">
        <f t="shared" si="175"/>
        <v>0.38349742944434057</v>
      </c>
      <c r="T257" s="149">
        <f t="shared" si="176"/>
        <v>0.32642281157295444</v>
      </c>
      <c r="U257" s="51">
        <f t="shared" si="177"/>
        <v>0.89307305703909734</v>
      </c>
      <c r="V257" s="51">
        <f t="shared" si="178"/>
        <v>0.90738485529795787</v>
      </c>
      <c r="W257" s="51">
        <f t="shared" si="179"/>
        <v>0.89666645068890161</v>
      </c>
      <c r="X257" s="51">
        <f t="shared" si="180"/>
        <v>0.90199653017756787</v>
      </c>
      <c r="Y257" s="51">
        <f t="shared" si="181"/>
        <v>0.89930309937555131</v>
      </c>
      <c r="Z257" s="51">
        <f t="shared" si="182"/>
        <v>3.1003299099964743E-2</v>
      </c>
      <c r="AA257" s="51">
        <f t="shared" si="183"/>
        <v>2.6203722189574737E-2</v>
      </c>
      <c r="AB257" s="51">
        <f t="shared" si="184"/>
        <v>2.6786079873077066E-2</v>
      </c>
      <c r="AC257" s="51">
        <f t="shared" si="185"/>
        <v>2.1298084450856715E-2</v>
      </c>
      <c r="AD257" s="62">
        <f t="shared" si="186"/>
        <v>1.9095592567003866E-2</v>
      </c>
      <c r="AE257" s="699"/>
      <c r="AF257" s="701">
        <f t="shared" si="187"/>
        <v>-2.5946278964772574E-3</v>
      </c>
      <c r="AG257" s="61">
        <f t="shared" si="131"/>
        <v>8.705082599041989E-3</v>
      </c>
      <c r="AH257" s="209"/>
      <c r="AI257" s="209"/>
      <c r="AJ257" s="700"/>
      <c r="AK257" s="701">
        <f t="shared" si="132"/>
        <v>6.1123331475310932E-2</v>
      </c>
      <c r="AL257" s="61">
        <f t="shared" si="133"/>
        <v>6.6056943798124712E-2</v>
      </c>
      <c r="AM257" s="845">
        <f t="shared" si="134"/>
        <v>0.44168940558540482</v>
      </c>
      <c r="AN257" s="845">
        <f t="shared" si="135"/>
        <v>0.49827332688742326</v>
      </c>
      <c r="AO257" s="536">
        <f t="shared" si="136"/>
        <v>-2.6366486866497008E-3</v>
      </c>
      <c r="AP257" s="552">
        <f t="shared" si="137"/>
        <v>-6.230042336453967E-3</v>
      </c>
      <c r="AQ257" s="827">
        <f t="shared" ref="AQ257:BG257" si="205">AQ99</f>
        <v>147973.911742</v>
      </c>
      <c r="AR257" s="827">
        <f t="shared" si="205"/>
        <v>167195.344725</v>
      </c>
      <c r="AS257" s="827">
        <f t="shared" si="205"/>
        <v>156409.64993799999</v>
      </c>
      <c r="AT257" s="827">
        <f t="shared" si="205"/>
        <v>139568.59089600001</v>
      </c>
      <c r="AU257" s="827">
        <f t="shared" si="205"/>
        <v>137464.80541200002</v>
      </c>
      <c r="AV257" s="827"/>
      <c r="AW257" s="827">
        <f t="shared" si="205"/>
        <v>38429.064648</v>
      </c>
      <c r="AX257" s="827">
        <f t="shared" si="205"/>
        <v>49176.927450000003</v>
      </c>
      <c r="AY257" s="827">
        <f t="shared" si="205"/>
        <v>39812.681275000003</v>
      </c>
      <c r="AZ257" s="827">
        <f t="shared" si="205"/>
        <v>40070.670527999995</v>
      </c>
      <c r="BA257" s="827">
        <f t="shared" si="205"/>
        <v>22202.16174</v>
      </c>
      <c r="BB257" s="829">
        <f t="shared" si="205"/>
        <v>0.38326026625909987</v>
      </c>
      <c r="BC257" s="829">
        <f t="shared" si="205"/>
        <v>0.29028368916043118</v>
      </c>
      <c r="BD257" s="829">
        <f t="shared" si="205"/>
        <v>0.46929541323639473</v>
      </c>
      <c r="BE257" s="829">
        <f t="shared" si="205"/>
        <v>0.35787712054625104</v>
      </c>
      <c r="BF257" s="829">
        <f t="shared" si="205"/>
        <v>0.27670521433618112</v>
      </c>
      <c r="BG257" s="829">
        <f t="shared" si="205"/>
        <v>0.43384754479990661</v>
      </c>
    </row>
    <row r="258" spans="1:59" ht="15" customHeight="1">
      <c r="A258" s="449">
        <v>2006</v>
      </c>
      <c r="B258" s="449"/>
      <c r="C258" s="50"/>
      <c r="D258" s="51"/>
      <c r="E258" s="51"/>
      <c r="F258" s="51"/>
      <c r="G258" s="51"/>
      <c r="H258" s="51"/>
      <c r="I258" s="51" t="s">
        <v>558</v>
      </c>
      <c r="J258" s="524" t="s">
        <v>522</v>
      </c>
      <c r="K258" s="543">
        <f t="shared" si="196"/>
        <v>11.411624163654226</v>
      </c>
      <c r="L258" s="543">
        <f t="shared" si="196"/>
        <v>11.507644108949034</v>
      </c>
      <c r="M258" s="543">
        <f t="shared" si="196"/>
        <v>11.279768870844498</v>
      </c>
      <c r="N258" s="543">
        <f t="shared" si="196"/>
        <v>10.985505761074966</v>
      </c>
      <c r="O258" s="543">
        <f t="shared" si="196"/>
        <v>11.014302529848237</v>
      </c>
      <c r="P258" s="149">
        <f t="shared" si="172"/>
        <v>-1.5323523119655022E-2</v>
      </c>
      <c r="Q258" s="149">
        <f t="shared" si="173"/>
        <v>2.4094186199928789E-2</v>
      </c>
      <c r="R258" s="149">
        <f t="shared" si="174"/>
        <v>7.7224373044815844E-2</v>
      </c>
      <c r="S258" s="149">
        <f t="shared" si="175"/>
        <v>5.1287748925994123E-2</v>
      </c>
      <c r="T258" s="149">
        <f t="shared" si="176"/>
        <v>1.4848304093267829E-3</v>
      </c>
      <c r="U258" s="51">
        <f t="shared" si="177"/>
        <v>0.5032114685169673</v>
      </c>
      <c r="V258" s="51">
        <f t="shared" si="178"/>
        <v>0.5150584208024328</v>
      </c>
      <c r="W258" s="51">
        <f t="shared" si="179"/>
        <v>0.66118695780549197</v>
      </c>
      <c r="X258" s="51">
        <f t="shared" si="180"/>
        <v>0.6696940357025839</v>
      </c>
      <c r="Y258" s="51">
        <f t="shared" si="181"/>
        <v>0.58493302220118659</v>
      </c>
      <c r="Z258" s="51">
        <f t="shared" si="182"/>
        <v>0.77162693486203238</v>
      </c>
      <c r="AA258" s="51">
        <f t="shared" si="183"/>
        <v>0.63685293105412977</v>
      </c>
      <c r="AB258" s="51">
        <f t="shared" si="184"/>
        <v>1.3016098870970012</v>
      </c>
      <c r="AC258" s="51">
        <f t="shared" si="185"/>
        <v>1.3916718513582664</v>
      </c>
      <c r="AD258" s="62">
        <f t="shared" si="186"/>
        <v>1.0748836006207967</v>
      </c>
      <c r="AE258" s="699"/>
      <c r="AF258" s="701">
        <f t="shared" si="187"/>
        <v>0.11234005065610635</v>
      </c>
      <c r="AG258" s="61">
        <f t="shared" si="131"/>
        <v>-1.3420063032795318E-2</v>
      </c>
      <c r="AH258" s="209"/>
      <c r="AI258" s="209"/>
      <c r="AJ258" s="700"/>
      <c r="AK258" s="701">
        <f t="shared" si="132"/>
        <v>0.34893883651502622</v>
      </c>
      <c r="AL258" s="61">
        <f t="shared" si="133"/>
        <v>-2.505029800336744E-2</v>
      </c>
      <c r="AM258" s="845">
        <f t="shared" si="134"/>
        <v>0.26546634099625938</v>
      </c>
      <c r="AN258" s="845">
        <f t="shared" si="135"/>
        <v>0.39732163380598895</v>
      </c>
      <c r="AO258" s="536">
        <f t="shared" si="136"/>
        <v>7.6253935604305378E-2</v>
      </c>
      <c r="AP258" s="552">
        <f t="shared" si="137"/>
        <v>-8.1721553684219295E-2</v>
      </c>
      <c r="AQ258" s="827">
        <f t="shared" ref="AQ258:BG258" si="206">AQ100</f>
        <v>58179.446649999998</v>
      </c>
      <c r="AR258" s="827">
        <f t="shared" si="206"/>
        <v>75745.819445999994</v>
      </c>
      <c r="AS258" s="827">
        <f t="shared" si="206"/>
        <v>20616.771543999999</v>
      </c>
      <c r="AT258" s="827">
        <f t="shared" si="206"/>
        <v>14006.634192</v>
      </c>
      <c r="AU258" s="827">
        <f t="shared" si="206"/>
        <v>23453.338803999999</v>
      </c>
      <c r="AV258" s="827"/>
      <c r="AW258" s="827">
        <f t="shared" si="206"/>
        <v>15668.484129999999</v>
      </c>
      <c r="AX258" s="827">
        <f t="shared" si="206"/>
        <v>22688.813414</v>
      </c>
      <c r="AY258" s="827">
        <f t="shared" si="206"/>
        <v>17163.389159999999</v>
      </c>
      <c r="AZ258" s="827">
        <f t="shared" si="206"/>
        <v>10742.728128000001</v>
      </c>
      <c r="BA258" s="827">
        <f t="shared" si="206"/>
        <v>8973.7366569999995</v>
      </c>
      <c r="BB258" s="829">
        <f t="shared" si="206"/>
        <v>1.004972883059276E-2</v>
      </c>
      <c r="BC258" s="829">
        <f t="shared" si="206"/>
        <v>0.2817368053940944</v>
      </c>
      <c r="BD258" s="829">
        <f t="shared" si="206"/>
        <v>0.35636309256766863</v>
      </c>
      <c r="BE258" s="829">
        <f t="shared" si="206"/>
        <v>-2.7047413735507616E-3</v>
      </c>
      <c r="BF258" s="829">
        <f t="shared" si="206"/>
        <v>0.20510703226147903</v>
      </c>
      <c r="BG258" s="829">
        <f t="shared" si="206"/>
        <v>0.35532867868091011</v>
      </c>
    </row>
    <row r="259" spans="1:59" ht="15" customHeight="1">
      <c r="A259" s="449">
        <v>2006</v>
      </c>
      <c r="B259" s="449"/>
      <c r="C259" s="50"/>
      <c r="D259" s="51"/>
      <c r="E259" s="51"/>
      <c r="F259" s="51"/>
      <c r="G259" s="51"/>
      <c r="H259" s="51"/>
      <c r="I259" s="51" t="s">
        <v>558</v>
      </c>
      <c r="J259" s="524" t="s">
        <v>523</v>
      </c>
      <c r="K259" s="543">
        <f t="shared" ref="K259:O268" si="207">LN(K101)</f>
        <v>14.661689832968051</v>
      </c>
      <c r="L259" s="543">
        <f t="shared" si="207"/>
        <v>14.791971668567975</v>
      </c>
      <c r="M259" s="543">
        <f t="shared" si="207"/>
        <v>14.631070420189788</v>
      </c>
      <c r="N259" s="543">
        <f t="shared" si="207"/>
        <v>14.127014138827278</v>
      </c>
      <c r="O259" s="543">
        <f t="shared" si="207"/>
        <v>13.20208069522125</v>
      </c>
      <c r="P259" s="149">
        <f t="shared" si="172"/>
        <v>2.6254455717027694E-2</v>
      </c>
      <c r="Q259" s="149">
        <f t="shared" si="173"/>
        <v>2.9191890464388741E-2</v>
      </c>
      <c r="R259" s="149">
        <f t="shared" si="174"/>
        <v>3.203560857815492E-2</v>
      </c>
      <c r="S259" s="149">
        <f t="shared" si="175"/>
        <v>-4.961701154681605E-3</v>
      </c>
      <c r="T259" s="149">
        <f t="shared" si="176"/>
        <v>-4.3933955491744434E-2</v>
      </c>
      <c r="U259" s="51">
        <f t="shared" si="177"/>
        <v>0.60690329793180553</v>
      </c>
      <c r="V259" s="51">
        <f t="shared" si="178"/>
        <v>0.65488221586312645</v>
      </c>
      <c r="W259" s="51">
        <f t="shared" si="179"/>
        <v>0.68765428426969621</v>
      </c>
      <c r="X259" s="51">
        <f t="shared" si="180"/>
        <v>0.72786793682316064</v>
      </c>
      <c r="Y259" s="51">
        <f t="shared" si="181"/>
        <v>0.949918943955535</v>
      </c>
      <c r="Z259" s="51">
        <f t="shared" si="182"/>
        <v>2.0385690329793182</v>
      </c>
      <c r="AA259" s="51">
        <f t="shared" si="183"/>
        <v>1.7830984895135291</v>
      </c>
      <c r="AB259" s="51">
        <f t="shared" si="184"/>
        <v>1.9644737233441394</v>
      </c>
      <c r="AC259" s="51">
        <f t="shared" si="185"/>
        <v>1.3570918794799391</v>
      </c>
      <c r="AD259" s="62">
        <f t="shared" si="186"/>
        <v>2.0162691060676243</v>
      </c>
      <c r="AE259" s="699"/>
      <c r="AF259" s="701">
        <f t="shared" si="187"/>
        <v>9.4115908606639612E-3</v>
      </c>
      <c r="AG259" s="61">
        <f t="shared" si="131"/>
        <v>0.14210419756781381</v>
      </c>
      <c r="AH259" s="209"/>
      <c r="AI259" s="209"/>
      <c r="AJ259" s="700"/>
      <c r="AK259" s="701">
        <f t="shared" si="132"/>
        <v>0.59057657469994429</v>
      </c>
      <c r="AL259" s="61">
        <f t="shared" si="133"/>
        <v>0.48890131254661978</v>
      </c>
      <c r="AM259" s="845">
        <f t="shared" si="134"/>
        <v>1.4289897249685384</v>
      </c>
      <c r="AN259" s="845">
        <f t="shared" si="135"/>
        <v>1.4596091377468006</v>
      </c>
      <c r="AO259" s="536">
        <f t="shared" si="136"/>
        <v>-0.26226465968583879</v>
      </c>
      <c r="AP259" s="552">
        <f t="shared" si="137"/>
        <v>-0.34301564602372947</v>
      </c>
      <c r="AQ259" s="827">
        <f t="shared" ref="AQ259:BG259" si="208">AQ101</f>
        <v>449433.01</v>
      </c>
      <c r="AR259" s="827">
        <f t="shared" si="208"/>
        <v>513882.32380000001</v>
      </c>
      <c r="AS259" s="827">
        <f t="shared" si="208"/>
        <v>359403.64479999995</v>
      </c>
      <c r="AT259" s="827">
        <f t="shared" si="208"/>
        <v>273813.43199999997</v>
      </c>
      <c r="AU259" s="827">
        <f t="shared" si="208"/>
        <v>13449.798499999999</v>
      </c>
      <c r="AV259" s="827"/>
      <c r="AW259" s="827">
        <f t="shared" si="208"/>
        <v>17574.7</v>
      </c>
      <c r="AX259" s="827">
        <f t="shared" si="208"/>
        <v>28136.509000000002</v>
      </c>
      <c r="AY259" s="827">
        <f t="shared" si="208"/>
        <v>19369.878399999998</v>
      </c>
      <c r="AZ259" s="827">
        <f t="shared" si="208"/>
        <v>10100.187599999999</v>
      </c>
      <c r="BA259" s="827">
        <f t="shared" si="208"/>
        <v>4509.1809999999996</v>
      </c>
      <c r="BB259" s="829">
        <f t="shared" si="208"/>
        <v>-5.2758620689655178</v>
      </c>
      <c r="BC259" s="829">
        <f t="shared" si="208"/>
        <v>-0.67078825347758886</v>
      </c>
      <c r="BD259" s="829">
        <f t="shared" si="208"/>
        <v>3.7385159010600706</v>
      </c>
      <c r="BE259" s="829">
        <f t="shared" si="208"/>
        <v>-5.0052788072171275</v>
      </c>
      <c r="BF259" s="829">
        <f t="shared" si="208"/>
        <v>-0.43994081443288319</v>
      </c>
      <c r="BG259" s="829">
        <f t="shared" si="208"/>
        <v>2.6422460832072852</v>
      </c>
    </row>
    <row r="260" spans="1:59" ht="15" customHeight="1">
      <c r="A260" s="535">
        <v>2006</v>
      </c>
      <c r="B260" s="449"/>
      <c r="C260" s="50"/>
      <c r="D260" s="51"/>
      <c r="E260" s="51"/>
      <c r="F260" s="51"/>
      <c r="G260" s="51"/>
      <c r="H260" s="51"/>
      <c r="I260" s="562" t="s">
        <v>558</v>
      </c>
      <c r="J260" s="740" t="s">
        <v>524</v>
      </c>
      <c r="K260" s="543">
        <f t="shared" si="207"/>
        <v>11.491672719412607</v>
      </c>
      <c r="L260" s="543">
        <f t="shared" si="207"/>
        <v>11.400570537746098</v>
      </c>
      <c r="M260" s="543">
        <f t="shared" si="207"/>
        <v>10.896369223585648</v>
      </c>
      <c r="N260" s="543">
        <f t="shared" si="207"/>
        <v>10.415514234902389</v>
      </c>
      <c r="O260" s="543">
        <f t="shared" si="207"/>
        <v>10.083228846062099</v>
      </c>
      <c r="P260" s="149">
        <f t="shared" si="172"/>
        <v>4.6442361988321273E-2</v>
      </c>
      <c r="Q260" s="149">
        <f t="shared" si="173"/>
        <v>0.17642917204781275</v>
      </c>
      <c r="R260" s="149">
        <f t="shared" si="174"/>
        <v>3.9522484197980129E-2</v>
      </c>
      <c r="S260" s="149">
        <f t="shared" si="175"/>
        <v>-8.5090558694757318E-2</v>
      </c>
      <c r="T260" s="149">
        <f t="shared" si="176"/>
        <v>1.818075529054133E-2</v>
      </c>
      <c r="U260" s="51">
        <f t="shared" si="177"/>
        <v>0.26625744174386284</v>
      </c>
      <c r="V260" s="51">
        <f t="shared" si="178"/>
        <v>0.2553000520357428</v>
      </c>
      <c r="W260" s="51">
        <f t="shared" si="179"/>
        <v>0.132895572971828</v>
      </c>
      <c r="X260" s="51">
        <f t="shared" si="180"/>
        <v>0.11170275201946368</v>
      </c>
      <c r="Y260" s="51">
        <f t="shared" si="181"/>
        <v>0.10923027296047678</v>
      </c>
      <c r="Z260" s="51">
        <f t="shared" si="182"/>
        <v>0.74568098953896478</v>
      </c>
      <c r="AA260" s="51">
        <f t="shared" si="183"/>
        <v>0.61883444915560171</v>
      </c>
      <c r="AB260" s="51">
        <f t="shared" si="184"/>
        <v>0.51401430596516384</v>
      </c>
      <c r="AC260" s="51">
        <f t="shared" si="185"/>
        <v>0.38021050085544872</v>
      </c>
      <c r="AD260" s="62">
        <f t="shared" si="186"/>
        <v>0.47296969324587951</v>
      </c>
      <c r="AE260" s="699"/>
      <c r="AF260" s="701">
        <f t="shared" si="187"/>
        <v>-1.4316064158934296E-2</v>
      </c>
      <c r="AG260" s="61">
        <f t="shared" si="131"/>
        <v>2.6032240191232476E-2</v>
      </c>
      <c r="AH260" s="209"/>
      <c r="AI260" s="209"/>
      <c r="AJ260" s="700"/>
      <c r="AK260" s="701">
        <f t="shared" si="132"/>
        <v>1.4890884485735069E-2</v>
      </c>
      <c r="AL260" s="61">
        <f t="shared" si="133"/>
        <v>3.4248483228142737E-2</v>
      </c>
      <c r="AM260" s="845">
        <f t="shared" si="134"/>
        <v>0.81314037752354873</v>
      </c>
      <c r="AN260" s="845">
        <f t="shared" si="135"/>
        <v>1.408443873350508</v>
      </c>
      <c r="AO260" s="536">
        <f t="shared" si="136"/>
        <v>2.3665300011351212E-2</v>
      </c>
      <c r="AP260" s="552">
        <f t="shared" si="137"/>
        <v>0.15702716878338607</v>
      </c>
      <c r="AQ260" s="827">
        <f t="shared" ref="AQ260:BG260" si="209">AQ102</f>
        <v>96329.646789999999</v>
      </c>
      <c r="AR260" s="827">
        <f t="shared" si="209"/>
        <v>107550.322418</v>
      </c>
      <c r="AS260" s="827">
        <f t="shared" si="209"/>
        <v>91060.330815999987</v>
      </c>
      <c r="AT260" s="827">
        <f t="shared" si="209"/>
        <v>77971.262759999998</v>
      </c>
      <c r="AU260" s="827">
        <f t="shared" si="209"/>
        <v>45084.035549999993</v>
      </c>
      <c r="AV260" s="827"/>
      <c r="AW260" s="827">
        <f t="shared" si="209"/>
        <v>0</v>
      </c>
      <c r="AX260" s="827">
        <f t="shared" si="209"/>
        <v>0</v>
      </c>
      <c r="AY260" s="827">
        <f t="shared" si="209"/>
        <v>0</v>
      </c>
      <c r="AZ260" s="827">
        <f t="shared" si="209"/>
        <v>0</v>
      </c>
      <c r="BA260" s="827">
        <f t="shared" si="209"/>
        <v>0</v>
      </c>
      <c r="BB260" s="829" t="e">
        <f t="shared" si="209"/>
        <v>#DIV/0!</v>
      </c>
      <c r="BC260" s="829" t="e">
        <f t="shared" si="209"/>
        <v>#DIV/0!</v>
      </c>
      <c r="BD260" s="829" t="e">
        <f t="shared" si="209"/>
        <v>#DIV/0!</v>
      </c>
      <c r="BE260" s="829" t="e">
        <f t="shared" si="209"/>
        <v>#DIV/0!</v>
      </c>
      <c r="BF260" s="829" t="e">
        <f t="shared" si="209"/>
        <v>#DIV/0!</v>
      </c>
      <c r="BG260" s="829" t="e">
        <f t="shared" si="209"/>
        <v>#DIV/0!</v>
      </c>
    </row>
    <row r="261" spans="1:59" ht="15" customHeight="1">
      <c r="A261" s="535">
        <v>2015</v>
      </c>
      <c r="B261" s="449"/>
      <c r="C261" s="50"/>
      <c r="D261" s="51"/>
      <c r="E261" s="51"/>
      <c r="F261" s="51"/>
      <c r="G261" s="51"/>
      <c r="H261" s="51"/>
      <c r="I261" s="536" t="s">
        <v>146</v>
      </c>
      <c r="J261" s="524" t="s">
        <v>642</v>
      </c>
      <c r="K261" s="543">
        <f t="shared" si="207"/>
        <v>8.3660927957385809</v>
      </c>
      <c r="L261" s="543">
        <f t="shared" si="207"/>
        <v>8.408280264075751</v>
      </c>
      <c r="M261" s="543">
        <f t="shared" si="207"/>
        <v>8.5324084551841928</v>
      </c>
      <c r="N261" s="543">
        <f t="shared" si="207"/>
        <v>8.7992013695297562</v>
      </c>
      <c r="O261" s="543">
        <f t="shared" si="207"/>
        <v>8.6813180122799594</v>
      </c>
      <c r="P261" s="149">
        <f t="shared" si="172"/>
        <v>-0.64221364221364219</v>
      </c>
      <c r="Q261" s="149">
        <f t="shared" si="173"/>
        <v>-2.4301528160267831</v>
      </c>
      <c r="R261" s="149">
        <f t="shared" si="174"/>
        <v>-0.34618451292153279</v>
      </c>
      <c r="S261" s="149">
        <f t="shared" si="175"/>
        <v>8.6840823057606528E-2</v>
      </c>
      <c r="T261" s="149">
        <f t="shared" si="176"/>
        <v>-1.0878141042961362</v>
      </c>
      <c r="U261" s="51">
        <f t="shared" si="177"/>
        <v>0.92739533195889434</v>
      </c>
      <c r="V261" s="51">
        <f t="shared" si="178"/>
        <v>0.88400747381758105</v>
      </c>
      <c r="W261" s="51">
        <f t="shared" si="179"/>
        <v>0.8224271483186677</v>
      </c>
      <c r="X261" s="51">
        <f t="shared" si="180"/>
        <v>0.75396210036202937</v>
      </c>
      <c r="Y261" s="51">
        <f t="shared" si="181"/>
        <v>0.71939367399717535</v>
      </c>
      <c r="Z261" s="51">
        <f t="shared" si="182"/>
        <v>2.7886221981185871E-2</v>
      </c>
      <c r="AA261" s="51">
        <f t="shared" si="183"/>
        <v>2.970120767910699E-2</v>
      </c>
      <c r="AB261" s="51">
        <f t="shared" si="184"/>
        <v>3.2269049500095348E-2</v>
      </c>
      <c r="AC261" s="51">
        <f t="shared" si="185"/>
        <v>5.2639262920106934E-2</v>
      </c>
      <c r="AD261" s="62">
        <f t="shared" si="186"/>
        <v>4.2426312796903946E-2</v>
      </c>
      <c r="AE261" s="699"/>
      <c r="AF261" s="701">
        <f t="shared" si="187"/>
        <v>6.7378670024841672E-3</v>
      </c>
      <c r="AG261" s="61">
        <f t="shared" si="131"/>
        <v>2.8243029267636253E-2</v>
      </c>
      <c r="AH261" s="209"/>
      <c r="AI261" s="209"/>
      <c r="AJ261" s="700"/>
      <c r="AK261" s="701">
        <f t="shared" si="132"/>
        <v>8.683786222232201E-2</v>
      </c>
      <c r="AL261" s="61">
        <f t="shared" si="133"/>
        <v>-4.586666563396366E-2</v>
      </c>
      <c r="AM261" s="845">
        <f t="shared" si="134"/>
        <v>-0.14890955709576714</v>
      </c>
      <c r="AN261" s="845">
        <f t="shared" si="135"/>
        <v>-0.31522521654137947</v>
      </c>
      <c r="AO261" s="536">
        <f t="shared" si="136"/>
        <v>0.10303347432149235</v>
      </c>
      <c r="AP261" s="552">
        <f t="shared" si="137"/>
        <v>0.20800165796171899</v>
      </c>
      <c r="AQ261" s="827">
        <f t="shared" ref="AQ261:BG261" si="210">AQ103</f>
        <v>11192.38911</v>
      </c>
      <c r="AR261" s="827">
        <f t="shared" si="210"/>
        <v>17511.591570000001</v>
      </c>
      <c r="AS261" s="827">
        <f t="shared" si="210"/>
        <v>27936.143609000002</v>
      </c>
      <c r="AT261" s="827">
        <f t="shared" si="210"/>
        <v>30983.952015999999</v>
      </c>
      <c r="AU261" s="827">
        <f t="shared" si="210"/>
        <v>38968.070489999998</v>
      </c>
      <c r="AV261" s="827"/>
      <c r="AW261" s="827">
        <f t="shared" si="210"/>
        <v>137722.87974</v>
      </c>
      <c r="AX261" s="827">
        <f t="shared" si="210"/>
        <v>131745.59505800001</v>
      </c>
      <c r="AY261" s="827">
        <f t="shared" si="210"/>
        <v>127459.927595</v>
      </c>
      <c r="AZ261" s="827">
        <f t="shared" si="210"/>
        <v>92058.174203999995</v>
      </c>
      <c r="BA261" s="827">
        <f t="shared" si="210"/>
        <v>92987.709839999996</v>
      </c>
      <c r="BB261" s="829">
        <f t="shared" si="210"/>
        <v>-6.8925137644835238E-2</v>
      </c>
      <c r="BC261" s="829">
        <f t="shared" si="210"/>
        <v>6.2532554982497905E-3</v>
      </c>
      <c r="BD261" s="829">
        <f t="shared" si="210"/>
        <v>-1.3788336610266063E-2</v>
      </c>
      <c r="BE261" s="829">
        <f t="shared" si="210"/>
        <v>-0.10356170884147535</v>
      </c>
      <c r="BF261" s="829">
        <f t="shared" si="210"/>
        <v>-0.11326926884466794</v>
      </c>
      <c r="BG261" s="829">
        <f t="shared" si="210"/>
        <v>-2.1933110267294061E-2</v>
      </c>
    </row>
    <row r="262" spans="1:59" ht="15" customHeight="1">
      <c r="A262" s="535">
        <v>2015</v>
      </c>
      <c r="B262" s="449"/>
      <c r="C262" s="51"/>
      <c r="D262" s="51"/>
      <c r="E262" s="51"/>
      <c r="F262" s="51"/>
      <c r="G262" s="51"/>
      <c r="H262" s="51"/>
      <c r="I262" s="536" t="s">
        <v>146</v>
      </c>
      <c r="J262" s="524" t="s">
        <v>643</v>
      </c>
      <c r="K262" s="543">
        <f t="shared" si="207"/>
        <v>13.310793803452981</v>
      </c>
      <c r="L262" s="543">
        <f t="shared" si="207"/>
        <v>13.032953393191004</v>
      </c>
      <c r="M262" s="543">
        <f t="shared" si="207"/>
        <v>12.635633469832063</v>
      </c>
      <c r="N262" s="543">
        <f t="shared" si="207"/>
        <v>13.026216478960574</v>
      </c>
      <c r="O262" s="543">
        <f t="shared" si="207"/>
        <v>13.333764885134082</v>
      </c>
      <c r="P262" s="149">
        <f t="shared" si="172"/>
        <v>-1.199107349246807</v>
      </c>
      <c r="Q262" s="149">
        <f t="shared" si="173"/>
        <v>-9.135276312082577E-2</v>
      </c>
      <c r="R262" s="149">
        <f t="shared" si="174"/>
        <v>-0.32018577933493508</v>
      </c>
      <c r="S262" s="149">
        <f t="shared" si="175"/>
        <v>-0.43878516176325782</v>
      </c>
      <c r="T262" s="149">
        <f t="shared" si="176"/>
        <v>2.9213645886407638E-2</v>
      </c>
      <c r="U262" s="51">
        <f t="shared" si="177"/>
        <v>1.0269075688734814</v>
      </c>
      <c r="V262" s="51">
        <f t="shared" si="178"/>
        <v>0.86257834917994014</v>
      </c>
      <c r="W262" s="51">
        <f t="shared" si="179"/>
        <v>0.84492954955475641</v>
      </c>
      <c r="X262" s="51">
        <f t="shared" si="180"/>
        <v>0.77411100872661998</v>
      </c>
      <c r="Y262" s="51">
        <f t="shared" si="181"/>
        <v>0.71500420264005582</v>
      </c>
      <c r="Z262" s="51">
        <f t="shared" si="182"/>
        <v>0.15531100046532298</v>
      </c>
      <c r="AA262" s="51">
        <f t="shared" si="183"/>
        <v>0.10458771591197974</v>
      </c>
      <c r="AB262" s="51">
        <f t="shared" si="184"/>
        <v>0.11583376426819182</v>
      </c>
      <c r="AC262" s="51">
        <f t="shared" si="185"/>
        <v>0.2251736137736314</v>
      </c>
      <c r="AD262" s="62">
        <f t="shared" si="186"/>
        <v>0.21865071699586408</v>
      </c>
      <c r="AF262" s="701">
        <f t="shared" si="187"/>
        <v>0.14914623799133289</v>
      </c>
      <c r="AG262" s="61">
        <f t="shared" si="131"/>
        <v>-0.19262214669596936</v>
      </c>
      <c r="AK262" s="701">
        <f t="shared" si="132"/>
        <v>-0.24887056212747588</v>
      </c>
      <c r="AL262" s="61">
        <f t="shared" si="133"/>
        <v>-2.9396057383405614</v>
      </c>
      <c r="AM262" s="845">
        <f t="shared" si="134"/>
        <v>-0.69813141530201839</v>
      </c>
      <c r="AN262" s="845">
        <f t="shared" si="135"/>
        <v>-2.2971081681101416E-2</v>
      </c>
      <c r="AO262" s="536">
        <f t="shared" si="136"/>
        <v>0.12992534691470059</v>
      </c>
      <c r="AP262" s="552">
        <f t="shared" si="137"/>
        <v>0.31190336623342563</v>
      </c>
      <c r="AQ262" s="827">
        <f t="shared" ref="AQ262:BG262" si="211">AQ104</f>
        <v>-104586.71971200001</v>
      </c>
      <c r="AR262" s="827">
        <f t="shared" si="211"/>
        <v>600778.40266400005</v>
      </c>
      <c r="AS262" s="827">
        <f t="shared" si="211"/>
        <v>411414.666531</v>
      </c>
      <c r="AT262" s="827">
        <f t="shared" si="211"/>
        <v>455608.17194999999</v>
      </c>
      <c r="AU262" s="827">
        <f t="shared" si="211"/>
        <v>805133.80674000003</v>
      </c>
      <c r="AV262" s="827"/>
      <c r="AW262" s="827">
        <f t="shared" si="211"/>
        <v>589636.10667000001</v>
      </c>
      <c r="AX262" s="827">
        <f t="shared" si="211"/>
        <v>3526361.1741380002</v>
      </c>
      <c r="AY262" s="827">
        <f t="shared" si="211"/>
        <v>2121877.928357</v>
      </c>
      <c r="AZ262" s="827">
        <f t="shared" si="211"/>
        <v>1171196.7651520001</v>
      </c>
      <c r="BA262" s="827">
        <f t="shared" si="211"/>
        <v>1687584.48591</v>
      </c>
      <c r="BB262" s="829">
        <f t="shared" si="211"/>
        <v>1.0693029107973425E-2</v>
      </c>
      <c r="BC262" s="829">
        <f t="shared" si="211"/>
        <v>-0.17015158753459925</v>
      </c>
      <c r="BD262" s="829">
        <f t="shared" si="211"/>
        <v>-4.6373250158264878E-2</v>
      </c>
      <c r="BE262" s="829">
        <f t="shared" si="211"/>
        <v>-0.82389097214677731</v>
      </c>
      <c r="BF262" s="829">
        <f t="shared" si="211"/>
        <v>-0.15035953182129924</v>
      </c>
      <c r="BG262" s="829">
        <f t="shared" si="211"/>
        <v>-7.4380003768629965E-2</v>
      </c>
    </row>
    <row r="263" spans="1:59" ht="15" customHeight="1">
      <c r="A263" s="535">
        <v>2016</v>
      </c>
      <c r="B263" s="449"/>
      <c r="C263" s="51"/>
      <c r="D263" s="51"/>
      <c r="E263" s="51"/>
      <c r="F263" s="51"/>
      <c r="G263" s="51"/>
      <c r="H263" s="51"/>
      <c r="I263" s="536" t="s">
        <v>147</v>
      </c>
      <c r="J263" s="524" t="s">
        <v>1044</v>
      </c>
      <c r="K263" s="543">
        <f t="shared" si="207"/>
        <v>9.4257742802203399</v>
      </c>
      <c r="L263" s="543">
        <f t="shared" si="207"/>
        <v>7.3975615355240523</v>
      </c>
      <c r="M263" s="543">
        <f t="shared" si="207"/>
        <v>8.5841038966988634</v>
      </c>
      <c r="N263" s="543">
        <f t="shared" si="207"/>
        <v>2.0794415416798357</v>
      </c>
      <c r="O263" s="543" t="e">
        <f t="shared" si="207"/>
        <v>#NUM!</v>
      </c>
      <c r="P263" s="149">
        <f t="shared" si="172"/>
        <v>1.2861173814898419</v>
      </c>
      <c r="Q263" s="149">
        <f t="shared" si="173"/>
        <v>0.35355392156862747</v>
      </c>
      <c r="R263" s="149">
        <f t="shared" si="174"/>
        <v>-2.0660306771417885</v>
      </c>
      <c r="S263" s="149">
        <f t="shared" si="175"/>
        <v>-102.375</v>
      </c>
      <c r="T263" s="149" t="e">
        <f t="shared" si="176"/>
        <v>#DIV/0!</v>
      </c>
      <c r="U263" s="51">
        <f t="shared" si="177"/>
        <v>0.46499616233208618</v>
      </c>
      <c r="V263" s="51">
        <f t="shared" si="178"/>
        <v>1.5600757751090767E-3</v>
      </c>
      <c r="W263" s="51">
        <f t="shared" si="179"/>
        <v>7.5509644391626288E-2</v>
      </c>
      <c r="X263" s="51">
        <f t="shared" si="180"/>
        <v>0.60982015415358259</v>
      </c>
      <c r="Y263" s="51">
        <f t="shared" si="181"/>
        <v>0.56578263130525219</v>
      </c>
      <c r="Z263" s="51">
        <f t="shared" si="182"/>
        <v>3.142074772463023E-2</v>
      </c>
      <c r="AA263" s="51">
        <f t="shared" si="183"/>
        <v>1.39892509064726E-2</v>
      </c>
      <c r="AB263" s="51">
        <f t="shared" si="184"/>
        <v>9.7742023951001011E-2</v>
      </c>
      <c r="AC263" s="51">
        <f t="shared" si="185"/>
        <v>4.5675135598058808E-4</v>
      </c>
      <c r="AD263" s="62">
        <f t="shared" si="186"/>
        <v>0</v>
      </c>
      <c r="AF263" s="701">
        <f t="shared" si="187"/>
        <v>-0.24234878971674984</v>
      </c>
      <c r="AG263" s="61">
        <f t="shared" si="131"/>
        <v>0.12736980370496659</v>
      </c>
      <c r="AK263" s="701">
        <f t="shared" si="132"/>
        <v>-0.21892985533789386</v>
      </c>
      <c r="AL263" s="61">
        <f t="shared" si="133"/>
        <v>0.26328184356746342</v>
      </c>
      <c r="AM263" s="845" t="e">
        <f t="shared" si="134"/>
        <v>#DIV/0!</v>
      </c>
      <c r="AN263" s="845" t="e">
        <f t="shared" si="135"/>
        <v>#DIV/0!</v>
      </c>
      <c r="AO263" s="536">
        <f t="shared" si="136"/>
        <v>-0.49027298691362592</v>
      </c>
      <c r="AP263" s="552">
        <f t="shared" si="137"/>
        <v>-0.10078646897316601</v>
      </c>
      <c r="AQ263" s="827">
        <f t="shared" ref="AQ263:BG263" si="212">AQ105</f>
        <v>211204</v>
      </c>
      <c r="AR263" s="827">
        <f t="shared" si="212"/>
        <v>116479</v>
      </c>
      <c r="AS263" s="827">
        <f t="shared" si="212"/>
        <v>50565</v>
      </c>
      <c r="AT263" s="827">
        <f t="shared" si="212"/>
        <v>6835</v>
      </c>
      <c r="AU263" s="827">
        <f t="shared" si="212"/>
        <v>7515</v>
      </c>
      <c r="AV263" s="827"/>
      <c r="AW263" s="827">
        <f t="shared" si="212"/>
        <v>174494</v>
      </c>
      <c r="AX263" s="827">
        <f t="shared" si="212"/>
        <v>0</v>
      </c>
      <c r="AY263" s="827">
        <f t="shared" si="212"/>
        <v>1425</v>
      </c>
      <c r="AZ263" s="827">
        <f t="shared" si="212"/>
        <v>9455</v>
      </c>
      <c r="BA263" s="827">
        <f t="shared" si="212"/>
        <v>8513</v>
      </c>
      <c r="BB263" s="829">
        <f t="shared" si="212"/>
        <v>-0.1767884412075649</v>
      </c>
      <c r="BC263" s="829">
        <f t="shared" si="212"/>
        <v>-8.6620835536753038E-2</v>
      </c>
      <c r="BD263" s="829">
        <f t="shared" si="212"/>
        <v>-7.7508771929824558</v>
      </c>
      <c r="BE263" s="829">
        <f t="shared" si="212"/>
        <v>-5.7744738483052289E-2</v>
      </c>
      <c r="BF263" s="829">
        <f t="shared" si="212"/>
        <v>-5.0124372423055508E-2</v>
      </c>
      <c r="BG263" s="829">
        <f t="shared" si="212"/>
        <v>-0.94104981254068942</v>
      </c>
    </row>
    <row r="264" spans="1:59" ht="15" customHeight="1">
      <c r="A264" s="535">
        <v>2016</v>
      </c>
      <c r="B264" s="449"/>
      <c r="C264" s="51"/>
      <c r="D264" s="51"/>
      <c r="E264" s="51"/>
      <c r="F264" s="51"/>
      <c r="G264" s="51"/>
      <c r="H264" s="51"/>
      <c r="I264" s="536" t="s">
        <v>147</v>
      </c>
      <c r="J264" s="524" t="s">
        <v>1083</v>
      </c>
      <c r="K264" s="543">
        <f t="shared" si="207"/>
        <v>11.081397387452409</v>
      </c>
      <c r="L264" s="543">
        <f t="shared" si="207"/>
        <v>11.1151294851957</v>
      </c>
      <c r="M264" s="543">
        <f t="shared" si="207"/>
        <v>11.08626475765784</v>
      </c>
      <c r="N264" s="543">
        <f t="shared" si="207"/>
        <v>11.315014666600419</v>
      </c>
      <c r="O264" s="543">
        <f t="shared" si="207"/>
        <v>11.402476679708126</v>
      </c>
      <c r="P264" s="149">
        <f t="shared" si="172"/>
        <v>0.133220364499544</v>
      </c>
      <c r="Q264" s="149">
        <f t="shared" si="173"/>
        <v>0.34147118140324806</v>
      </c>
      <c r="R264" s="149">
        <f t="shared" si="174"/>
        <v>0.24254936330838506</v>
      </c>
      <c r="S264" s="149">
        <f t="shared" si="175"/>
        <v>0.39407175019335666</v>
      </c>
      <c r="T264" s="149">
        <f t="shared" si="176"/>
        <v>0.31361567350019215</v>
      </c>
      <c r="U264" s="51">
        <f t="shared" si="177"/>
        <v>0.8642477180382141</v>
      </c>
      <c r="V264" s="51">
        <f t="shared" si="178"/>
        <v>0.81944027285530252</v>
      </c>
      <c r="W264" s="51">
        <f t="shared" si="179"/>
        <v>0.89776612591393423</v>
      </c>
      <c r="X264" s="51">
        <f t="shared" si="180"/>
        <v>0.41503084013159958</v>
      </c>
      <c r="Y264" s="51">
        <f t="shared" si="181"/>
        <v>0.59793624623751507</v>
      </c>
      <c r="Z264" s="51">
        <f t="shared" si="182"/>
        <v>1.1283863996855328</v>
      </c>
      <c r="AA264" s="51">
        <f t="shared" si="183"/>
        <v>1.2156967443805913</v>
      </c>
      <c r="AB264" s="51">
        <f t="shared" si="184"/>
        <v>0.86498242326322428</v>
      </c>
      <c r="AC264" s="51">
        <f t="shared" si="185"/>
        <v>0.55339667050244401</v>
      </c>
      <c r="AD264" s="62">
        <f t="shared" si="186"/>
        <v>0.60050552469848051</v>
      </c>
      <c r="AF264" s="701">
        <f t="shared" si="187"/>
        <v>5.9476888573004261E-2</v>
      </c>
      <c r="AG264" s="61">
        <f t="shared" si="131"/>
        <v>-3.8003897106465429E-2</v>
      </c>
      <c r="AK264" s="701">
        <f t="shared" si="132"/>
        <v>-0.17623279795586655</v>
      </c>
      <c r="AL264" s="61">
        <f t="shared" si="133"/>
        <v>0.46118306611985427</v>
      </c>
      <c r="AM264" s="845">
        <f t="shared" si="134"/>
        <v>-0.31621192205028603</v>
      </c>
      <c r="AN264" s="845">
        <f t="shared" si="135"/>
        <v>-0.32107929225571735</v>
      </c>
      <c r="AO264" s="536">
        <f t="shared" si="136"/>
        <v>0.29982987967641916</v>
      </c>
      <c r="AP264" s="552">
        <f t="shared" si="137"/>
        <v>0.26631147180069903</v>
      </c>
      <c r="AQ264" s="827">
        <f t="shared" ref="AQ264:BG264" si="213">AQ106</f>
        <v>7814.1012249999994</v>
      </c>
      <c r="AR264" s="827">
        <f t="shared" si="213"/>
        <v>9977.8055760000007</v>
      </c>
      <c r="AS264" s="827">
        <f t="shared" si="213"/>
        <v>7714.2044540000006</v>
      </c>
      <c r="AT264" s="827">
        <f t="shared" si="213"/>
        <v>86725.110274000006</v>
      </c>
      <c r="AU264" s="827">
        <f t="shared" si="213"/>
        <v>59953.082538000002</v>
      </c>
      <c r="AV264" s="827"/>
      <c r="AW264" s="827">
        <f t="shared" si="213"/>
        <v>2036.839714</v>
      </c>
      <c r="AX264" s="827">
        <f t="shared" si="213"/>
        <v>2575.8416459999999</v>
      </c>
      <c r="AY264" s="827">
        <f t="shared" si="213"/>
        <v>11830.448454000001</v>
      </c>
      <c r="AZ264" s="827">
        <f t="shared" si="213"/>
        <v>8149.0587970000006</v>
      </c>
      <c r="BA264" s="827">
        <f t="shared" si="213"/>
        <v>10123.300966000001</v>
      </c>
      <c r="BB264" s="829">
        <f t="shared" si="213"/>
        <v>2.7740118540697742</v>
      </c>
      <c r="BC264" s="829">
        <f t="shared" si="213"/>
        <v>3.9674940466624786</v>
      </c>
      <c r="BD264" s="829">
        <f t="shared" si="213"/>
        <v>1.3381430428064143</v>
      </c>
      <c r="BE264" s="829">
        <f t="shared" si="213"/>
        <v>2.0497587910797583</v>
      </c>
      <c r="BF264" s="829">
        <f t="shared" si="213"/>
        <v>3.1636102641753672</v>
      </c>
      <c r="BG264" s="829">
        <f t="shared" si="213"/>
        <v>1.2356143590553581</v>
      </c>
    </row>
    <row r="265" spans="1:59" ht="15" customHeight="1">
      <c r="A265" s="535">
        <v>2016</v>
      </c>
      <c r="B265" s="449"/>
      <c r="C265" s="51"/>
      <c r="D265" s="51"/>
      <c r="E265" s="51"/>
      <c r="F265" s="51"/>
      <c r="G265" s="51"/>
      <c r="H265" s="51"/>
      <c r="I265" s="536" t="s">
        <v>147</v>
      </c>
      <c r="J265" s="524" t="s">
        <v>644</v>
      </c>
      <c r="K265" s="543">
        <f t="shared" si="207"/>
        <v>10.79347537598923</v>
      </c>
      <c r="L265" s="543">
        <f t="shared" si="207"/>
        <v>10.690853408335055</v>
      </c>
      <c r="M265" s="543">
        <f t="shared" si="207"/>
        <v>9.9251022625085366</v>
      </c>
      <c r="N265" s="543">
        <f t="shared" si="207"/>
        <v>10.456481464162664</v>
      </c>
      <c r="O265" s="543">
        <f t="shared" si="207"/>
        <v>10.528195279873552</v>
      </c>
      <c r="P265" s="149">
        <f t="shared" si="172"/>
        <v>-0.16976715535296291</v>
      </c>
      <c r="Q265" s="149">
        <f t="shared" si="173"/>
        <v>-0.26017018565708044</v>
      </c>
      <c r="R265" s="149">
        <f t="shared" si="174"/>
        <v>-1.5561481626461811</v>
      </c>
      <c r="S265" s="149">
        <f t="shared" si="175"/>
        <v>-0.65569904225028042</v>
      </c>
      <c r="T265" s="149">
        <f t="shared" si="176"/>
        <v>-0.97103389195266909</v>
      </c>
      <c r="U265" s="51">
        <f t="shared" si="177"/>
        <v>0.71559027658159247</v>
      </c>
      <c r="V265" s="51">
        <f t="shared" si="178"/>
        <v>7.0629128976522004</v>
      </c>
      <c r="W265" s="51">
        <f t="shared" si="179"/>
        <v>8.2593397133018345E-2</v>
      </c>
      <c r="X265" s="51">
        <f t="shared" si="180"/>
        <v>0.67489366287028218</v>
      </c>
      <c r="Y265" s="51">
        <f t="shared" si="181"/>
        <v>0.65077651115491164</v>
      </c>
      <c r="Z265" s="51">
        <f t="shared" si="182"/>
        <v>0.12906080979019868</v>
      </c>
      <c r="AA265" s="51">
        <f t="shared" si="183"/>
        <v>1.1167801605854253</v>
      </c>
      <c r="AB265" s="51">
        <f t="shared" si="184"/>
        <v>5.1145691519179949E-2</v>
      </c>
      <c r="AC265" s="51">
        <f t="shared" si="185"/>
        <v>8.5140717631761315E-2</v>
      </c>
      <c r="AD265" s="62">
        <f t="shared" si="186"/>
        <v>8.3856021048189039E-2</v>
      </c>
      <c r="AF265" s="701">
        <f t="shared" si="187"/>
        <v>-5.7679987339208372E-2</v>
      </c>
      <c r="AG265" s="61">
        <f t="shared" si="131"/>
        <v>5.9516751936456072E-2</v>
      </c>
      <c r="AK265" s="701">
        <f t="shared" si="132"/>
        <v>-3.601512583299038E-2</v>
      </c>
      <c r="AL265" s="61">
        <f t="shared" si="133"/>
        <v>0.1346387944048332</v>
      </c>
      <c r="AM265" s="845">
        <f t="shared" si="134"/>
        <v>-0.6030930173650163</v>
      </c>
      <c r="AN265" s="845">
        <f t="shared" si="135"/>
        <v>0.26528009611567838</v>
      </c>
      <c r="AO265" s="536">
        <f t="shared" si="136"/>
        <v>-0.56818311402189325</v>
      </c>
      <c r="AP265" s="552">
        <f t="shared" si="137"/>
        <v>6.4813765426680825E-2</v>
      </c>
      <c r="AQ265" s="827">
        <f t="shared" ref="AQ265:BG265" si="214">AQ107</f>
        <v>107324</v>
      </c>
      <c r="AR265" s="827">
        <f t="shared" si="214"/>
        <v>115592</v>
      </c>
      <c r="AS265" s="827">
        <f t="shared" si="214"/>
        <v>127028</v>
      </c>
      <c r="AT265" s="827">
        <f t="shared" si="214"/>
        <v>132764</v>
      </c>
      <c r="AU265" s="827">
        <f t="shared" si="214"/>
        <v>155563</v>
      </c>
      <c r="AV265" s="827"/>
      <c r="AW265" s="827">
        <f t="shared" si="214"/>
        <v>397</v>
      </c>
      <c r="AX265" s="827">
        <f t="shared" si="214"/>
        <v>322</v>
      </c>
      <c r="AY265" s="827">
        <f t="shared" si="214"/>
        <v>26617</v>
      </c>
      <c r="AZ265" s="827">
        <f t="shared" si="214"/>
        <v>259285</v>
      </c>
      <c r="BA265" s="827">
        <f t="shared" si="214"/>
        <v>273019</v>
      </c>
      <c r="BB265" s="829">
        <f t="shared" si="214"/>
        <v>-0.13285522253030008</v>
      </c>
      <c r="BC265" s="829">
        <f t="shared" si="214"/>
        <v>-8.7926413020421548E-2</v>
      </c>
      <c r="BD265" s="829">
        <f t="shared" si="214"/>
        <v>-1.1948378855618589</v>
      </c>
      <c r="BE265" s="829">
        <f t="shared" si="214"/>
        <v>-0.11236459935944082</v>
      </c>
      <c r="BF265" s="829">
        <f t="shared" si="214"/>
        <v>-8.9986358264494373E-2</v>
      </c>
      <c r="BG265" s="829">
        <f t="shared" si="214"/>
        <v>-0.44075241597953685</v>
      </c>
    </row>
    <row r="266" spans="1:59" ht="15" customHeight="1">
      <c r="A266" s="535">
        <v>2017</v>
      </c>
      <c r="B266" s="449"/>
      <c r="C266" s="51"/>
      <c r="D266" s="51"/>
      <c r="E266" s="51"/>
      <c r="F266" s="51"/>
      <c r="G266" s="51"/>
      <c r="H266" s="51"/>
      <c r="I266" s="536" t="s">
        <v>150</v>
      </c>
      <c r="J266" s="524" t="s">
        <v>649</v>
      </c>
      <c r="K266" s="543">
        <f t="shared" si="207"/>
        <v>13.742659180579926</v>
      </c>
      <c r="L266" s="543">
        <f t="shared" si="207"/>
        <v>13.620948389625417</v>
      </c>
      <c r="M266" s="543">
        <f t="shared" si="207"/>
        <v>13.456656097747413</v>
      </c>
      <c r="N266" s="543">
        <f t="shared" si="207"/>
        <v>13.40325947713669</v>
      </c>
      <c r="O266" s="543">
        <f t="shared" si="207"/>
        <v>13.396035770987009</v>
      </c>
      <c r="P266" s="149">
        <f t="shared" si="172"/>
        <v>0.15664933922315832</v>
      </c>
      <c r="Q266" s="149">
        <f t="shared" si="173"/>
        <v>5.3213394153268666E-2</v>
      </c>
      <c r="R266" s="149">
        <f t="shared" si="174"/>
        <v>4.4581345672578584E-2</v>
      </c>
      <c r="S266" s="149">
        <f t="shared" si="175"/>
        <v>5.540671561772266E-2</v>
      </c>
      <c r="T266" s="149">
        <f t="shared" si="176"/>
        <v>-5.8645374449339205E-2</v>
      </c>
      <c r="U266" s="51">
        <f t="shared" si="177"/>
        <v>0.54610562959691966</v>
      </c>
      <c r="V266" s="51">
        <f t="shared" si="178"/>
        <v>0.60453410442838662</v>
      </c>
      <c r="W266" s="51">
        <f t="shared" si="179"/>
        <v>0.55029971291697877</v>
      </c>
      <c r="X266" s="51">
        <f t="shared" si="180"/>
        <v>0.64126510362786382</v>
      </c>
      <c r="Y266" s="51">
        <f t="shared" si="181"/>
        <v>0.68099993285008964</v>
      </c>
      <c r="Z266" s="51">
        <f t="shared" si="182"/>
        <v>0.3521083768132518</v>
      </c>
      <c r="AA266" s="51">
        <f t="shared" si="183"/>
        <v>0.30643099528141049</v>
      </c>
      <c r="AB266" s="51">
        <f t="shared" si="184"/>
        <v>0.30684101047951873</v>
      </c>
      <c r="AC266" s="51">
        <f t="shared" si="185"/>
        <v>0.30967604951389655</v>
      </c>
      <c r="AD266" s="62">
        <f t="shared" si="186"/>
        <v>0.29041982830828172</v>
      </c>
      <c r="AF266" s="701">
        <f t="shared" si="187"/>
        <v>-4.1478159408024004E-2</v>
      </c>
      <c r="AG266" s="61">
        <f t="shared" si="131"/>
        <v>7.2189324141386721E-2</v>
      </c>
      <c r="AK266" s="701">
        <f t="shared" si="132"/>
        <v>8.5719783741343619E-2</v>
      </c>
      <c r="AL266" s="61">
        <f t="shared" si="133"/>
        <v>0.17977911803151381</v>
      </c>
      <c r="AM266" s="845">
        <f t="shared" si="134"/>
        <v>6.0620326760402327E-2</v>
      </c>
      <c r="AN266" s="845">
        <f t="shared" si="135"/>
        <v>0.34662340959291582</v>
      </c>
      <c r="AO266" s="536">
        <f t="shared" si="136"/>
        <v>-0.13070021993311087</v>
      </c>
      <c r="AP266" s="552">
        <f t="shared" si="137"/>
        <v>-0.13489430325316998</v>
      </c>
      <c r="AQ266" s="827">
        <f t="shared" ref="AQ266:BG266" si="215">AQ108</f>
        <v>1198504</v>
      </c>
      <c r="AR266" s="827">
        <f t="shared" si="215"/>
        <v>1062378</v>
      </c>
      <c r="AS266" s="827">
        <f t="shared" si="215"/>
        <v>1023673</v>
      </c>
      <c r="AT266" s="827">
        <f t="shared" si="215"/>
        <v>767057</v>
      </c>
      <c r="AU266" s="827">
        <f t="shared" si="215"/>
        <v>722086</v>
      </c>
      <c r="AV266" s="827"/>
      <c r="AW266" s="827">
        <f t="shared" si="215"/>
        <v>759924</v>
      </c>
      <c r="AX266" s="827">
        <f t="shared" si="215"/>
        <v>1231730</v>
      </c>
      <c r="AY266" s="827">
        <f t="shared" si="215"/>
        <v>322122</v>
      </c>
      <c r="AZ266" s="827">
        <f t="shared" si="215"/>
        <v>1099519</v>
      </c>
      <c r="BA266" s="827">
        <f t="shared" si="215"/>
        <v>1227358</v>
      </c>
      <c r="BB266" s="829">
        <f t="shared" si="215"/>
        <v>-3.1411373046820894E-2</v>
      </c>
      <c r="BC266" s="829">
        <f t="shared" si="215"/>
        <v>3.3367317890823166E-2</v>
      </c>
      <c r="BD266" s="829">
        <f t="shared" si="215"/>
        <v>9.6668343050148695E-2</v>
      </c>
      <c r="BE266" s="829">
        <f t="shared" si="215"/>
        <v>1.9707973939936556E-2</v>
      </c>
      <c r="BF266" s="829">
        <f t="shared" si="215"/>
        <v>3.6463449919472972E-2</v>
      </c>
      <c r="BG266" s="829">
        <f t="shared" si="215"/>
        <v>6.8836236018883404E-2</v>
      </c>
    </row>
    <row r="267" spans="1:59" ht="15" customHeight="1">
      <c r="A267" s="535">
        <v>2017</v>
      </c>
      <c r="B267" s="449"/>
      <c r="C267" s="51"/>
      <c r="D267" s="51"/>
      <c r="E267" s="51"/>
      <c r="F267" s="51"/>
      <c r="G267" s="51"/>
      <c r="H267" s="51"/>
      <c r="I267" s="536" t="s">
        <v>150</v>
      </c>
      <c r="J267" s="524" t="s">
        <v>650</v>
      </c>
      <c r="K267" s="543">
        <f t="shared" si="207"/>
        <v>13.00229432572951</v>
      </c>
      <c r="L267" s="543">
        <f t="shared" si="207"/>
        <v>12.912386614301747</v>
      </c>
      <c r="M267" s="543">
        <f t="shared" si="207"/>
        <v>12.626633844134133</v>
      </c>
      <c r="N267" s="543">
        <f t="shared" si="207"/>
        <v>12.365951957378551</v>
      </c>
      <c r="O267" s="543">
        <f t="shared" si="207"/>
        <v>12.199302410204753</v>
      </c>
      <c r="P267" s="149">
        <f t="shared" si="172"/>
        <v>4.4928237799896929E-2</v>
      </c>
      <c r="Q267" s="149">
        <f t="shared" si="173"/>
        <v>1.6077984057794561E-2</v>
      </c>
      <c r="R267" s="149">
        <f t="shared" si="174"/>
        <v>-7.5201506855895606E-3</v>
      </c>
      <c r="S267" s="149">
        <f t="shared" si="175"/>
        <v>-4.4663732281742217E-2</v>
      </c>
      <c r="T267" s="149">
        <f t="shared" si="176"/>
        <v>-3.0833836253265485E-2</v>
      </c>
      <c r="U267" s="51">
        <f t="shared" si="177"/>
        <v>0.72993995423622093</v>
      </c>
      <c r="V267" s="51">
        <f t="shared" si="178"/>
        <v>0.88952210924763697</v>
      </c>
      <c r="W267" s="51">
        <f t="shared" si="179"/>
        <v>0.93347338935574231</v>
      </c>
      <c r="X267" s="51">
        <f t="shared" si="180"/>
        <v>0.89414616325346152</v>
      </c>
      <c r="Y267" s="51">
        <f t="shared" si="181"/>
        <v>0.85029617135660274</v>
      </c>
      <c r="Z267" s="51">
        <f t="shared" si="182"/>
        <v>3.991264761890136</v>
      </c>
      <c r="AA267" s="51">
        <f t="shared" si="183"/>
        <v>3.2702420783490931</v>
      </c>
      <c r="AB267" s="51">
        <f t="shared" si="184"/>
        <v>2.6125626455401436</v>
      </c>
      <c r="AC267" s="51">
        <f t="shared" si="185"/>
        <v>2.5111879197413152</v>
      </c>
      <c r="AD267" s="62">
        <f t="shared" si="186"/>
        <v>1.4851638399473075</v>
      </c>
      <c r="AF267" s="701">
        <f t="shared" si="187"/>
        <v>-0.19896735711455341</v>
      </c>
      <c r="AG267" s="61">
        <f t="shared" si="131"/>
        <v>0.22511379099475531</v>
      </c>
      <c r="AK267" s="701">
        <f t="shared" si="132"/>
        <v>5.2639834538079355E-2</v>
      </c>
      <c r="AL267" s="61">
        <f t="shared" si="133"/>
        <v>1.2240751786215296</v>
      </c>
      <c r="AM267" s="845">
        <f t="shared" si="134"/>
        <v>0.42733143392937917</v>
      </c>
      <c r="AN267" s="845">
        <f t="shared" si="135"/>
        <v>0.80299191552475602</v>
      </c>
      <c r="AO267" s="536">
        <f t="shared" si="136"/>
        <v>8.3177217999139574E-2</v>
      </c>
      <c r="AP267" s="552">
        <f t="shared" si="137"/>
        <v>-0.1203562171203818</v>
      </c>
      <c r="AQ267" s="827">
        <f t="shared" ref="AQ267:BG267" si="216">AQ109</f>
        <v>30003.676679999997</v>
      </c>
      <c r="AR267" s="827">
        <f t="shared" si="216"/>
        <v>13692.215522999999</v>
      </c>
      <c r="AS267" s="827">
        <f t="shared" si="216"/>
        <v>7755.5566259999996</v>
      </c>
      <c r="AT267" s="827">
        <f t="shared" si="216"/>
        <v>9892.1817940000001</v>
      </c>
      <c r="AU267" s="827">
        <f t="shared" si="216"/>
        <v>20023.881229000002</v>
      </c>
      <c r="AV267" s="827"/>
      <c r="AW267" s="827">
        <f t="shared" si="216"/>
        <v>1760.97039</v>
      </c>
      <c r="AX267" s="827">
        <f t="shared" si="216"/>
        <v>7505.2893089999998</v>
      </c>
      <c r="AY267" s="827">
        <f t="shared" si="216"/>
        <v>14178.624503999999</v>
      </c>
      <c r="AZ267" s="827">
        <f t="shared" si="216"/>
        <v>17843.554542000002</v>
      </c>
      <c r="BA267" s="827">
        <f t="shared" si="216"/>
        <v>31527.139248000003</v>
      </c>
      <c r="BB267" s="829">
        <f t="shared" si="216"/>
        <v>-0.1942820675487886</v>
      </c>
      <c r="BC267" s="829">
        <f t="shared" si="216"/>
        <v>-0.58740594489337583</v>
      </c>
      <c r="BD267" s="829">
        <f t="shared" si="216"/>
        <v>-0.16153619368041344</v>
      </c>
      <c r="BE267" s="829">
        <f t="shared" si="216"/>
        <v>-2.8686704872001478E-2</v>
      </c>
      <c r="BF267" s="829">
        <f t="shared" si="216"/>
        <v>-0.46090407266260963</v>
      </c>
      <c r="BG267" s="829">
        <f t="shared" si="216"/>
        <v>-0.16805776482634116</v>
      </c>
    </row>
    <row r="268" spans="1:59" ht="15" customHeight="1">
      <c r="A268" s="535">
        <v>2018</v>
      </c>
      <c r="B268" s="449"/>
      <c r="C268" s="51"/>
      <c r="D268" s="51"/>
      <c r="E268" s="51"/>
      <c r="F268" s="51"/>
      <c r="G268" s="51"/>
      <c r="H268" s="51"/>
      <c r="I268" s="536" t="s">
        <v>202</v>
      </c>
      <c r="J268" s="524" t="s">
        <v>653</v>
      </c>
      <c r="K268" s="543">
        <f t="shared" si="207"/>
        <v>13.967792298698084</v>
      </c>
      <c r="L268" s="543">
        <f t="shared" si="207"/>
        <v>13.921181969788879</v>
      </c>
      <c r="M268" s="543">
        <f t="shared" si="207"/>
        <v>13.837662767926044</v>
      </c>
      <c r="N268" s="543">
        <f t="shared" si="207"/>
        <v>13.968157264533378</v>
      </c>
      <c r="O268" s="543">
        <f t="shared" si="207"/>
        <v>13.868448104128678</v>
      </c>
      <c r="P268" s="149">
        <f t="shared" si="172"/>
        <v>1.9388366979812111E-2</v>
      </c>
      <c r="Q268" s="149">
        <f t="shared" si="173"/>
        <v>1.208865010073875E-2</v>
      </c>
      <c r="R268" s="149">
        <f t="shared" si="174"/>
        <v>-3.6365658362989321E-2</v>
      </c>
      <c r="S268" s="149">
        <f t="shared" si="175"/>
        <v>2.5013192612137202E-2</v>
      </c>
      <c r="T268" s="149">
        <f t="shared" si="176"/>
        <v>5.8789757721896888E-2</v>
      </c>
      <c r="U268" s="51">
        <f t="shared" si="177"/>
        <v>0.58369384359400989</v>
      </c>
      <c r="V268" s="51">
        <f t="shared" si="178"/>
        <v>0.55348192385624406</v>
      </c>
      <c r="W268" s="51">
        <f t="shared" si="179"/>
        <v>0.62644014840851392</v>
      </c>
      <c r="X268" s="51">
        <f t="shared" si="180"/>
        <v>0.51599007962406995</v>
      </c>
      <c r="Y268" s="51">
        <f t="shared" si="181"/>
        <v>0.50019493177387919</v>
      </c>
      <c r="Z268" s="51">
        <f t="shared" si="182"/>
        <v>1.1099278979478646</v>
      </c>
      <c r="AA268" s="51">
        <f t="shared" si="183"/>
        <v>1.1115495360989656</v>
      </c>
      <c r="AB268" s="51">
        <f t="shared" si="184"/>
        <v>0.87795352470220656</v>
      </c>
      <c r="AC268" s="51">
        <f t="shared" si="185"/>
        <v>1.2367837096984728</v>
      </c>
      <c r="AD268" s="62">
        <f t="shared" si="186"/>
        <v>1.1317738791423002</v>
      </c>
      <c r="AF268" s="701">
        <f t="shared" si="187"/>
        <v>-5.3447047344447399E-2</v>
      </c>
      <c r="AG268" s="61">
        <f t="shared" si="131"/>
        <v>-4.5017022744202606E-2</v>
      </c>
      <c r="AK268" s="701">
        <f t="shared" si="132"/>
        <v>-0.22193378611485876</v>
      </c>
      <c r="AL268" s="61">
        <f t="shared" si="133"/>
        <v>-8.7354473152773809E-2</v>
      </c>
      <c r="AM268" s="845">
        <f t="shared" si="134"/>
        <v>-3.0785336202632789E-2</v>
      </c>
      <c r="AN268" s="845">
        <f t="shared" si="135"/>
        <v>9.9344194569407185E-2</v>
      </c>
      <c r="AO268" s="536">
        <f t="shared" si="136"/>
        <v>0.12624521663463473</v>
      </c>
      <c r="AP268" s="552">
        <f t="shared" si="137"/>
        <v>8.3498911820130695E-2</v>
      </c>
      <c r="AQ268" s="827">
        <f t="shared" ref="AQ268:BG268" si="217">AQ110</f>
        <v>436770.38699999999</v>
      </c>
      <c r="AR268" s="827">
        <f t="shared" si="217"/>
        <v>446267.47499999998</v>
      </c>
      <c r="AS268" s="827">
        <f t="shared" si="217"/>
        <v>435020.02600000001</v>
      </c>
      <c r="AT268" s="827">
        <f t="shared" si="217"/>
        <v>456129.66</v>
      </c>
      <c r="AU268" s="827">
        <f t="shared" si="217"/>
        <v>465619.83600000001</v>
      </c>
      <c r="AV268" s="827"/>
      <c r="AW268" s="827">
        <f t="shared" si="217"/>
        <v>280473.39</v>
      </c>
      <c r="AX268" s="827">
        <f t="shared" si="217"/>
        <v>284288.90999999997</v>
      </c>
      <c r="AY268" s="827">
        <f t="shared" si="217"/>
        <v>364298.00400000002</v>
      </c>
      <c r="AZ268" s="827">
        <f t="shared" si="217"/>
        <v>137945.41200000001</v>
      </c>
      <c r="BA268" s="827">
        <f t="shared" si="217"/>
        <v>136925.64600000001</v>
      </c>
      <c r="BB268" s="829">
        <f t="shared" si="217"/>
        <v>0.4526967285587975</v>
      </c>
      <c r="BC268" s="829">
        <f t="shared" si="217"/>
        <v>0.21122994652406415</v>
      </c>
      <c r="BD268" s="829">
        <f t="shared" si="217"/>
        <v>-0.10205992509363296</v>
      </c>
      <c r="BE268" s="829">
        <f t="shared" si="217"/>
        <v>0.25199465700975765</v>
      </c>
      <c r="BF268" s="829">
        <f t="shared" si="217"/>
        <v>0.12372653830828492</v>
      </c>
      <c r="BG268" s="829">
        <f t="shared" si="217"/>
        <v>-9.5105494430586551E-2</v>
      </c>
    </row>
    <row r="269" spans="1:59" ht="15" customHeight="1">
      <c r="A269" s="680">
        <v>2018</v>
      </c>
      <c r="B269" s="449"/>
      <c r="C269" s="51"/>
      <c r="D269" s="51"/>
      <c r="E269" s="51"/>
      <c r="F269" s="51"/>
      <c r="G269" s="51"/>
      <c r="H269" s="51"/>
      <c r="I269" s="536" t="s">
        <v>203</v>
      </c>
      <c r="J269" s="524" t="s">
        <v>654</v>
      </c>
      <c r="K269" s="543">
        <f t="shared" ref="K269:O278" si="218">LN(K111)</f>
        <v>12.667393532747413</v>
      </c>
      <c r="L269" s="543">
        <f t="shared" si="218"/>
        <v>12.686789466214849</v>
      </c>
      <c r="M269" s="543">
        <f t="shared" si="218"/>
        <v>12.631459468476711</v>
      </c>
      <c r="N269" s="543">
        <f t="shared" si="218"/>
        <v>12.530055574100203</v>
      </c>
      <c r="O269" s="543">
        <f t="shared" si="218"/>
        <v>12.509465015284114</v>
      </c>
      <c r="P269" s="149">
        <f t="shared" si="172"/>
        <v>1.0407433881343811</v>
      </c>
      <c r="Q269" s="149">
        <f t="shared" si="173"/>
        <v>0.71728887277999265</v>
      </c>
      <c r="R269" s="149">
        <f t="shared" si="174"/>
        <v>0.95385187941942406</v>
      </c>
      <c r="S269" s="149">
        <f t="shared" si="175"/>
        <v>0.86974615064502581</v>
      </c>
      <c r="T269" s="149">
        <f t="shared" si="176"/>
        <v>0.82149280575539563</v>
      </c>
      <c r="U269" s="51">
        <f t="shared" si="177"/>
        <v>0.88312001810455354</v>
      </c>
      <c r="V269" s="51">
        <f t="shared" si="178"/>
        <v>0.88659585337817681</v>
      </c>
      <c r="W269" s="51">
        <f t="shared" si="179"/>
        <v>0.87747656934394125</v>
      </c>
      <c r="X269" s="51">
        <f t="shared" si="180"/>
        <v>0.88372411389884475</v>
      </c>
      <c r="Y269" s="51">
        <f t="shared" si="181"/>
        <v>0.88574523340336941</v>
      </c>
      <c r="Z269" s="51">
        <f t="shared" si="182"/>
        <v>1.4071261535366782E-2</v>
      </c>
      <c r="AA269" s="51">
        <f t="shared" si="183"/>
        <v>1.4682404529779921E-2</v>
      </c>
      <c r="AB269" s="51">
        <f t="shared" si="184"/>
        <v>1.6122451428640064E-2</v>
      </c>
      <c r="AC269" s="51">
        <f t="shared" si="185"/>
        <v>1.4952956989247349E-2</v>
      </c>
      <c r="AD269" s="62">
        <f t="shared" si="186"/>
        <v>1.4511856134260736E-2</v>
      </c>
      <c r="AF269" s="701">
        <f t="shared" si="187"/>
        <v>7.3385819041408597E-4</v>
      </c>
      <c r="AG269" s="61">
        <f t="shared" si="131"/>
        <v>2.7231869931901177E-3</v>
      </c>
      <c r="AK269" s="701">
        <f t="shared" si="132"/>
        <v>1.3473286042957819E-2</v>
      </c>
      <c r="AL269" s="61">
        <f t="shared" si="133"/>
        <v>1.9743798987187547E-2</v>
      </c>
      <c r="AM269" s="845">
        <f t="shared" si="134"/>
        <v>0.12199445319259639</v>
      </c>
      <c r="AN269" s="845">
        <f t="shared" si="135"/>
        <v>0.15792851746329967</v>
      </c>
      <c r="AO269" s="536">
        <f t="shared" si="136"/>
        <v>-8.2686640594281657E-3</v>
      </c>
      <c r="AP269" s="552">
        <f t="shared" si="137"/>
        <v>-2.625215298815875E-3</v>
      </c>
      <c r="AQ269" s="827">
        <f t="shared" ref="AQ269:BG269" si="219">AQ111</f>
        <v>2704764.3389999997</v>
      </c>
      <c r="AR269" s="827">
        <f t="shared" si="219"/>
        <v>2272391.85</v>
      </c>
      <c r="AS269" s="827">
        <f t="shared" si="219"/>
        <v>2321547.0180000002</v>
      </c>
      <c r="AT269" s="827">
        <f t="shared" si="219"/>
        <v>2297368.9559999998</v>
      </c>
      <c r="AU269" s="827">
        <f t="shared" si="219"/>
        <v>2119841.2046680003</v>
      </c>
      <c r="AV269" s="827"/>
      <c r="AW269" s="827">
        <f t="shared" si="219"/>
        <v>4830272</v>
      </c>
      <c r="AX269" s="827">
        <f t="shared" si="219"/>
        <v>5415357</v>
      </c>
      <c r="AY269" s="827">
        <f t="shared" si="219"/>
        <v>5194647</v>
      </c>
      <c r="AZ269" s="827">
        <f t="shared" si="219"/>
        <v>5355121</v>
      </c>
      <c r="BA269" s="827">
        <f t="shared" si="219"/>
        <v>5407430</v>
      </c>
      <c r="BB269" s="829">
        <f t="shared" si="219"/>
        <v>4.1153282930177185E-2</v>
      </c>
      <c r="BC269" s="829">
        <f t="shared" si="219"/>
        <v>4.4911464893394565E-2</v>
      </c>
      <c r="BD269" s="829">
        <f t="shared" si="219"/>
        <v>5.6195047764776122E-2</v>
      </c>
      <c r="BE269" s="829">
        <f t="shared" si="219"/>
        <v>5.1553301076223274E-2</v>
      </c>
      <c r="BF269" s="829">
        <f t="shared" si="219"/>
        <v>5.1824898656809781E-2</v>
      </c>
      <c r="BG269" s="829">
        <f t="shared" si="219"/>
        <v>6.4783078963107657E-2</v>
      </c>
    </row>
    <row r="270" spans="1:59" ht="15" customHeight="1">
      <c r="A270" s="680">
        <v>2018</v>
      </c>
      <c r="B270" s="449"/>
      <c r="C270" s="51"/>
      <c r="D270" s="51"/>
      <c r="E270" s="51"/>
      <c r="F270" s="51"/>
      <c r="G270" s="51"/>
      <c r="H270" s="51"/>
      <c r="I270" s="536" t="s">
        <v>203</v>
      </c>
      <c r="J270" s="524" t="s">
        <v>655</v>
      </c>
      <c r="K270" s="543">
        <f t="shared" si="218"/>
        <v>12.338611450800492</v>
      </c>
      <c r="L270" s="543">
        <f t="shared" si="218"/>
        <v>12.398503127625883</v>
      </c>
      <c r="M270" s="543">
        <f t="shared" si="218"/>
        <v>12.383541890763139</v>
      </c>
      <c r="N270" s="543">
        <f t="shared" si="218"/>
        <v>12.293084021178702</v>
      </c>
      <c r="O270" s="543">
        <f t="shared" si="218"/>
        <v>12.281137185481517</v>
      </c>
      <c r="P270" s="149">
        <f t="shared" si="172"/>
        <v>1.139523336643496</v>
      </c>
      <c r="Q270" s="149">
        <f t="shared" si="173"/>
        <v>0.84235976789168132</v>
      </c>
      <c r="R270" s="149">
        <f t="shared" si="174"/>
        <v>0.98330948974725862</v>
      </c>
      <c r="S270" s="149">
        <f t="shared" si="175"/>
        <v>0.81329113924050389</v>
      </c>
      <c r="T270" s="149">
        <f t="shared" si="176"/>
        <v>0.81355932203389703</v>
      </c>
      <c r="U270" s="51">
        <f t="shared" si="177"/>
        <v>0.8602701795603287</v>
      </c>
      <c r="V270" s="51">
        <f t="shared" si="178"/>
        <v>0.87193302528602423</v>
      </c>
      <c r="W270" s="51">
        <f t="shared" si="179"/>
        <v>0.87292421362217931</v>
      </c>
      <c r="X270" s="51">
        <f t="shared" si="180"/>
        <v>0.87699235087983785</v>
      </c>
      <c r="Y270" s="51">
        <f t="shared" si="181"/>
        <v>0.87344885065750233</v>
      </c>
      <c r="Z270" s="51">
        <f t="shared" si="182"/>
        <v>1.6898808524920247E-2</v>
      </c>
      <c r="AA270" s="51">
        <f t="shared" si="183"/>
        <v>1.7630309127180291E-2</v>
      </c>
      <c r="AB270" s="51">
        <f t="shared" si="184"/>
        <v>1.8803127577920527E-2</v>
      </c>
      <c r="AC270" s="51">
        <f t="shared" si="185"/>
        <v>1.7860507178115211E-2</v>
      </c>
      <c r="AD270" s="62">
        <f t="shared" si="186"/>
        <v>1.8212499742761332E-2</v>
      </c>
      <c r="AF270" s="701">
        <f t="shared" si="187"/>
        <v>-7.6729289131903522E-4</v>
      </c>
      <c r="AG270" s="61">
        <f t="shared" si="131"/>
        <v>4.4396377323532438E-3</v>
      </c>
      <c r="AK270" s="701">
        <f t="shared" si="132"/>
        <v>2.0727922692904938E-2</v>
      </c>
      <c r="AL270" s="61">
        <f t="shared" si="133"/>
        <v>2.1722861283378858E-2</v>
      </c>
      <c r="AM270" s="845">
        <f t="shared" si="134"/>
        <v>0.10240470528162066</v>
      </c>
      <c r="AN270" s="845">
        <f t="shared" si="135"/>
        <v>5.7474265318974024E-2</v>
      </c>
      <c r="AO270" s="536">
        <f t="shared" si="136"/>
        <v>-5.2463703532301675E-4</v>
      </c>
      <c r="AP270" s="552">
        <f t="shared" si="137"/>
        <v>-1.3178671097173633E-2</v>
      </c>
      <c r="AQ270" s="827">
        <f t="shared" ref="AQ270:BG270" si="220">AQ112</f>
        <v>1938059.487</v>
      </c>
      <c r="AR270" s="827">
        <f t="shared" si="220"/>
        <v>1601870.97</v>
      </c>
      <c r="AS270" s="827">
        <f t="shared" si="220"/>
        <v>1611370.5719999999</v>
      </c>
      <c r="AT270" s="827">
        <f t="shared" si="220"/>
        <v>1605428.868</v>
      </c>
      <c r="AU270" s="827">
        <f t="shared" si="220"/>
        <v>1488990.7340000002</v>
      </c>
      <c r="AV270" s="827"/>
      <c r="AW270" s="827">
        <f t="shared" si="220"/>
        <v>2549206</v>
      </c>
      <c r="AX270" s="827">
        <f t="shared" si="220"/>
        <v>2890973</v>
      </c>
      <c r="AY270" s="827">
        <f t="shared" si="220"/>
        <v>2942597</v>
      </c>
      <c r="AZ270" s="827">
        <f t="shared" si="220"/>
        <v>3030495</v>
      </c>
      <c r="BA270" s="827">
        <f t="shared" si="220"/>
        <v>2339829</v>
      </c>
      <c r="BB270" s="829">
        <f t="shared" si="220"/>
        <v>7.4960973421520971E-2</v>
      </c>
      <c r="BC270" s="829">
        <f t="shared" si="220"/>
        <v>5.8553252598233296E-2</v>
      </c>
      <c r="BD270" s="829">
        <f t="shared" si="220"/>
        <v>7.9811110228146437E-2</v>
      </c>
      <c r="BE270" s="829">
        <f t="shared" si="220"/>
        <v>8.403076180805874E-2</v>
      </c>
      <c r="BF270" s="829">
        <f t="shared" si="220"/>
        <v>6.7488135493439363E-2</v>
      </c>
      <c r="BG270" s="829">
        <f t="shared" si="220"/>
        <v>8.8211610364344037E-2</v>
      </c>
    </row>
    <row r="271" spans="1:59" ht="15" customHeight="1">
      <c r="A271" s="535">
        <v>2012</v>
      </c>
      <c r="B271" s="449"/>
      <c r="C271" s="51"/>
      <c r="D271" s="51"/>
      <c r="E271" s="51"/>
      <c r="F271" s="51"/>
      <c r="G271" s="51"/>
      <c r="H271" s="51"/>
      <c r="I271" s="536" t="s">
        <v>1029</v>
      </c>
      <c r="J271" s="524" t="s">
        <v>1082</v>
      </c>
      <c r="K271" s="543">
        <f t="shared" si="218"/>
        <v>11.438518347283097</v>
      </c>
      <c r="L271" s="543">
        <f t="shared" si="218"/>
        <v>11.668149674030152</v>
      </c>
      <c r="M271" s="543">
        <f t="shared" si="218"/>
        <v>11.705712522947131</v>
      </c>
      <c r="N271" s="543">
        <f t="shared" si="218"/>
        <v>7.4826854657394817</v>
      </c>
      <c r="O271" s="543">
        <f t="shared" si="218"/>
        <v>7.5424836006160474</v>
      </c>
      <c r="P271" s="149">
        <f t="shared" si="172"/>
        <v>-2.336663713664016E-2</v>
      </c>
      <c r="Q271" s="149">
        <f t="shared" si="173"/>
        <v>-3.2375507911907873E-2</v>
      </c>
      <c r="R271" s="149">
        <f t="shared" si="174"/>
        <v>1.858352405959084E-2</v>
      </c>
      <c r="S271" s="149">
        <f t="shared" si="175"/>
        <v>-1.940499226006192</v>
      </c>
      <c r="T271" s="149">
        <f t="shared" si="176"/>
        <v>-4.0098456877780935</v>
      </c>
      <c r="U271" s="51">
        <f t="shared" si="177"/>
        <v>0.70049682597132457</v>
      </c>
      <c r="V271" s="51">
        <f t="shared" si="178"/>
        <v>0.69086640212502659</v>
      </c>
      <c r="W271" s="51">
        <f t="shared" si="179"/>
        <v>0.67625669818094214</v>
      </c>
      <c r="X271" s="51">
        <f t="shared" si="180"/>
        <v>0.51336373334843899</v>
      </c>
      <c r="Y271" s="51">
        <f t="shared" si="181"/>
        <v>0.47626866751643404</v>
      </c>
      <c r="Z271" s="51">
        <f t="shared" si="182"/>
        <v>0.46153551589237829</v>
      </c>
      <c r="AA271" s="51">
        <f t="shared" si="183"/>
        <v>0.47834027287865727</v>
      </c>
      <c r="AB271" s="51">
        <f t="shared" si="184"/>
        <v>0.48745714498871001</v>
      </c>
      <c r="AC271" s="51">
        <f t="shared" si="185"/>
        <v>1.951643205785444E-2</v>
      </c>
      <c r="AD271" s="62">
        <f t="shared" si="186"/>
        <v>1.9598457059841808E-2</v>
      </c>
      <c r="AF271" s="701">
        <f t="shared" si="187"/>
        <v>1.9843204507446373E-2</v>
      </c>
      <c r="AG271" s="61">
        <f t="shared" si="131"/>
        <v>6.7802255602981587E-2</v>
      </c>
      <c r="AK271" s="701">
        <f t="shared" si="132"/>
        <v>0.1750968612228504</v>
      </c>
      <c r="AL271" s="61">
        <f t="shared" si="133"/>
        <v>0.10703143579215321</v>
      </c>
      <c r="AM271" s="845">
        <f t="shared" si="134"/>
        <v>4.1632289223310845</v>
      </c>
      <c r="AN271" s="845">
        <f t="shared" si="135"/>
        <v>3.8960347466670497</v>
      </c>
      <c r="AO271" s="536">
        <f t="shared" si="136"/>
        <v>0.1999880306645081</v>
      </c>
      <c r="AP271" s="552">
        <f t="shared" si="137"/>
        <v>0.22422815845489052</v>
      </c>
      <c r="AQ271" s="827">
        <f t="shared" ref="AQ271:BG271" si="221">AQ113</f>
        <v>60239.547694000001</v>
      </c>
      <c r="AR271" s="827">
        <f t="shared" si="221"/>
        <v>75478.329375000001</v>
      </c>
      <c r="AS271" s="827">
        <f t="shared" si="221"/>
        <v>80536.120733000003</v>
      </c>
      <c r="AT271" s="827">
        <f t="shared" si="221"/>
        <v>44309.1129</v>
      </c>
      <c r="AU271" s="827">
        <f t="shared" si="221"/>
        <v>50413.364496000002</v>
      </c>
      <c r="AV271" s="827"/>
      <c r="AW271" s="827">
        <f t="shared" si="221"/>
        <v>366322</v>
      </c>
      <c r="AX271" s="827">
        <f t="shared" si="221"/>
        <v>827959</v>
      </c>
      <c r="AY271" s="827">
        <f t="shared" si="221"/>
        <v>622526</v>
      </c>
      <c r="AZ271" s="827">
        <f t="shared" si="221"/>
        <v>221087</v>
      </c>
      <c r="BA271" s="827">
        <f t="shared" si="221"/>
        <v>149905</v>
      </c>
      <c r="BB271" s="829">
        <f t="shared" si="221"/>
        <v>-5.04627075547847E-2</v>
      </c>
      <c r="BC271" s="829">
        <f t="shared" si="221"/>
        <v>-1.5596935450750155E-2</v>
      </c>
      <c r="BD271" s="829">
        <f t="shared" si="221"/>
        <v>3.6199030160989258E-3</v>
      </c>
      <c r="BE271" s="829">
        <f t="shared" si="221"/>
        <v>-4.0774872476389348E-2</v>
      </c>
      <c r="BF271" s="829">
        <f t="shared" si="221"/>
        <v>-3.1595342659344883E-2</v>
      </c>
      <c r="BG271" s="829">
        <f t="shared" si="221"/>
        <v>1.4135258328955735E-2</v>
      </c>
    </row>
    <row r="272" spans="1:59" ht="15" customHeight="1">
      <c r="A272" s="535">
        <v>2012</v>
      </c>
      <c r="B272" s="449"/>
      <c r="C272" s="51"/>
      <c r="D272" s="51"/>
      <c r="E272" s="51"/>
      <c r="F272" s="51"/>
      <c r="G272" s="51"/>
      <c r="H272" s="51"/>
      <c r="I272" s="536" t="s">
        <v>1029</v>
      </c>
      <c r="J272" s="524" t="s">
        <v>919</v>
      </c>
      <c r="K272" s="543">
        <f t="shared" si="218"/>
        <v>12.084266744924822</v>
      </c>
      <c r="L272" s="543">
        <f t="shared" si="218"/>
        <v>12.197870915633125</v>
      </c>
      <c r="M272" s="543">
        <f t="shared" si="218"/>
        <v>11.96029476510763</v>
      </c>
      <c r="N272" s="543">
        <f t="shared" si="218"/>
        <v>11.870319896055998</v>
      </c>
      <c r="O272" s="543">
        <f t="shared" si="218"/>
        <v>11.980330802778431</v>
      </c>
      <c r="P272" s="149">
        <f t="shared" si="172"/>
        <v>3.9869841399022547E-2</v>
      </c>
      <c r="Q272" s="149">
        <f t="shared" si="173"/>
        <v>4.3737896841160813E-2</v>
      </c>
      <c r="R272" s="149">
        <f t="shared" si="174"/>
        <v>2.5863476547617753E-3</v>
      </c>
      <c r="S272" s="149">
        <f t="shared" si="175"/>
        <v>1.2355537382896587E-2</v>
      </c>
      <c r="T272" s="149">
        <f t="shared" si="176"/>
        <v>1.285431625691622E-2</v>
      </c>
      <c r="U272" s="51">
        <f t="shared" si="177"/>
        <v>0.6044489704346766</v>
      </c>
      <c r="V272" s="51">
        <f t="shared" si="178"/>
        <v>0.56932559729681287</v>
      </c>
      <c r="W272" s="51">
        <f t="shared" si="179"/>
        <v>0.53065735892961019</v>
      </c>
      <c r="X272" s="51">
        <f t="shared" si="180"/>
        <v>0.51637435769340567</v>
      </c>
      <c r="Y272" s="51">
        <f t="shared" si="181"/>
        <v>0.55135783787978299</v>
      </c>
      <c r="Z272" s="51">
        <f t="shared" si="182"/>
        <v>1.3159472527229032</v>
      </c>
      <c r="AA272" s="51">
        <f t="shared" si="183"/>
        <v>1.3786553104482964</v>
      </c>
      <c r="AB272" s="51">
        <f t="shared" si="184"/>
        <v>1.272431369290008</v>
      </c>
      <c r="AC272" s="51">
        <f t="shared" si="185"/>
        <v>1.2363361166619089</v>
      </c>
      <c r="AD272" s="62">
        <f t="shared" si="186"/>
        <v>1.2381862977404934</v>
      </c>
      <c r="AF272" s="701">
        <f t="shared" si="187"/>
        <v>-4.9175658367733063E-2</v>
      </c>
      <c r="AG272" s="61">
        <f t="shared" si="131"/>
        <v>3.6550569999405064E-2</v>
      </c>
      <c r="AK272" s="701">
        <f t="shared" si="132"/>
        <v>-3.5829104355220159E-2</v>
      </c>
      <c r="AL272" s="61">
        <f t="shared" si="133"/>
        <v>7.962178462724212E-2</v>
      </c>
      <c r="AM272" s="845">
        <f t="shared" si="134"/>
        <v>-2.0036037670800436E-2</v>
      </c>
      <c r="AN272" s="845">
        <f t="shared" si="135"/>
        <v>0.10393594214639076</v>
      </c>
      <c r="AO272" s="536">
        <f t="shared" si="136"/>
        <v>-2.0700478950172796E-2</v>
      </c>
      <c r="AP272" s="552">
        <f t="shared" si="137"/>
        <v>5.3091132554893616E-2</v>
      </c>
      <c r="AQ272" s="827">
        <f t="shared" ref="AQ272:BG272" si="222">AQ114</f>
        <v>53222.393631999999</v>
      </c>
      <c r="AR272" s="827">
        <f t="shared" si="222"/>
        <v>61967.131334999998</v>
      </c>
      <c r="AS272" s="827">
        <f t="shared" si="222"/>
        <v>57695.994552000004</v>
      </c>
      <c r="AT272" s="827">
        <f t="shared" si="222"/>
        <v>55922.407176000001</v>
      </c>
      <c r="AU272" s="827">
        <f t="shared" si="222"/>
        <v>57824.026920000004</v>
      </c>
      <c r="AV272" s="827"/>
      <c r="AW272" s="827">
        <f t="shared" si="222"/>
        <v>221977</v>
      </c>
      <c r="AX272" s="827">
        <f t="shared" si="222"/>
        <v>131344</v>
      </c>
      <c r="AY272" s="827">
        <f t="shared" si="222"/>
        <v>55933</v>
      </c>
      <c r="AZ272" s="827">
        <f t="shared" si="222"/>
        <v>69764</v>
      </c>
      <c r="BA272" s="827">
        <f t="shared" si="222"/>
        <v>112209</v>
      </c>
      <c r="BB272" s="829">
        <f t="shared" si="222"/>
        <v>1.8281542977836004E-2</v>
      </c>
      <c r="BC272" s="829">
        <f t="shared" si="222"/>
        <v>2.5318891921334786E-2</v>
      </c>
      <c r="BD272" s="829">
        <f t="shared" si="222"/>
        <v>7.2328391468363933E-3</v>
      </c>
      <c r="BE272" s="829">
        <f t="shared" si="222"/>
        <v>6.5070875586916807E-2</v>
      </c>
      <c r="BF272" s="829">
        <f t="shared" si="222"/>
        <v>8.3204105568292885E-2</v>
      </c>
      <c r="BG272" s="829">
        <f t="shared" si="222"/>
        <v>7.1804810542612299E-3</v>
      </c>
    </row>
    <row r="273" spans="1:59" ht="15" customHeight="1">
      <c r="A273" s="535">
        <v>2013</v>
      </c>
      <c r="B273" s="449"/>
      <c r="C273" s="51"/>
      <c r="D273" s="51"/>
      <c r="E273" s="51"/>
      <c r="F273" s="51"/>
      <c r="G273" s="51"/>
      <c r="H273" s="51"/>
      <c r="I273" s="536" t="s">
        <v>1030</v>
      </c>
      <c r="J273" s="524" t="s">
        <v>650</v>
      </c>
      <c r="K273" s="543">
        <f t="shared" si="218"/>
        <v>12.199302410204753</v>
      </c>
      <c r="L273" s="543">
        <f t="shared" si="218"/>
        <v>12.62138848335986</v>
      </c>
      <c r="M273" s="543">
        <f t="shared" si="218"/>
        <v>13.06012445825017</v>
      </c>
      <c r="N273" s="543">
        <f t="shared" si="218"/>
        <v>13.033084952424039</v>
      </c>
      <c r="O273" s="543">
        <f t="shared" si="218"/>
        <v>13.1962266702688</v>
      </c>
      <c r="P273" s="149">
        <f t="shared" ref="P273:P304" si="223">P115/K115</f>
        <v>-3.0833836253265485E-2</v>
      </c>
      <c r="Q273" s="149">
        <f t="shared" ref="Q273:Q304" si="224">Q115/L115</f>
        <v>-3.4011792394807415E-2</v>
      </c>
      <c r="R273" s="149">
        <f t="shared" ref="R273:R304" si="225">R115/M115</f>
        <v>-7.1745116781492509E-3</v>
      </c>
      <c r="S273" s="149">
        <f t="shared" ref="S273:S304" si="226">S115/N115</f>
        <v>2.2206418679291299E-2</v>
      </c>
      <c r="T273" s="149">
        <f t="shared" ref="T273:T304" si="227">T115/O115</f>
        <v>4.3185888641061217E-2</v>
      </c>
      <c r="U273" s="51">
        <f t="shared" ref="U273:U304" si="228">U115/Z115</f>
        <v>0.85029617135660274</v>
      </c>
      <c r="V273" s="51">
        <f t="shared" ref="V273:V304" si="229">V115/AA115</f>
        <v>0.83593130947544392</v>
      </c>
      <c r="W273" s="51">
        <f t="shared" ref="W273:W304" si="230">W115/AB115</f>
        <v>0.82486962976360023</v>
      </c>
      <c r="X273" s="51">
        <f t="shared" ref="X273:X304" si="231">X115/AC115</f>
        <v>0.80011843420443418</v>
      </c>
      <c r="Y273" s="51">
        <f t="shared" ref="Y273:Y304" si="232">Y115/AD115</f>
        <v>0.79956837058263441</v>
      </c>
      <c r="Z273" s="51">
        <f t="shared" ref="Z273:Z304" si="233">K115/Z115</f>
        <v>1.4851638399473075</v>
      </c>
      <c r="AA273" s="51">
        <f t="shared" ref="AA273:AA304" si="234">L115/AA115</f>
        <v>2.5870432503359955</v>
      </c>
      <c r="AB273" s="51">
        <f t="shared" ref="AB273:AB304" si="235">M115/AB115</f>
        <v>2.7800520350567828</v>
      </c>
      <c r="AC273" s="51">
        <f t="shared" ref="AC273:AC304" si="236">N115/AC115</f>
        <v>2.6685004759226838</v>
      </c>
      <c r="AD273" s="62">
        <f t="shared" ref="AD273:AD304" si="237">O115/AD115</f>
        <v>2.043425286801237</v>
      </c>
      <c r="AF273" s="701">
        <f t="shared" ref="AF273:AF304" si="238">AG115-AE115</f>
        <v>2.5847782858828796E-2</v>
      </c>
      <c r="AG273" s="61">
        <f t="shared" si="131"/>
        <v>-0.13404043553233308</v>
      </c>
      <c r="AK273" s="701">
        <f t="shared" si="132"/>
        <v>-0.42071289527186073</v>
      </c>
      <c r="AL273" s="61">
        <f t="shared" si="133"/>
        <v>-0.62733275765959107</v>
      </c>
      <c r="AM273" s="845">
        <f t="shared" si="134"/>
        <v>-0.13610221201863018</v>
      </c>
      <c r="AN273" s="845">
        <f t="shared" si="135"/>
        <v>-0.99692426006404644</v>
      </c>
      <c r="AO273" s="536">
        <f t="shared" si="136"/>
        <v>2.5301259180965818E-2</v>
      </c>
      <c r="AP273" s="552">
        <f t="shared" si="137"/>
        <v>5.0727800773968323E-2</v>
      </c>
      <c r="AQ273" s="827">
        <f t="shared" ref="AQ273:BG273" si="239">AQ115</f>
        <v>20023.881229000002</v>
      </c>
      <c r="AR273" s="827">
        <f t="shared" si="239"/>
        <v>19214.283872</v>
      </c>
      <c r="AS273" s="827">
        <f t="shared" si="239"/>
        <v>29597.056815</v>
      </c>
      <c r="AT273" s="827">
        <f t="shared" si="239"/>
        <v>34253.293458</v>
      </c>
      <c r="AU273" s="827">
        <f t="shared" si="239"/>
        <v>52802.674271999997</v>
      </c>
      <c r="AV273" s="827"/>
      <c r="AW273" s="827">
        <f t="shared" si="239"/>
        <v>31527.139248000003</v>
      </c>
      <c r="AX273" s="827">
        <f t="shared" si="239"/>
        <v>40297.547914000002</v>
      </c>
      <c r="AY273" s="827">
        <f t="shared" si="239"/>
        <v>17499.191985000001</v>
      </c>
      <c r="AZ273" s="827">
        <f t="shared" si="239"/>
        <v>17625.358772</v>
      </c>
      <c r="BA273" s="827">
        <f t="shared" si="239"/>
        <v>17929.09434</v>
      </c>
      <c r="BB273" s="829">
        <f t="shared" si="239"/>
        <v>1.296677374502565</v>
      </c>
      <c r="BC273" s="829">
        <f t="shared" si="239"/>
        <v>0.57615247884385024</v>
      </c>
      <c r="BD273" s="829">
        <f t="shared" si="239"/>
        <v>-0.1926257471138888</v>
      </c>
      <c r="BE273" s="829">
        <f t="shared" si="239"/>
        <v>0.97420664120979827</v>
      </c>
      <c r="BF273" s="829">
        <f t="shared" si="239"/>
        <v>0.37659635091641092</v>
      </c>
      <c r="BG273" s="829">
        <f t="shared" si="239"/>
        <v>-0.17738213342307987</v>
      </c>
    </row>
    <row r="274" spans="1:59" ht="15" customHeight="1">
      <c r="A274" s="535">
        <v>2010</v>
      </c>
      <c r="B274" s="449"/>
      <c r="C274" s="51"/>
      <c r="D274" s="51"/>
      <c r="E274" s="51"/>
      <c r="F274" s="51"/>
      <c r="G274" s="51"/>
      <c r="H274" s="51"/>
      <c r="I274" s="536" t="s">
        <v>260</v>
      </c>
      <c r="J274" s="524" t="s">
        <v>702</v>
      </c>
      <c r="K274" s="543">
        <f t="shared" si="218"/>
        <v>2.4781077562689711</v>
      </c>
      <c r="L274" s="543">
        <f t="shared" si="218"/>
        <v>7.20820279040682</v>
      </c>
      <c r="M274" s="543">
        <f t="shared" si="218"/>
        <v>7.4685285453522932</v>
      </c>
      <c r="N274" s="543">
        <f t="shared" si="218"/>
        <v>7.5995059929363125</v>
      </c>
      <c r="O274" s="543">
        <f t="shared" si="218"/>
        <v>7.2685124213992207</v>
      </c>
      <c r="P274" s="149">
        <f t="shared" si="223"/>
        <v>-340.2</v>
      </c>
      <c r="Q274" s="149">
        <f t="shared" si="224"/>
        <v>-2.7126670910248247</v>
      </c>
      <c r="R274" s="149">
        <f t="shared" si="225"/>
        <v>-2.9801223241590216</v>
      </c>
      <c r="S274" s="149">
        <f t="shared" si="226"/>
        <v>-1.7339913735899137</v>
      </c>
      <c r="T274" s="149">
        <f t="shared" si="227"/>
        <v>-1.4179104477611941</v>
      </c>
      <c r="U274" s="51">
        <f t="shared" si="228"/>
        <v>0.38892062365837088</v>
      </c>
      <c r="V274" s="51">
        <f t="shared" si="229"/>
        <v>0.24463164653286407</v>
      </c>
      <c r="W274" s="51">
        <f t="shared" si="230"/>
        <v>0.22448817563991277</v>
      </c>
      <c r="X274" s="51">
        <f t="shared" si="231"/>
        <v>0.12628356461488263</v>
      </c>
      <c r="Y274" s="51">
        <f t="shared" si="232"/>
        <v>8.8584582801201656E-2</v>
      </c>
      <c r="Z274" s="51">
        <f t="shared" si="233"/>
        <v>4.2090325839251033E-4</v>
      </c>
      <c r="AA274" s="51">
        <f t="shared" si="234"/>
        <v>4.6698135641586605E-2</v>
      </c>
      <c r="AB274" s="51">
        <f t="shared" si="235"/>
        <v>5.1923443355281262E-2</v>
      </c>
      <c r="AC274" s="51">
        <f t="shared" si="236"/>
        <v>5.7849177558971995E-2</v>
      </c>
      <c r="AD274" s="62">
        <f t="shared" si="237"/>
        <v>4.0804083135251579E-2</v>
      </c>
      <c r="AF274" s="701">
        <f t="shared" si="238"/>
        <v>-1.1546924185148078E-2</v>
      </c>
      <c r="AG274" s="61">
        <f t="shared" ref="AG274:AG307" si="240">AE116-AI116</f>
        <v>-8.5334752716342471E-2</v>
      </c>
      <c r="AK274" s="701">
        <f t="shared" ref="AK274:AK307" si="241">AL116-AN116</f>
        <v>-0.12741388477586152</v>
      </c>
      <c r="AL274" s="61">
        <f t="shared" ref="AL274:AL307" si="242">AJ116-AN116</f>
        <v>-0.14918806997609119</v>
      </c>
      <c r="AM274" s="845">
        <f t="shared" ref="AM274:AM307" si="243">LN(M116/O116)</f>
        <v>0.20001612395307292</v>
      </c>
      <c r="AN274" s="845">
        <f t="shared" ref="AN274:AN307" si="244">LN(K116/O116)</f>
        <v>-4.7904046651302501</v>
      </c>
      <c r="AO274" s="536">
        <f t="shared" ref="AO274:AO307" si="245">W274-Y274</f>
        <v>0.13590359283871112</v>
      </c>
      <c r="AP274" s="552">
        <f t="shared" ref="AP274:AP307" si="246">U274-Y274</f>
        <v>0.30033604085716925</v>
      </c>
      <c r="AQ274" s="827">
        <f t="shared" ref="AQ274:BG274" si="247">AQ116</f>
        <v>17303.894676</v>
      </c>
      <c r="AR274" s="827">
        <f t="shared" si="247"/>
        <v>21844.491515999998</v>
      </c>
      <c r="AS274" s="827">
        <f t="shared" si="247"/>
        <v>26167.707323999999</v>
      </c>
      <c r="AT274" s="827">
        <f t="shared" si="247"/>
        <v>30164.714507000001</v>
      </c>
      <c r="AU274" s="827">
        <f t="shared" si="247"/>
        <v>32039.636719999999</v>
      </c>
      <c r="AV274" s="827"/>
      <c r="AW274" s="827">
        <f t="shared" si="247"/>
        <v>9180.7966400000005</v>
      </c>
      <c r="AX274" s="827">
        <f t="shared" si="247"/>
        <v>4126.1759999999995</v>
      </c>
      <c r="AY274" s="827">
        <f t="shared" si="247"/>
        <v>4828.164264</v>
      </c>
      <c r="AZ274" s="827">
        <f t="shared" si="247"/>
        <v>2984.3829150000001</v>
      </c>
      <c r="BA274" s="827">
        <f t="shared" si="247"/>
        <v>2213.6133500000001</v>
      </c>
      <c r="BB274" s="829">
        <f t="shared" si="247"/>
        <v>-0.91880187657885237</v>
      </c>
      <c r="BC274" s="829">
        <f t="shared" si="247"/>
        <v>-1.160421870663336</v>
      </c>
      <c r="BD274" s="829">
        <f t="shared" si="247"/>
        <v>-1.0814159946733743</v>
      </c>
      <c r="BE274" s="829">
        <f t="shared" si="247"/>
        <v>-0.27018878819856673</v>
      </c>
      <c r="BF274" s="829">
        <f t="shared" si="247"/>
        <v>-0.27987166738543878</v>
      </c>
      <c r="BG274" s="829">
        <f t="shared" si="247"/>
        <v>-0.38652403084613696</v>
      </c>
    </row>
    <row r="275" spans="1:59" ht="15" customHeight="1">
      <c r="A275" s="535">
        <v>2010</v>
      </c>
      <c r="B275" s="449"/>
      <c r="C275" s="51"/>
      <c r="D275" s="51"/>
      <c r="E275" s="51"/>
      <c r="F275" s="51"/>
      <c r="G275" s="51"/>
      <c r="H275" s="51"/>
      <c r="I275" s="536" t="s">
        <v>309</v>
      </c>
      <c r="J275" s="524" t="s">
        <v>704</v>
      </c>
      <c r="K275" s="543">
        <f t="shared" si="218"/>
        <v>12.294360790038077</v>
      </c>
      <c r="L275" s="543">
        <f t="shared" si="218"/>
        <v>12.087259498831544</v>
      </c>
      <c r="M275" s="543">
        <f t="shared" si="218"/>
        <v>12.08463867137872</v>
      </c>
      <c r="N275" s="543">
        <f t="shared" si="218"/>
        <v>11.850432157885558</v>
      </c>
      <c r="O275" s="543">
        <f t="shared" si="218"/>
        <v>11.839399206674118</v>
      </c>
      <c r="P275" s="149">
        <f t="shared" si="223"/>
        <v>6.9867276880737808E-2</v>
      </c>
      <c r="Q275" s="149">
        <f t="shared" si="224"/>
        <v>5.2721048922345359E-3</v>
      </c>
      <c r="R275" s="149">
        <f t="shared" si="225"/>
        <v>1.9221791687966516E-2</v>
      </c>
      <c r="S275" s="149">
        <f t="shared" si="226"/>
        <v>2.1628324274741303E-2</v>
      </c>
      <c r="T275" s="149">
        <f t="shared" si="227"/>
        <v>7.0819626023869736E-2</v>
      </c>
      <c r="U275" s="51">
        <f t="shared" si="228"/>
        <v>0.69608956082760065</v>
      </c>
      <c r="V275" s="51">
        <f t="shared" si="229"/>
        <v>0.7077756956300425</v>
      </c>
      <c r="W275" s="51">
        <f t="shared" si="230"/>
        <v>0.6674658897047101</v>
      </c>
      <c r="X275" s="51">
        <f t="shared" si="231"/>
        <v>0.72076000691556075</v>
      </c>
      <c r="Y275" s="51">
        <f t="shared" si="232"/>
        <v>0.66005488725967054</v>
      </c>
      <c r="Z275" s="51">
        <f t="shared" si="233"/>
        <v>1.1186794311771426</v>
      </c>
      <c r="AA275" s="51">
        <f t="shared" si="234"/>
        <v>1.1633069511200804</v>
      </c>
      <c r="AB275" s="51">
        <f t="shared" si="235"/>
        <v>1.2450191876295338</v>
      </c>
      <c r="AC275" s="51">
        <f t="shared" si="236"/>
        <v>0.93158990724559165</v>
      </c>
      <c r="AD275" s="62">
        <f t="shared" si="237"/>
        <v>1.1435399382584235</v>
      </c>
      <c r="AF275" s="701">
        <f t="shared" si="238"/>
        <v>-5.4227586086703486E-2</v>
      </c>
      <c r="AG275" s="61">
        <f t="shared" si="240"/>
        <v>-2.8259852119809636E-3</v>
      </c>
      <c r="AK275" s="701">
        <f t="shared" si="241"/>
        <v>-0.17767679089576499</v>
      </c>
      <c r="AL275" s="61">
        <f t="shared" si="242"/>
        <v>3.9719075471269294E-2</v>
      </c>
      <c r="AM275" s="845">
        <f t="shared" si="243"/>
        <v>0.24523946470460162</v>
      </c>
      <c r="AN275" s="845">
        <f t="shared" si="244"/>
        <v>0.45496158336396009</v>
      </c>
      <c r="AO275" s="536">
        <f t="shared" si="245"/>
        <v>7.4110024450395606E-3</v>
      </c>
      <c r="AP275" s="552">
        <f t="shared" si="246"/>
        <v>3.6034673567930109E-2</v>
      </c>
      <c r="AQ275" s="827">
        <f t="shared" ref="AQ275:BG275" si="248">AQ117</f>
        <v>59348.606054000003</v>
      </c>
      <c r="AR275" s="827">
        <f t="shared" si="248"/>
        <v>44612.042988000001</v>
      </c>
      <c r="AS275" s="827">
        <f t="shared" si="248"/>
        <v>47309.723208000003</v>
      </c>
      <c r="AT275" s="827">
        <f t="shared" si="248"/>
        <v>42007.985057999998</v>
      </c>
      <c r="AU275" s="827">
        <f t="shared" si="248"/>
        <v>41204.523229999999</v>
      </c>
      <c r="AV275" s="827"/>
      <c r="AW275" s="827">
        <f t="shared" si="248"/>
        <v>79842.282707999999</v>
      </c>
      <c r="AX275" s="827">
        <f t="shared" si="248"/>
        <v>60159.989927999995</v>
      </c>
      <c r="AY275" s="827">
        <f t="shared" si="248"/>
        <v>57390.574428</v>
      </c>
      <c r="AZ275" s="827">
        <f t="shared" si="248"/>
        <v>53908.077332000001</v>
      </c>
      <c r="BA275" s="827">
        <f t="shared" si="248"/>
        <v>53354.712189999998</v>
      </c>
      <c r="BB275" s="829">
        <f t="shared" si="248"/>
        <v>0.18397829595714291</v>
      </c>
      <c r="BC275" s="829">
        <f t="shared" si="248"/>
        <v>5.6227182771379051E-2</v>
      </c>
      <c r="BD275" s="829">
        <f t="shared" si="248"/>
        <v>5.9326016126070899E-2</v>
      </c>
      <c r="BE275" s="829">
        <f t="shared" si="248"/>
        <v>0.22125566565187377</v>
      </c>
      <c r="BF275" s="829">
        <f t="shared" si="248"/>
        <v>4.6214849999058796E-2</v>
      </c>
      <c r="BG275" s="829">
        <f t="shared" si="248"/>
        <v>6.4950203809368209E-2</v>
      </c>
    </row>
    <row r="276" spans="1:59" ht="15" customHeight="1">
      <c r="A276" s="535">
        <v>2016</v>
      </c>
      <c r="B276" s="449"/>
      <c r="C276" s="51"/>
      <c r="D276" s="51"/>
      <c r="E276" s="51"/>
      <c r="F276" s="51"/>
      <c r="G276" s="51"/>
      <c r="H276" s="51"/>
      <c r="I276" s="536" t="s">
        <v>1031</v>
      </c>
      <c r="J276" s="524" t="s">
        <v>1070</v>
      </c>
      <c r="K276" s="543">
        <f t="shared" si="218"/>
        <v>10.935293616511684</v>
      </c>
      <c r="L276" s="543">
        <f t="shared" si="218"/>
        <v>10.222556116351752</v>
      </c>
      <c r="M276" s="543">
        <f t="shared" si="218"/>
        <v>10.402512847437007</v>
      </c>
      <c r="N276" s="543">
        <f t="shared" si="218"/>
        <v>10.285371741616919</v>
      </c>
      <c r="O276" s="543">
        <f t="shared" si="218"/>
        <v>10.159621336112597</v>
      </c>
      <c r="P276" s="149">
        <f t="shared" si="223"/>
        <v>-1.9483466302537691E-2</v>
      </c>
      <c r="Q276" s="149">
        <f t="shared" si="224"/>
        <v>-0.29959832538771203</v>
      </c>
      <c r="R276" s="149">
        <f t="shared" si="225"/>
        <v>-4.2947130120322523E-2</v>
      </c>
      <c r="S276" s="149">
        <f t="shared" si="226"/>
        <v>-3.0473435290675942E-2</v>
      </c>
      <c r="T276" s="149">
        <f t="shared" si="227"/>
        <v>-0.48983634300659623</v>
      </c>
      <c r="U276" s="51">
        <f t="shared" si="228"/>
        <v>0.66556691630999765</v>
      </c>
      <c r="V276" s="51">
        <f t="shared" si="229"/>
        <v>0.47928094011830014</v>
      </c>
      <c r="W276" s="51">
        <f t="shared" si="230"/>
        <v>0.27410945066698356</v>
      </c>
      <c r="X276" s="51">
        <f t="shared" si="231"/>
        <v>0.41569879726687886</v>
      </c>
      <c r="Y276" s="51">
        <f t="shared" si="232"/>
        <v>0.84653993897921276</v>
      </c>
      <c r="Z276" s="51">
        <f t="shared" si="233"/>
        <v>1.4804579360485168</v>
      </c>
      <c r="AA276" s="51">
        <f t="shared" si="234"/>
        <v>0.9251261744245165</v>
      </c>
      <c r="AB276" s="51">
        <f t="shared" si="235"/>
        <v>1.0105098190677084</v>
      </c>
      <c r="AC276" s="51">
        <f t="shared" si="236"/>
        <v>0.81952343531480176</v>
      </c>
      <c r="AD276" s="62">
        <f t="shared" si="237"/>
        <v>0.39514569377899539</v>
      </c>
      <c r="AF276" s="701">
        <f t="shared" si="238"/>
        <v>-1.4554044378038665E-2</v>
      </c>
      <c r="AG276" s="61">
        <f t="shared" si="240"/>
        <v>0.16471226928618163</v>
      </c>
      <c r="AK276" s="701">
        <f t="shared" si="241"/>
        <v>0.57926065293722273</v>
      </c>
      <c r="AL276" s="61">
        <f t="shared" si="242"/>
        <v>0.56512568654263517</v>
      </c>
      <c r="AM276" s="845">
        <f t="shared" si="243"/>
        <v>0.24289151132441211</v>
      </c>
      <c r="AN276" s="845">
        <f t="shared" si="244"/>
        <v>0.77567228039908775</v>
      </c>
      <c r="AO276" s="536">
        <f t="shared" si="245"/>
        <v>-0.5724304883122292</v>
      </c>
      <c r="AP276" s="552">
        <f t="shared" si="246"/>
        <v>-0.18097302266921511</v>
      </c>
      <c r="AQ276" s="827">
        <f t="shared" ref="AQ276:BG276" si="249">AQ118</f>
        <v>12678.230004999999</v>
      </c>
      <c r="AR276" s="827">
        <f t="shared" si="249"/>
        <v>15488.491188</v>
      </c>
      <c r="AS276" s="827">
        <f t="shared" si="249"/>
        <v>23663.923558000002</v>
      </c>
      <c r="AT276" s="827">
        <f t="shared" si="249"/>
        <v>20890.944228</v>
      </c>
      <c r="AU276" s="827">
        <f t="shared" si="249"/>
        <v>10034.727828000001</v>
      </c>
      <c r="AV276" s="827"/>
      <c r="AW276" s="827">
        <f t="shared" si="249"/>
        <v>4253.0996059999998</v>
      </c>
      <c r="AX276" s="827">
        <f t="shared" si="249"/>
        <v>4236.5962140000001</v>
      </c>
      <c r="AY276" s="827">
        <f t="shared" si="249"/>
        <v>2398.9227900000001</v>
      </c>
      <c r="AZ276" s="827">
        <f t="shared" si="249"/>
        <v>440.257994</v>
      </c>
      <c r="BA276" s="827">
        <f t="shared" si="249"/>
        <v>470.69231400000001</v>
      </c>
      <c r="BB276" s="829">
        <f t="shared" si="249"/>
        <v>-26.889416732647135</v>
      </c>
      <c r="BC276" s="829">
        <f t="shared" si="249"/>
        <v>-2.028123309897242</v>
      </c>
      <c r="BD276" s="829">
        <f t="shared" si="249"/>
        <v>-0.58975523593237444</v>
      </c>
      <c r="BE276" s="829">
        <f t="shared" si="249"/>
        <v>-22.774880170437676</v>
      </c>
      <c r="BF276" s="829">
        <f t="shared" si="249"/>
        <v>-1.0891497642576475</v>
      </c>
      <c r="BG276" s="829">
        <f t="shared" si="249"/>
        <v>-0.20775621868311886</v>
      </c>
    </row>
    <row r="277" spans="1:59" ht="15" customHeight="1">
      <c r="A277" s="535">
        <v>2016</v>
      </c>
      <c r="B277" s="449"/>
      <c r="C277" s="51"/>
      <c r="D277" s="51"/>
      <c r="E277" s="51"/>
      <c r="F277" s="51"/>
      <c r="G277" s="51"/>
      <c r="H277" s="51"/>
      <c r="I277" s="536" t="s">
        <v>1031</v>
      </c>
      <c r="J277" s="524" t="s">
        <v>657</v>
      </c>
      <c r="K277" s="543">
        <f t="shared" si="218"/>
        <v>10.319374115286696</v>
      </c>
      <c r="L277" s="543">
        <f t="shared" si="218"/>
        <v>10.206780880007225</v>
      </c>
      <c r="M277" s="543">
        <f t="shared" si="218"/>
        <v>10.148374063483615</v>
      </c>
      <c r="N277" s="543">
        <f t="shared" si="218"/>
        <v>12.814428553982866</v>
      </c>
      <c r="O277" s="543">
        <f t="shared" si="218"/>
        <v>12.845406814928216</v>
      </c>
      <c r="P277" s="149">
        <f t="shared" si="223"/>
        <v>0.183696280015303</v>
      </c>
      <c r="Q277" s="149">
        <f t="shared" si="224"/>
        <v>5.3628977350097591E-2</v>
      </c>
      <c r="R277" s="149">
        <f t="shared" si="225"/>
        <v>3.8846084591400598E-2</v>
      </c>
      <c r="S277" s="149">
        <f t="shared" si="226"/>
        <v>-4.1167509960456226E-2</v>
      </c>
      <c r="T277" s="149">
        <f t="shared" si="227"/>
        <v>-1.3162832327677607E-2</v>
      </c>
      <c r="U277" s="51">
        <f t="shared" si="228"/>
        <v>0.43865147906095797</v>
      </c>
      <c r="V277" s="51">
        <f t="shared" si="229"/>
        <v>0.78715954032122881</v>
      </c>
      <c r="W277" s="51">
        <f t="shared" si="230"/>
        <v>0.73911727077242995</v>
      </c>
      <c r="X277" s="51">
        <f t="shared" si="231"/>
        <v>0.71661552253215188</v>
      </c>
      <c r="Y277" s="51">
        <f t="shared" si="232"/>
        <v>0.71754580973808324</v>
      </c>
      <c r="Z277" s="51">
        <f t="shared" si="233"/>
        <v>0.64083587915614093</v>
      </c>
      <c r="AA277" s="51">
        <f t="shared" si="234"/>
        <v>9.118659290945702E-2</v>
      </c>
      <c r="AB277" s="51">
        <f t="shared" si="235"/>
        <v>9.0633257790587257E-2</v>
      </c>
      <c r="AC277" s="51">
        <f t="shared" si="236"/>
        <v>1.4190283763748579</v>
      </c>
      <c r="AD277" s="62">
        <f t="shared" si="237"/>
        <v>1.0085076762442478</v>
      </c>
      <c r="AF277" s="701">
        <f t="shared" si="238"/>
        <v>-0.11419841990239196</v>
      </c>
      <c r="AG277" s="61">
        <f t="shared" si="240"/>
        <v>0.13099398454489813</v>
      </c>
      <c r="AK277" s="701">
        <f t="shared" si="241"/>
        <v>6.2586518294571167E-2</v>
      </c>
      <c r="AL277" s="61">
        <f t="shared" si="242"/>
        <v>0.17313130028026114</v>
      </c>
      <c r="AM277" s="845">
        <f t="shared" si="243"/>
        <v>-2.6970327514446009</v>
      </c>
      <c r="AN277" s="845">
        <f t="shared" si="244"/>
        <v>-2.5260326996415192</v>
      </c>
      <c r="AO277" s="536">
        <f t="shared" si="245"/>
        <v>2.1571461034346706E-2</v>
      </c>
      <c r="AP277" s="552">
        <f t="shared" si="246"/>
        <v>-0.27889433067712527</v>
      </c>
      <c r="AQ277" s="827">
        <f t="shared" ref="AQ277:BG277" si="250">AQ119</f>
        <v>26554.300045</v>
      </c>
      <c r="AR277" s="827">
        <f t="shared" si="250"/>
        <v>63222.644525999996</v>
      </c>
      <c r="AS277" s="827">
        <f t="shared" si="250"/>
        <v>73542.873426000006</v>
      </c>
      <c r="AT277" s="827">
        <f t="shared" si="250"/>
        <v>73387.48363100001</v>
      </c>
      <c r="AU277" s="827">
        <f t="shared" si="250"/>
        <v>106159.31591600001</v>
      </c>
      <c r="AV277" s="827"/>
      <c r="AW277" s="827">
        <f t="shared" si="250"/>
        <v>76.748175000000003</v>
      </c>
      <c r="AX277" s="827">
        <f t="shared" si="250"/>
        <v>0</v>
      </c>
      <c r="AY277" s="827">
        <f t="shared" si="250"/>
        <v>0</v>
      </c>
      <c r="AZ277" s="827">
        <f t="shared" si="250"/>
        <v>37870.759300000005</v>
      </c>
      <c r="BA277" s="827">
        <f t="shared" si="250"/>
        <v>6407.7013059999999</v>
      </c>
      <c r="BB277" s="829">
        <f t="shared" si="250"/>
        <v>-0.77863942149241006</v>
      </c>
      <c r="BC277" s="829">
        <f t="shared" si="250"/>
        <v>-0.39947186419364977</v>
      </c>
      <c r="BD277" s="829" t="e">
        <f t="shared" si="250"/>
        <v>#DIV/0!</v>
      </c>
      <c r="BE277" s="829">
        <f t="shared" si="250"/>
        <v>-0.52366972076490392</v>
      </c>
      <c r="BF277" s="829">
        <f t="shared" si="250"/>
        <v>-0.28024772378387686</v>
      </c>
      <c r="BG277" s="829" t="e">
        <f t="shared" si="250"/>
        <v>#DIV/0!</v>
      </c>
    </row>
    <row r="278" spans="1:59" ht="15" customHeight="1">
      <c r="A278" s="535">
        <v>2016</v>
      </c>
      <c r="B278" s="449"/>
      <c r="C278" s="51"/>
      <c r="D278" s="51"/>
      <c r="E278" s="51"/>
      <c r="F278" s="51"/>
      <c r="G278" s="51"/>
      <c r="H278" s="51"/>
      <c r="I278" s="536" t="s">
        <v>1031</v>
      </c>
      <c r="J278" s="524" t="s">
        <v>1079</v>
      </c>
      <c r="K278" s="543">
        <f t="shared" si="218"/>
        <v>11.765365573338835</v>
      </c>
      <c r="L278" s="543">
        <f t="shared" si="218"/>
        <v>11.781643041602097</v>
      </c>
      <c r="M278" s="543">
        <f t="shared" si="218"/>
        <v>11.467701485686803</v>
      </c>
      <c r="N278" s="543">
        <f t="shared" si="218"/>
        <v>11.131323221316398</v>
      </c>
      <c r="O278" s="543">
        <f t="shared" si="218"/>
        <v>8.854748935117307</v>
      </c>
      <c r="P278" s="149">
        <f t="shared" si="223"/>
        <v>-5.6826543492874484E-2</v>
      </c>
      <c r="Q278" s="149">
        <f t="shared" si="224"/>
        <v>2.0044844819258088E-2</v>
      </c>
      <c r="R278" s="149">
        <f t="shared" si="225"/>
        <v>-6.038965233769869E-2</v>
      </c>
      <c r="S278" s="149">
        <f t="shared" si="226"/>
        <v>-7.7942730401849694E-2</v>
      </c>
      <c r="T278" s="149">
        <f t="shared" si="227"/>
        <v>-0.9918631448324764</v>
      </c>
      <c r="U278" s="51">
        <f t="shared" si="228"/>
        <v>0.44202762879180024</v>
      </c>
      <c r="V278" s="51">
        <f t="shared" si="229"/>
        <v>0.34795939864509851</v>
      </c>
      <c r="W278" s="51">
        <f t="shared" si="230"/>
        <v>0.41198625170971825</v>
      </c>
      <c r="X278" s="51">
        <f t="shared" si="231"/>
        <v>0.48802047170683444</v>
      </c>
      <c r="Y278" s="51">
        <f t="shared" si="232"/>
        <v>0.32176278563656147</v>
      </c>
      <c r="Z278" s="51">
        <f t="shared" si="233"/>
        <v>1.385305271350272</v>
      </c>
      <c r="AA278" s="51">
        <f t="shared" si="234"/>
        <v>1.3504773121273577</v>
      </c>
      <c r="AB278" s="51">
        <f t="shared" si="235"/>
        <v>1.0313477740023542</v>
      </c>
      <c r="AC278" s="51">
        <f t="shared" si="236"/>
        <v>1.1280248776083823</v>
      </c>
      <c r="AD278" s="62">
        <f t="shared" si="237"/>
        <v>1.5345484221980412</v>
      </c>
      <c r="AF278" s="701">
        <f t="shared" si="238"/>
        <v>1.6439376742032913E-2</v>
      </c>
      <c r="AG278" s="61">
        <f t="shared" si="240"/>
        <v>1.4433399136857696</v>
      </c>
      <c r="AK278" s="701">
        <f t="shared" si="241"/>
        <v>0.88689935926957553</v>
      </c>
      <c r="AL278" s="61">
        <f t="shared" si="242"/>
        <v>0.89474783463302354</v>
      </c>
      <c r="AM278" s="845">
        <f t="shared" si="243"/>
        <v>2.6129525505694948</v>
      </c>
      <c r="AN278" s="845">
        <f t="shared" si="244"/>
        <v>2.9106166382215286</v>
      </c>
      <c r="AO278" s="536">
        <f t="shared" si="245"/>
        <v>9.0223466073156788E-2</v>
      </c>
      <c r="AP278" s="552">
        <f t="shared" si="246"/>
        <v>0.12026484315523878</v>
      </c>
      <c r="AQ278" s="827">
        <f t="shared" ref="AQ278:BG278" si="251">AQ120</f>
        <v>51844.131268999998</v>
      </c>
      <c r="AR278" s="827">
        <f t="shared" si="251"/>
        <v>63167.072934000003</v>
      </c>
      <c r="AS278" s="827">
        <f t="shared" si="251"/>
        <v>54493.017260000001</v>
      </c>
      <c r="AT278" s="827">
        <f t="shared" si="251"/>
        <v>30988.900635000002</v>
      </c>
      <c r="AU278" s="827">
        <f t="shared" si="251"/>
        <v>3097.202632</v>
      </c>
      <c r="AV278" s="827"/>
      <c r="AW278" s="827">
        <f t="shared" si="251"/>
        <v>393.40546000000001</v>
      </c>
      <c r="AX278" s="827">
        <f t="shared" si="251"/>
        <v>416.41810199999998</v>
      </c>
      <c r="AY278" s="827">
        <f t="shared" si="251"/>
        <v>468.52542000000005</v>
      </c>
      <c r="AZ278" s="827">
        <f t="shared" si="251"/>
        <v>519.42823900000008</v>
      </c>
      <c r="BA278" s="827">
        <f t="shared" si="251"/>
        <v>975.422552</v>
      </c>
      <c r="BB278" s="829">
        <f t="shared" si="251"/>
        <v>-7.1257004584819157</v>
      </c>
      <c r="BC278" s="829">
        <f t="shared" si="251"/>
        <v>-10.245244098097638</v>
      </c>
      <c r="BD278" s="829">
        <f t="shared" si="251"/>
        <v>-12.31937984496124</v>
      </c>
      <c r="BE278" s="829">
        <f t="shared" si="251"/>
        <v>-2.3790544840568146</v>
      </c>
      <c r="BF278" s="829">
        <f t="shared" si="251"/>
        <v>-4.9770665961903156</v>
      </c>
      <c r="BG278" s="829">
        <f t="shared" si="251"/>
        <v>-5.1548298599511195</v>
      </c>
    </row>
    <row r="279" spans="1:59" ht="15" customHeight="1">
      <c r="A279" s="535">
        <v>2016</v>
      </c>
      <c r="B279" s="449"/>
      <c r="C279" s="51"/>
      <c r="D279" s="51"/>
      <c r="E279" s="51"/>
      <c r="F279" s="51"/>
      <c r="G279" s="51"/>
      <c r="H279" s="51"/>
      <c r="I279" s="536" t="s">
        <v>1031</v>
      </c>
      <c r="J279" s="524" t="s">
        <v>736</v>
      </c>
      <c r="K279" s="543">
        <f t="shared" ref="K279:O288" si="252">LN(K121)</f>
        <v>10.631072157378046</v>
      </c>
      <c r="L279" s="543">
        <f t="shared" si="252"/>
        <v>10.526658860800671</v>
      </c>
      <c r="M279" s="543">
        <f t="shared" si="252"/>
        <v>11.272789618339504</v>
      </c>
      <c r="N279" s="543">
        <f t="shared" si="252"/>
        <v>11.356450512472746</v>
      </c>
      <c r="O279" s="543">
        <f t="shared" si="252"/>
        <v>11.888554952277726</v>
      </c>
      <c r="P279" s="149">
        <f t="shared" si="223"/>
        <v>2.5452727901880121E-2</v>
      </c>
      <c r="Q279" s="149">
        <f t="shared" si="224"/>
        <v>-0.47592942991449044</v>
      </c>
      <c r="R279" s="149">
        <f t="shared" si="225"/>
        <v>-5.208700510880257E-2</v>
      </c>
      <c r="S279" s="149">
        <f t="shared" si="226"/>
        <v>3.9629901878891156E-2</v>
      </c>
      <c r="T279" s="149">
        <f t="shared" si="227"/>
        <v>-6.17107927333417E-2</v>
      </c>
      <c r="U279" s="51">
        <f t="shared" si="228"/>
        <v>0.90014441648651522</v>
      </c>
      <c r="V279" s="51">
        <f t="shared" si="229"/>
        <v>0.95548009809469914</v>
      </c>
      <c r="W279" s="51">
        <f t="shared" si="230"/>
        <v>0.70084918715308697</v>
      </c>
      <c r="X279" s="51">
        <f t="shared" si="231"/>
        <v>0.69052072097150208</v>
      </c>
      <c r="Y279" s="51">
        <f t="shared" si="232"/>
        <v>0.7980105555574023</v>
      </c>
      <c r="Z279" s="51">
        <f t="shared" si="233"/>
        <v>1.6130612751178368</v>
      </c>
      <c r="AA279" s="51">
        <f t="shared" si="234"/>
        <v>1.0597511301152125</v>
      </c>
      <c r="AB279" s="51">
        <f t="shared" si="235"/>
        <v>1.1058037150448594</v>
      </c>
      <c r="AC279" s="51">
        <f t="shared" si="236"/>
        <v>1.041407147082362</v>
      </c>
      <c r="AD279" s="62">
        <f t="shared" si="237"/>
        <v>1.2986493629101692</v>
      </c>
      <c r="AF279" s="701">
        <f t="shared" si="238"/>
        <v>-9.8654813479508538E-2</v>
      </c>
      <c r="AG279" s="61">
        <f t="shared" si="240"/>
        <v>0.12119749139246978</v>
      </c>
      <c r="AK279" s="701">
        <f t="shared" si="241"/>
        <v>0.20558915614535195</v>
      </c>
      <c r="AL279" s="61">
        <f t="shared" si="242"/>
        <v>0.89140993786390677</v>
      </c>
      <c r="AM279" s="845">
        <f t="shared" si="243"/>
        <v>-0.6157653339382233</v>
      </c>
      <c r="AN279" s="845">
        <f t="shared" si="244"/>
        <v>-1.2574827948996801</v>
      </c>
      <c r="AO279" s="536">
        <f t="shared" si="245"/>
        <v>-9.7161368404315329E-2</v>
      </c>
      <c r="AP279" s="552">
        <f t="shared" si="246"/>
        <v>0.10213386092911292</v>
      </c>
      <c r="AQ279" s="827">
        <f t="shared" ref="AQ279:BG279" si="253">AQ121</f>
        <v>2562.9342409999999</v>
      </c>
      <c r="AR279" s="827">
        <f t="shared" si="253"/>
        <v>1566.8238240000001</v>
      </c>
      <c r="AS279" s="827">
        <f t="shared" si="253"/>
        <v>21277.591632</v>
      </c>
      <c r="AT279" s="827">
        <f t="shared" si="253"/>
        <v>25412.934327000003</v>
      </c>
      <c r="AU279" s="827">
        <f t="shared" si="253"/>
        <v>22644.909088</v>
      </c>
      <c r="AV279" s="827"/>
      <c r="AW279" s="827">
        <f t="shared" si="253"/>
        <v>1284.9350010000001</v>
      </c>
      <c r="AX279" s="827">
        <f t="shared" si="253"/>
        <v>463.26052800000002</v>
      </c>
      <c r="AY279" s="827">
        <f t="shared" si="253"/>
        <v>14638.937522</v>
      </c>
      <c r="AZ279" s="827">
        <f t="shared" si="253"/>
        <v>22606.140799000001</v>
      </c>
      <c r="BA279" s="827">
        <f t="shared" si="253"/>
        <v>35546.151866</v>
      </c>
      <c r="BB279" s="829">
        <f t="shared" si="253"/>
        <v>-0.25275650815507039</v>
      </c>
      <c r="BC279" s="829">
        <f t="shared" si="253"/>
        <v>0.14991336770537647</v>
      </c>
      <c r="BD279" s="829">
        <f t="shared" si="253"/>
        <v>-0.27985312238973847</v>
      </c>
      <c r="BE279" s="829">
        <f t="shared" si="253"/>
        <v>-9.8619997470609136E-2</v>
      </c>
      <c r="BF279" s="829">
        <f t="shared" si="253"/>
        <v>-0.37742508018490312</v>
      </c>
      <c r="BG279" s="829">
        <f t="shared" si="253"/>
        <v>-0.2486314277884446</v>
      </c>
    </row>
    <row r="280" spans="1:59" ht="15" customHeight="1">
      <c r="A280" s="535">
        <v>2016</v>
      </c>
      <c r="B280" s="449"/>
      <c r="C280" s="51"/>
      <c r="D280" s="51"/>
      <c r="E280" s="51"/>
      <c r="F280" s="51"/>
      <c r="G280" s="51"/>
      <c r="H280" s="51"/>
      <c r="I280" s="536" t="s">
        <v>1031</v>
      </c>
      <c r="J280" s="524" t="s">
        <v>730</v>
      </c>
      <c r="K280" s="543">
        <f t="shared" si="252"/>
        <v>15.425380735758241</v>
      </c>
      <c r="L280" s="543">
        <f t="shared" si="252"/>
        <v>15.429089046768516</v>
      </c>
      <c r="M280" s="543">
        <f t="shared" si="252"/>
        <v>15.381934914911746</v>
      </c>
      <c r="N280" s="543">
        <f t="shared" si="252"/>
        <v>15.318521424866368</v>
      </c>
      <c r="O280" s="543">
        <f t="shared" si="252"/>
        <v>15.232347399491587</v>
      </c>
      <c r="P280" s="149">
        <f t="shared" si="223"/>
        <v>8.8602991316997767E-2</v>
      </c>
      <c r="Q280" s="149">
        <f t="shared" si="224"/>
        <v>8.2131400445674269E-2</v>
      </c>
      <c r="R280" s="149">
        <f t="shared" si="225"/>
        <v>0.21882662217840801</v>
      </c>
      <c r="S280" s="149">
        <f t="shared" si="226"/>
        <v>0.11586948461253242</v>
      </c>
      <c r="T280" s="149">
        <f t="shared" si="227"/>
        <v>0.10093981565154526</v>
      </c>
      <c r="U280" s="51">
        <f t="shared" si="228"/>
        <v>0.39191472314632575</v>
      </c>
      <c r="V280" s="51">
        <f t="shared" si="229"/>
        <v>0.35096840541621432</v>
      </c>
      <c r="W280" s="51">
        <f t="shared" si="230"/>
        <v>0.34770071899340921</v>
      </c>
      <c r="X280" s="51">
        <f t="shared" si="231"/>
        <v>0.39076325444212651</v>
      </c>
      <c r="Y280" s="51">
        <f t="shared" si="232"/>
        <v>0.37781629116117854</v>
      </c>
      <c r="Z280" s="51">
        <f t="shared" si="233"/>
        <v>0.76627244700677555</v>
      </c>
      <c r="AA280" s="51">
        <f t="shared" si="234"/>
        <v>0.77771429659677382</v>
      </c>
      <c r="AB280" s="51">
        <f t="shared" si="235"/>
        <v>0.74073172558418221</v>
      </c>
      <c r="AC280" s="51">
        <f t="shared" si="236"/>
        <v>0.67905186677217477</v>
      </c>
      <c r="AD280" s="62">
        <f t="shared" si="237"/>
        <v>0.61208009144879982</v>
      </c>
      <c r="AF280" s="701">
        <f t="shared" si="238"/>
        <v>9.4197790481374097E-2</v>
      </c>
      <c r="AG280" s="61">
        <f t="shared" si="240"/>
        <v>6.1107793737731411E-3</v>
      </c>
      <c r="AK280" s="701">
        <f t="shared" si="241"/>
        <v>0.16331761360581065</v>
      </c>
      <c r="AL280" s="61">
        <f t="shared" si="242"/>
        <v>1.7898436572149554E-2</v>
      </c>
      <c r="AM280" s="845">
        <f t="shared" si="243"/>
        <v>0.14958751542015919</v>
      </c>
      <c r="AN280" s="845">
        <f t="shared" si="244"/>
        <v>0.19303333626665334</v>
      </c>
      <c r="AO280" s="536">
        <f t="shared" si="245"/>
        <v>-3.0115572167769333E-2</v>
      </c>
      <c r="AP280" s="552">
        <f t="shared" si="246"/>
        <v>1.4098431985147208E-2</v>
      </c>
      <c r="AQ280" s="827">
        <f t="shared" ref="AQ280:BG280" si="254">AQ122</f>
        <v>3969529.3119999999</v>
      </c>
      <c r="AR280" s="827">
        <f t="shared" si="254"/>
        <v>4189999.68</v>
      </c>
      <c r="AS280" s="827">
        <f t="shared" si="254"/>
        <v>4217697.3080000002</v>
      </c>
      <c r="AT280" s="827">
        <f t="shared" si="254"/>
        <v>4033039.4280000003</v>
      </c>
      <c r="AU280" s="827">
        <f t="shared" si="254"/>
        <v>4192130.5959999999</v>
      </c>
      <c r="AV280" s="827"/>
      <c r="AW280" s="827">
        <f t="shared" si="254"/>
        <v>1430699.683</v>
      </c>
      <c r="AX280" s="827">
        <f t="shared" si="254"/>
        <v>1155815.3459999999</v>
      </c>
      <c r="AY280" s="827">
        <f t="shared" si="254"/>
        <v>1156664.564</v>
      </c>
      <c r="AZ280" s="827">
        <f t="shared" si="254"/>
        <v>1347441.8540000001</v>
      </c>
      <c r="BA280" s="827">
        <f t="shared" si="254"/>
        <v>1604130.338</v>
      </c>
      <c r="BB280" s="829">
        <f t="shared" si="254"/>
        <v>0.25950592426237123</v>
      </c>
      <c r="BC280" s="829">
        <f t="shared" si="254"/>
        <v>0.38655239441597455</v>
      </c>
      <c r="BD280" s="829">
        <f t="shared" si="254"/>
        <v>0.90611262298513717</v>
      </c>
      <c r="BE280" s="829">
        <f t="shared" si="254"/>
        <v>0.16563668855653291</v>
      </c>
      <c r="BF280" s="829">
        <f t="shared" si="254"/>
        <v>0.21081128447199321</v>
      </c>
      <c r="BG280" s="829">
        <f t="shared" si="254"/>
        <v>0.48077557248754105</v>
      </c>
    </row>
    <row r="281" spans="1:59" ht="15" customHeight="1">
      <c r="A281" s="682">
        <v>2008</v>
      </c>
      <c r="B281" s="449"/>
      <c r="C281" s="51"/>
      <c r="D281" s="51"/>
      <c r="E281" s="51"/>
      <c r="F281" s="51"/>
      <c r="G281" s="51"/>
      <c r="H281" s="51"/>
      <c r="I281" s="536" t="s">
        <v>291</v>
      </c>
      <c r="J281" s="524" t="s">
        <v>762</v>
      </c>
      <c r="K281" s="543">
        <f t="shared" si="252"/>
        <v>5.4293456289544411</v>
      </c>
      <c r="L281" s="543">
        <f t="shared" si="252"/>
        <v>10.562043288326453</v>
      </c>
      <c r="M281" s="543">
        <f t="shared" si="252"/>
        <v>10.596910728255905</v>
      </c>
      <c r="N281" s="543">
        <f t="shared" si="252"/>
        <v>10.647237931534679</v>
      </c>
      <c r="O281" s="543">
        <f t="shared" si="252"/>
        <v>10.491233732174285</v>
      </c>
      <c r="P281" s="149">
        <f t="shared" si="223"/>
        <v>-53.175438596491226</v>
      </c>
      <c r="Q281" s="149">
        <f t="shared" si="224"/>
        <v>-8.0486542443064177E-2</v>
      </c>
      <c r="R281" s="149">
        <f t="shared" si="225"/>
        <v>-8.1576015557303663E-2</v>
      </c>
      <c r="S281" s="149">
        <f t="shared" si="226"/>
        <v>-0.24600166641741622</v>
      </c>
      <c r="T281" s="149">
        <f t="shared" si="227"/>
        <v>-0.65843236049054099</v>
      </c>
      <c r="U281" s="51">
        <f t="shared" si="228"/>
        <v>4.4931496663134611E-2</v>
      </c>
      <c r="V281" s="51">
        <f t="shared" si="229"/>
        <v>0.45702563488260661</v>
      </c>
      <c r="W281" s="51">
        <f t="shared" si="230"/>
        <v>0.37482431075758743</v>
      </c>
      <c r="X281" s="51">
        <f t="shared" si="231"/>
        <v>0.40881734908297124</v>
      </c>
      <c r="Y281" s="51">
        <f t="shared" si="232"/>
        <v>0.45724863424985329</v>
      </c>
      <c r="Z281" s="51">
        <f t="shared" si="233"/>
        <v>4.2384696893647874E-3</v>
      </c>
      <c r="AA281" s="51">
        <f t="shared" si="234"/>
        <v>1.1571633924293243</v>
      </c>
      <c r="AB281" s="51">
        <f t="shared" si="235"/>
        <v>1.2893093417767136</v>
      </c>
      <c r="AC281" s="51">
        <f t="shared" si="236"/>
        <v>0.9549136014035946</v>
      </c>
      <c r="AD281" s="62">
        <f t="shared" si="237"/>
        <v>0.94983972188360644</v>
      </c>
      <c r="AF281" s="701">
        <f t="shared" si="238"/>
        <v>0.12020576578695233</v>
      </c>
      <c r="AG281" s="61">
        <f t="shared" si="240"/>
        <v>0.40002272545759543</v>
      </c>
      <c r="AK281" s="701">
        <f t="shared" si="241"/>
        <v>0.81691675179808376</v>
      </c>
      <c r="AL281" s="61">
        <f t="shared" si="242"/>
        <v>0.61168687427582324</v>
      </c>
      <c r="AM281" s="845">
        <f t="shared" si="243"/>
        <v>0.1056769960816199</v>
      </c>
      <c r="AN281" s="845">
        <f t="shared" si="244"/>
        <v>-5.0618881032198448</v>
      </c>
      <c r="AO281" s="536">
        <f t="shared" si="245"/>
        <v>-8.2424323492265861E-2</v>
      </c>
      <c r="AP281" s="552">
        <f t="shared" si="246"/>
        <v>-0.41231713758671867</v>
      </c>
      <c r="AQ281" s="827">
        <f t="shared" ref="AQ281:BG281" si="255">AQ123</f>
        <v>51376</v>
      </c>
      <c r="AR281" s="827">
        <f t="shared" si="255"/>
        <v>18131</v>
      </c>
      <c r="AS281" s="827">
        <f t="shared" si="255"/>
        <v>19401.030869999999</v>
      </c>
      <c r="AT281" s="827">
        <f t="shared" si="255"/>
        <v>26049.19354</v>
      </c>
      <c r="AU281" s="827">
        <f t="shared" si="255"/>
        <v>20570.057967999997</v>
      </c>
      <c r="AV281" s="827"/>
      <c r="AW281" s="827">
        <f t="shared" si="255"/>
        <v>0</v>
      </c>
      <c r="AX281" s="827">
        <f t="shared" si="255"/>
        <v>6428</v>
      </c>
      <c r="AY281" s="827">
        <f t="shared" si="255"/>
        <v>4541.6220199999998</v>
      </c>
      <c r="AZ281" s="827">
        <f t="shared" si="255"/>
        <v>1792.6462060000001</v>
      </c>
      <c r="BA281" s="827">
        <f t="shared" si="255"/>
        <v>6214.2745039999991</v>
      </c>
      <c r="BB281" s="829">
        <f t="shared" si="255"/>
        <v>-3.814219236170389</v>
      </c>
      <c r="BC281" s="829">
        <f t="shared" si="255"/>
        <v>-5.7740447297161763</v>
      </c>
      <c r="BD281" s="829">
        <f t="shared" si="255"/>
        <v>-0.71867304580313807</v>
      </c>
      <c r="BE281" s="829">
        <f t="shared" si="255"/>
        <v>-1.9333891223476867</v>
      </c>
      <c r="BF281" s="829">
        <f t="shared" si="255"/>
        <v>-2.4585034706173103</v>
      </c>
      <c r="BG281" s="829">
        <f t="shared" si="255"/>
        <v>-0.3591682828706399</v>
      </c>
    </row>
    <row r="282" spans="1:59" ht="15" customHeight="1">
      <c r="A282" s="535">
        <v>2008</v>
      </c>
      <c r="B282" s="449"/>
      <c r="C282" s="51"/>
      <c r="D282" s="51"/>
      <c r="E282" s="51"/>
      <c r="F282" s="51"/>
      <c r="G282" s="51"/>
      <c r="H282" s="51"/>
      <c r="I282" s="536" t="s">
        <v>313</v>
      </c>
      <c r="J282" s="524" t="s">
        <v>1069</v>
      </c>
      <c r="K282" s="543">
        <f t="shared" si="252"/>
        <v>11.336975565983122</v>
      </c>
      <c r="L282" s="543">
        <f t="shared" si="252"/>
        <v>11.131928554029276</v>
      </c>
      <c r="M282" s="543">
        <f t="shared" si="252"/>
        <v>10.903439054380268</v>
      </c>
      <c r="N282" s="543">
        <f t="shared" si="252"/>
        <v>10.414543149856174</v>
      </c>
      <c r="O282" s="543">
        <f t="shared" si="252"/>
        <v>9.4491997797303959</v>
      </c>
      <c r="P282" s="149">
        <f t="shared" si="223"/>
        <v>-8.8999117640044839E-2</v>
      </c>
      <c r="Q282" s="149">
        <f t="shared" si="224"/>
        <v>-0.3005650048303522</v>
      </c>
      <c r="R282" s="149">
        <f t="shared" si="225"/>
        <v>-2.402369258503026E-2</v>
      </c>
      <c r="S282" s="149">
        <f t="shared" si="226"/>
        <v>-2.2410845505533725</v>
      </c>
      <c r="T282" s="149">
        <f t="shared" si="227"/>
        <v>-2.8291856985352024</v>
      </c>
      <c r="U282" s="51">
        <f t="shared" si="228"/>
        <v>0.95107356937725263</v>
      </c>
      <c r="V282" s="51">
        <f t="shared" si="229"/>
        <v>0.94223552763534968</v>
      </c>
      <c r="W282" s="51">
        <f t="shared" si="230"/>
        <v>0.90907401336294669</v>
      </c>
      <c r="X282" s="51">
        <f t="shared" si="231"/>
        <v>0.85853827269760929</v>
      </c>
      <c r="Y282" s="51">
        <f t="shared" si="232"/>
        <v>0.72819915842163041</v>
      </c>
      <c r="Z282" s="51">
        <f t="shared" si="233"/>
        <v>8.0822234643332116E-2</v>
      </c>
      <c r="AA282" s="51">
        <f t="shared" si="234"/>
        <v>6.7768331066717855E-2</v>
      </c>
      <c r="AB282" s="51">
        <f t="shared" si="235"/>
        <v>6.2754826406364719E-2</v>
      </c>
      <c r="AC282" s="51">
        <f t="shared" si="236"/>
        <v>4.6691304670530884E-2</v>
      </c>
      <c r="AD282" s="62">
        <f t="shared" si="237"/>
        <v>2.2161680085030482E-2</v>
      </c>
      <c r="AF282" s="701">
        <f t="shared" si="238"/>
        <v>5.6855049111397766E-3</v>
      </c>
      <c r="AG282" s="61">
        <f t="shared" si="240"/>
        <v>5.5506400783127421E-2</v>
      </c>
      <c r="AK282" s="701">
        <f t="shared" si="241"/>
        <v>0.19229808213073921</v>
      </c>
      <c r="AL282" s="61">
        <f t="shared" si="242"/>
        <v>6.9875254366990353E-2</v>
      </c>
      <c r="AM282" s="845">
        <f t="shared" si="243"/>
        <v>1.4542392746498722</v>
      </c>
      <c r="AN282" s="845">
        <f t="shared" si="244"/>
        <v>1.8877757862527269</v>
      </c>
      <c r="AO282" s="536">
        <f t="shared" si="245"/>
        <v>0.18087485494131628</v>
      </c>
      <c r="AP282" s="552">
        <f t="shared" si="246"/>
        <v>0.22287441095562222</v>
      </c>
      <c r="AQ282" s="827">
        <f t="shared" ref="AQ282:BG282" si="256">AQ124</f>
        <v>50769</v>
      </c>
      <c r="AR282" s="827">
        <f t="shared" si="256"/>
        <v>58233</v>
      </c>
      <c r="AS282" s="827">
        <f t="shared" si="256"/>
        <v>78767</v>
      </c>
      <c r="AT282" s="827">
        <f t="shared" si="256"/>
        <v>101014</v>
      </c>
      <c r="AU282" s="827">
        <f t="shared" si="256"/>
        <v>155734</v>
      </c>
      <c r="AV282" s="827"/>
      <c r="AW282" s="827">
        <f t="shared" si="256"/>
        <v>919849</v>
      </c>
      <c r="AX282" s="827">
        <f t="shared" si="256"/>
        <v>800980</v>
      </c>
      <c r="AY282" s="827">
        <f t="shared" si="256"/>
        <v>673936</v>
      </c>
      <c r="AZ282" s="827">
        <f t="shared" si="256"/>
        <v>0</v>
      </c>
      <c r="BA282" s="827">
        <f t="shared" si="256"/>
        <v>363852</v>
      </c>
      <c r="BB282" s="829">
        <f t="shared" si="256"/>
        <v>-9.8735200026384348E-2</v>
      </c>
      <c r="BC282" s="829" t="e">
        <f t="shared" si="256"/>
        <v>#DIV/0!</v>
      </c>
      <c r="BD282" s="829">
        <f t="shared" si="256"/>
        <v>-1.9378694712851071E-3</v>
      </c>
      <c r="BE282" s="829">
        <f t="shared" si="256"/>
        <v>-0.10912245393234726</v>
      </c>
      <c r="BF282" s="829" t="e">
        <f t="shared" si="256"/>
        <v>#DIV/0!</v>
      </c>
      <c r="BG282" s="829">
        <f t="shared" si="256"/>
        <v>-3.0827111432572092E-3</v>
      </c>
    </row>
    <row r="283" spans="1:59" ht="15" customHeight="1">
      <c r="A283" s="535">
        <v>2008</v>
      </c>
      <c r="B283" s="449"/>
      <c r="C283" s="51"/>
      <c r="D283" s="51"/>
      <c r="E283" s="51"/>
      <c r="F283" s="51"/>
      <c r="G283" s="51"/>
      <c r="H283" s="51"/>
      <c r="I283" s="536" t="s">
        <v>313</v>
      </c>
      <c r="J283" s="524" t="s">
        <v>785</v>
      </c>
      <c r="K283" s="543">
        <f t="shared" si="252"/>
        <v>9.3557835168462855</v>
      </c>
      <c r="L283" s="543">
        <f t="shared" si="252"/>
        <v>7.1949943120564646</v>
      </c>
      <c r="M283" s="543" t="e">
        <f t="shared" si="252"/>
        <v>#NUM!</v>
      </c>
      <c r="N283" s="543">
        <f t="shared" si="252"/>
        <v>4.551212524271504</v>
      </c>
      <c r="O283" s="543">
        <f t="shared" si="252"/>
        <v>9.1544762040973104</v>
      </c>
      <c r="P283" s="149">
        <f t="shared" si="223"/>
        <v>-0.34803421971030607</v>
      </c>
      <c r="Q283" s="149">
        <f t="shared" si="224"/>
        <v>1.7204474829086389</v>
      </c>
      <c r="R283" s="149">
        <f t="shared" si="225"/>
        <v>-8.2315908390674739</v>
      </c>
      <c r="S283" s="149">
        <f t="shared" si="226"/>
        <v>-287.66793168880457</v>
      </c>
      <c r="T283" s="149">
        <f t="shared" si="227"/>
        <v>0.85622263235985951</v>
      </c>
      <c r="U283" s="51">
        <f t="shared" si="228"/>
        <v>0.11974046054837946</v>
      </c>
      <c r="V283" s="51">
        <f t="shared" si="229"/>
        <v>0.20667837303626152</v>
      </c>
      <c r="W283" s="51">
        <f t="shared" si="230"/>
        <v>0.12699188111739143</v>
      </c>
      <c r="X283" s="51">
        <f t="shared" si="231"/>
        <v>0.31274538744258679</v>
      </c>
      <c r="Y283" s="51">
        <f t="shared" si="232"/>
        <v>8.845298023448403E-2</v>
      </c>
      <c r="Z283" s="51">
        <f t="shared" si="233"/>
        <v>0.1143039704029004</v>
      </c>
      <c r="AA283" s="51">
        <f t="shared" si="234"/>
        <v>1.2157195790542624E-2</v>
      </c>
      <c r="AB283" s="51">
        <f t="shared" si="235"/>
        <v>-3.1190988344622458E-2</v>
      </c>
      <c r="AC283" s="51">
        <f t="shared" si="236"/>
        <v>8.0604087101357718E-4</v>
      </c>
      <c r="AD283" s="62">
        <f t="shared" si="237"/>
        <v>8.1873857431105146E-2</v>
      </c>
      <c r="AF283" s="701">
        <f t="shared" si="238"/>
        <v>0.29653314706801792</v>
      </c>
      <c r="AG283" s="61">
        <f t="shared" si="240"/>
        <v>-0.10988394288008005</v>
      </c>
      <c r="AK283" s="701">
        <f t="shared" si="241"/>
        <v>0.22287093960781412</v>
      </c>
      <c r="AL283" s="61">
        <f t="shared" si="242"/>
        <v>-0.12799781828967838</v>
      </c>
      <c r="AM283" s="845" t="e">
        <f t="shared" si="243"/>
        <v>#NUM!</v>
      </c>
      <c r="AN283" s="845">
        <f t="shared" si="244"/>
        <v>0.2013073127489752</v>
      </c>
      <c r="AO283" s="536">
        <f t="shared" si="245"/>
        <v>3.8538900882907401E-2</v>
      </c>
      <c r="AP283" s="552">
        <f t="shared" si="246"/>
        <v>3.128748031389543E-2</v>
      </c>
      <c r="AQ283" s="827">
        <f t="shared" ref="AQ283:BG283" si="257">AQ125</f>
        <v>89066.360988</v>
      </c>
      <c r="AR283" s="827">
        <f t="shared" si="257"/>
        <v>86968.546119000006</v>
      </c>
      <c r="AS283" s="827">
        <f t="shared" si="257"/>
        <v>87084.236199999999</v>
      </c>
      <c r="AT283" s="827">
        <f t="shared" si="257"/>
        <v>80784.322096000004</v>
      </c>
      <c r="AU283" s="827">
        <f t="shared" si="257"/>
        <v>105286.41138399999</v>
      </c>
      <c r="AV283" s="827"/>
      <c r="AW283" s="827">
        <f t="shared" si="257"/>
        <v>9187.6926239999993</v>
      </c>
      <c r="AX283" s="827">
        <f t="shared" si="257"/>
        <v>8969.7148450000004</v>
      </c>
      <c r="AY283" s="827">
        <f t="shared" si="257"/>
        <v>8321.4606800000001</v>
      </c>
      <c r="AZ283" s="827">
        <f t="shared" si="257"/>
        <v>23633.768629999999</v>
      </c>
      <c r="BA283" s="827">
        <f t="shared" si="257"/>
        <v>7491.1122479999995</v>
      </c>
      <c r="BB283" s="829">
        <f t="shared" si="257"/>
        <v>1.0808835286324492</v>
      </c>
      <c r="BC283" s="829">
        <f t="shared" si="257"/>
        <v>-1.1532539652352518</v>
      </c>
      <c r="BD283" s="829">
        <f t="shared" si="257"/>
        <v>3.0777590046847396</v>
      </c>
      <c r="BE283" s="829">
        <f t="shared" si="257"/>
        <v>5.3920682716196537E-2</v>
      </c>
      <c r="BF283" s="829">
        <f t="shared" si="257"/>
        <v>-0.34256752735876717</v>
      </c>
      <c r="BG283" s="829">
        <f t="shared" si="257"/>
        <v>0.65723744659607641</v>
      </c>
    </row>
    <row r="284" spans="1:59" ht="15" customHeight="1">
      <c r="A284" s="535">
        <v>2008</v>
      </c>
      <c r="B284" s="449"/>
      <c r="C284" s="51"/>
      <c r="D284" s="51"/>
      <c r="E284" s="51"/>
      <c r="F284" s="51"/>
      <c r="G284" s="51"/>
      <c r="H284" s="51"/>
      <c r="I284" s="536" t="s">
        <v>1032</v>
      </c>
      <c r="J284" s="740" t="s">
        <v>524</v>
      </c>
      <c r="K284" s="543">
        <f t="shared" si="252"/>
        <v>11.984604564107061</v>
      </c>
      <c r="L284" s="543">
        <f t="shared" si="252"/>
        <v>11.649874803323865</v>
      </c>
      <c r="M284" s="543">
        <f t="shared" si="252"/>
        <v>11.491672719412607</v>
      </c>
      <c r="N284" s="543">
        <f t="shared" si="252"/>
        <v>11.400570537746098</v>
      </c>
      <c r="O284" s="543">
        <f t="shared" si="252"/>
        <v>10.896369223585648</v>
      </c>
      <c r="P284" s="149">
        <f t="shared" si="223"/>
        <v>0.15806253545046184</v>
      </c>
      <c r="Q284" s="149">
        <f t="shared" si="224"/>
        <v>3.7290588943991884E-2</v>
      </c>
      <c r="R284" s="149">
        <f t="shared" si="225"/>
        <v>4.6442361988321273E-2</v>
      </c>
      <c r="S284" s="149">
        <f t="shared" si="226"/>
        <v>0.17642917204781275</v>
      </c>
      <c r="T284" s="149">
        <f t="shared" si="227"/>
        <v>3.9522484197980129E-2</v>
      </c>
      <c r="U284" s="51">
        <f t="shared" si="228"/>
        <v>0.29464589146567627</v>
      </c>
      <c r="V284" s="51">
        <f t="shared" si="229"/>
        <v>0.34860632509159811</v>
      </c>
      <c r="W284" s="51">
        <f t="shared" si="230"/>
        <v>0.26625744174386284</v>
      </c>
      <c r="X284" s="51">
        <f t="shared" si="231"/>
        <v>0.2553000520357428</v>
      </c>
      <c r="Y284" s="51">
        <f t="shared" si="232"/>
        <v>0.132895572971828</v>
      </c>
      <c r="Z284" s="51">
        <f t="shared" si="233"/>
        <v>0.90495254787315038</v>
      </c>
      <c r="AA284" s="51">
        <f t="shared" si="234"/>
        <v>0.72548964123718251</v>
      </c>
      <c r="AB284" s="51">
        <f t="shared" si="235"/>
        <v>0.74568098953896478</v>
      </c>
      <c r="AC284" s="51">
        <f t="shared" si="236"/>
        <v>0.61883444915560171</v>
      </c>
      <c r="AD284" s="62">
        <f t="shared" si="237"/>
        <v>0.51401430596516384</v>
      </c>
      <c r="AF284" s="701">
        <f t="shared" si="238"/>
        <v>-0.10840790773520741</v>
      </c>
      <c r="AG284" s="61">
        <f t="shared" si="240"/>
        <v>0.12272397189414171</v>
      </c>
      <c r="AK284" s="701">
        <f t="shared" si="241"/>
        <v>1.935759874240767E-2</v>
      </c>
      <c r="AL284" s="61">
        <f t="shared" si="242"/>
        <v>0.19708461237722977</v>
      </c>
      <c r="AM284" s="845">
        <f t="shared" si="243"/>
        <v>0.59530349582695929</v>
      </c>
      <c r="AN284" s="845">
        <f t="shared" si="244"/>
        <v>1.0882353405214138</v>
      </c>
      <c r="AO284" s="536">
        <f t="shared" si="245"/>
        <v>0.13336186877203485</v>
      </c>
      <c r="AP284" s="552">
        <f t="shared" si="246"/>
        <v>0.16175031849384827</v>
      </c>
      <c r="AQ284" s="827">
        <f t="shared" ref="AQ284:BG284" si="258">AQ126</f>
        <v>124918.9722</v>
      </c>
      <c r="AR284" s="827">
        <f t="shared" si="258"/>
        <v>102964.772279</v>
      </c>
      <c r="AS284" s="827">
        <f t="shared" si="258"/>
        <v>96329.646789999999</v>
      </c>
      <c r="AT284" s="827">
        <f t="shared" si="258"/>
        <v>107550.322418</v>
      </c>
      <c r="AU284" s="827">
        <f t="shared" si="258"/>
        <v>91060.330815999987</v>
      </c>
      <c r="AV284" s="827"/>
      <c r="AW284" s="827">
        <f t="shared" si="258"/>
        <v>1976.1647400000002</v>
      </c>
      <c r="AX284" s="827">
        <f t="shared" si="258"/>
        <v>6534.0011620000005</v>
      </c>
      <c r="AY284" s="827">
        <f t="shared" si="258"/>
        <v>0</v>
      </c>
      <c r="AZ284" s="827">
        <f t="shared" si="258"/>
        <v>0</v>
      </c>
      <c r="BA284" s="827">
        <f t="shared" si="258"/>
        <v>0</v>
      </c>
      <c r="BB284" s="829" t="e">
        <f t="shared" si="258"/>
        <v>#DIV/0!</v>
      </c>
      <c r="BC284" s="829" t="e">
        <f t="shared" si="258"/>
        <v>#DIV/0!</v>
      </c>
      <c r="BD284" s="829" t="e">
        <f t="shared" si="258"/>
        <v>#DIV/0!</v>
      </c>
      <c r="BE284" s="829" t="e">
        <f t="shared" si="258"/>
        <v>#DIV/0!</v>
      </c>
      <c r="BF284" s="829" t="e">
        <f t="shared" si="258"/>
        <v>#DIV/0!</v>
      </c>
      <c r="BG284" s="829" t="e">
        <f t="shared" si="258"/>
        <v>#DIV/0!</v>
      </c>
    </row>
    <row r="285" spans="1:59" ht="15" customHeight="1">
      <c r="A285" s="535">
        <v>2008</v>
      </c>
      <c r="B285" s="449"/>
      <c r="C285" s="51"/>
      <c r="D285" s="51"/>
      <c r="E285" s="51"/>
      <c r="F285" s="51"/>
      <c r="G285" s="51"/>
      <c r="H285" s="51"/>
      <c r="I285" s="536" t="s">
        <v>1033</v>
      </c>
      <c r="J285" s="524" t="s">
        <v>537</v>
      </c>
      <c r="K285" s="543">
        <f t="shared" si="252"/>
        <v>12.629114653486877</v>
      </c>
      <c r="L285" s="543">
        <f t="shared" si="252"/>
        <v>12.535499253657429</v>
      </c>
      <c r="M285" s="543">
        <f t="shared" si="252"/>
        <v>12.536004785660165</v>
      </c>
      <c r="N285" s="543">
        <f t="shared" si="252"/>
        <v>12.675074660928193</v>
      </c>
      <c r="O285" s="543">
        <f t="shared" si="252"/>
        <v>12.668406166028968</v>
      </c>
      <c r="P285" s="149">
        <f t="shared" si="223"/>
        <v>1.0993504157514676E-2</v>
      </c>
      <c r="Q285" s="149">
        <f t="shared" si="224"/>
        <v>1.857916073816146E-2</v>
      </c>
      <c r="R285" s="149">
        <f t="shared" si="225"/>
        <v>2.1664527208452154E-2</v>
      </c>
      <c r="S285" s="149">
        <f t="shared" si="226"/>
        <v>5.2887557139257822E-3</v>
      </c>
      <c r="T285" s="149">
        <f t="shared" si="227"/>
        <v>4.8695166747403183E-3</v>
      </c>
      <c r="U285" s="51">
        <f t="shared" si="228"/>
        <v>0.62221891189565848</v>
      </c>
      <c r="V285" s="51">
        <f t="shared" si="229"/>
        <v>0.58261915153948296</v>
      </c>
      <c r="W285" s="51">
        <f t="shared" si="230"/>
        <v>0.61009301267550453</v>
      </c>
      <c r="X285" s="51">
        <f t="shared" si="231"/>
        <v>0.64218646631902554</v>
      </c>
      <c r="Y285" s="51">
        <f t="shared" si="232"/>
        <v>0.65270544058213908</v>
      </c>
      <c r="Z285" s="51">
        <f t="shared" si="233"/>
        <v>1.1318370657265338</v>
      </c>
      <c r="AA285" s="51">
        <f t="shared" si="234"/>
        <v>1.1082217352058885</v>
      </c>
      <c r="AB285" s="51">
        <f t="shared" si="235"/>
        <v>1.1001623930543796</v>
      </c>
      <c r="AC285" s="51">
        <f t="shared" si="236"/>
        <v>1.0811767910651047</v>
      </c>
      <c r="AD285" s="62">
        <f t="shared" si="237"/>
        <v>1.0936505916033461</v>
      </c>
      <c r="AF285" s="701">
        <f t="shared" si="238"/>
        <v>1.1391642610348581E-2</v>
      </c>
      <c r="AG285" s="61">
        <f t="shared" si="240"/>
        <v>7.1173056955417535E-3</v>
      </c>
      <c r="AK285" s="701">
        <f t="shared" si="241"/>
        <v>4.290835823068391E-2</v>
      </c>
      <c r="AL285" s="61">
        <f t="shared" si="242"/>
        <v>1.6425561390368163E-2</v>
      </c>
      <c r="AM285" s="845">
        <f t="shared" si="243"/>
        <v>-0.13240138036880422</v>
      </c>
      <c r="AN285" s="845">
        <f t="shared" si="244"/>
        <v>-3.9291512542091026E-2</v>
      </c>
      <c r="AO285" s="536">
        <f t="shared" si="245"/>
        <v>-4.2612427906634553E-2</v>
      </c>
      <c r="AP285" s="552">
        <f t="shared" si="246"/>
        <v>-3.0486528686480607E-2</v>
      </c>
      <c r="AQ285" s="827">
        <f t="shared" ref="AQ285:BG285" si="259">AQ127</f>
        <v>101908.484964</v>
      </c>
      <c r="AR285" s="827">
        <f t="shared" si="259"/>
        <v>104713.821117</v>
      </c>
      <c r="AS285" s="827">
        <f t="shared" si="259"/>
        <v>98587.516430000003</v>
      </c>
      <c r="AT285" s="827">
        <f t="shared" si="259"/>
        <v>105797.22913200001</v>
      </c>
      <c r="AU285" s="827">
        <f t="shared" si="259"/>
        <v>100841.26384799999</v>
      </c>
      <c r="AV285" s="827"/>
      <c r="AW285" s="827">
        <f t="shared" si="259"/>
        <v>72798.051348000008</v>
      </c>
      <c r="AX285" s="827">
        <f t="shared" si="259"/>
        <v>62845.985265000003</v>
      </c>
      <c r="AY285" s="827">
        <f t="shared" si="259"/>
        <v>79325.804999999993</v>
      </c>
      <c r="AZ285" s="827">
        <f t="shared" si="259"/>
        <v>70946.611961999995</v>
      </c>
      <c r="BA285" s="827">
        <f t="shared" si="259"/>
        <v>71334.197231999991</v>
      </c>
      <c r="BB285" s="829">
        <f t="shared" si="259"/>
        <v>2.16773890224186E-2</v>
      </c>
      <c r="BC285" s="829">
        <f t="shared" si="259"/>
        <v>2.383070166769298E-2</v>
      </c>
      <c r="BD285" s="829">
        <f t="shared" si="259"/>
        <v>7.597180261832831E-2</v>
      </c>
      <c r="BE285" s="829">
        <f t="shared" si="259"/>
        <v>2.5432394887881345E-2</v>
      </c>
      <c r="BF285" s="829">
        <f t="shared" si="259"/>
        <v>3.3486962518574241E-2</v>
      </c>
      <c r="BG285" s="829">
        <f t="shared" si="259"/>
        <v>6.9343597357244283E-2</v>
      </c>
    </row>
    <row r="286" spans="1:59" ht="15" customHeight="1">
      <c r="A286" s="535">
        <v>2008</v>
      </c>
      <c r="B286" s="449"/>
      <c r="C286" s="51"/>
      <c r="D286" s="51"/>
      <c r="E286" s="51"/>
      <c r="F286" s="51"/>
      <c r="G286" s="51"/>
      <c r="H286" s="51"/>
      <c r="I286" s="536" t="s">
        <v>1033</v>
      </c>
      <c r="J286" s="524" t="s">
        <v>522</v>
      </c>
      <c r="K286" s="543">
        <f t="shared" si="252"/>
        <v>11.471515351291799</v>
      </c>
      <c r="L286" s="543">
        <f t="shared" si="252"/>
        <v>11.199614061636451</v>
      </c>
      <c r="M286" s="543">
        <f t="shared" si="252"/>
        <v>11.411624163654226</v>
      </c>
      <c r="N286" s="543">
        <f t="shared" si="252"/>
        <v>11.507644108949034</v>
      </c>
      <c r="O286" s="543">
        <f t="shared" si="252"/>
        <v>11.279768870844498</v>
      </c>
      <c r="P286" s="149">
        <f t="shared" si="223"/>
        <v>-0.10731929785372575</v>
      </c>
      <c r="Q286" s="149">
        <f t="shared" si="224"/>
        <v>-0.46507627879150465</v>
      </c>
      <c r="R286" s="149">
        <f t="shared" si="225"/>
        <v>-1.5323523119655022E-2</v>
      </c>
      <c r="S286" s="149">
        <f t="shared" si="226"/>
        <v>2.4094186199928789E-2</v>
      </c>
      <c r="T286" s="149">
        <f t="shared" si="227"/>
        <v>7.7224373044815844E-2</v>
      </c>
      <c r="U286" s="51">
        <f t="shared" si="228"/>
        <v>0.52648744277334869</v>
      </c>
      <c r="V286" s="51">
        <f t="shared" si="229"/>
        <v>0.62930575413615009</v>
      </c>
      <c r="W286" s="51">
        <f t="shared" si="230"/>
        <v>0.5032114685169673</v>
      </c>
      <c r="X286" s="51">
        <f t="shared" si="231"/>
        <v>0.5150584208024328</v>
      </c>
      <c r="Y286" s="51">
        <f t="shared" si="232"/>
        <v>0.66118695780549197</v>
      </c>
      <c r="Z286" s="51">
        <f t="shared" si="233"/>
        <v>1.209153563245297</v>
      </c>
      <c r="AA286" s="51">
        <f t="shared" si="234"/>
        <v>0.80475474891307519</v>
      </c>
      <c r="AB286" s="51">
        <f t="shared" si="235"/>
        <v>0.77162693486203238</v>
      </c>
      <c r="AC286" s="51">
        <f t="shared" si="236"/>
        <v>0.63685293105412977</v>
      </c>
      <c r="AD286" s="62">
        <f t="shared" si="237"/>
        <v>1.3016098870970012</v>
      </c>
      <c r="AF286" s="701">
        <f t="shared" si="238"/>
        <v>0.11794146822870892</v>
      </c>
      <c r="AG286" s="61">
        <f t="shared" si="240"/>
        <v>-0.23028151888481527</v>
      </c>
      <c r="AK286" s="701">
        <f t="shared" si="241"/>
        <v>-0.37398913451839366</v>
      </c>
      <c r="AL286" s="61">
        <f t="shared" si="242"/>
        <v>-0.6423593671909672</v>
      </c>
      <c r="AM286" s="845">
        <f t="shared" si="243"/>
        <v>0.13185529280972955</v>
      </c>
      <c r="AN286" s="845">
        <f t="shared" si="244"/>
        <v>0.19174648044730286</v>
      </c>
      <c r="AO286" s="536">
        <f t="shared" si="245"/>
        <v>-0.15797548928852467</v>
      </c>
      <c r="AP286" s="552">
        <f t="shared" si="246"/>
        <v>-0.13469951503214328</v>
      </c>
      <c r="AQ286" s="827">
        <f t="shared" ref="AQ286:BG286" si="260">AQ128</f>
        <v>37572.133500000004</v>
      </c>
      <c r="AR286" s="827">
        <f t="shared" si="260"/>
        <v>33672.420521</v>
      </c>
      <c r="AS286" s="827">
        <f t="shared" si="260"/>
        <v>58179.446649999998</v>
      </c>
      <c r="AT286" s="827">
        <f t="shared" si="260"/>
        <v>75745.819445999994</v>
      </c>
      <c r="AU286" s="827">
        <f t="shared" si="260"/>
        <v>20616.771543999999</v>
      </c>
      <c r="AV286" s="827"/>
      <c r="AW286" s="827">
        <f t="shared" si="260"/>
        <v>10104.604488000001</v>
      </c>
      <c r="AX286" s="827">
        <f t="shared" si="260"/>
        <v>264.22929499999998</v>
      </c>
      <c r="AY286" s="827">
        <f t="shared" si="260"/>
        <v>15668.484129999999</v>
      </c>
      <c r="AZ286" s="827">
        <f t="shared" si="260"/>
        <v>22688.813414</v>
      </c>
      <c r="BA286" s="827">
        <f t="shared" si="260"/>
        <v>17163.389159999999</v>
      </c>
      <c r="BB286" s="829">
        <f t="shared" si="260"/>
        <v>0.35636309256766863</v>
      </c>
      <c r="BC286" s="829">
        <f t="shared" si="260"/>
        <v>0.10563475146395772</v>
      </c>
      <c r="BD286" s="829">
        <f t="shared" si="260"/>
        <v>-8.8376551203744311E-2</v>
      </c>
      <c r="BE286" s="829">
        <f t="shared" si="260"/>
        <v>0.13768894730079942</v>
      </c>
      <c r="BF286" s="829">
        <f t="shared" si="260"/>
        <v>-0.30458611981668643</v>
      </c>
      <c r="BG286" s="829">
        <f t="shared" si="260"/>
        <v>-5.4745230904163014E-2</v>
      </c>
    </row>
    <row r="287" spans="1:59" ht="15" customHeight="1">
      <c r="A287" s="535">
        <v>2008</v>
      </c>
      <c r="B287" s="449"/>
      <c r="C287" s="51"/>
      <c r="D287" s="51"/>
      <c r="E287" s="51"/>
      <c r="F287" s="51"/>
      <c r="G287" s="51"/>
      <c r="H287" s="51"/>
      <c r="I287" s="536" t="s">
        <v>1033</v>
      </c>
      <c r="J287" s="740" t="s">
        <v>524</v>
      </c>
      <c r="K287" s="543">
        <f t="shared" si="252"/>
        <v>11.984604564107061</v>
      </c>
      <c r="L287" s="543">
        <f t="shared" si="252"/>
        <v>11.649874803323865</v>
      </c>
      <c r="M287" s="543">
        <f t="shared" si="252"/>
        <v>11.491672719412607</v>
      </c>
      <c r="N287" s="543">
        <f t="shared" si="252"/>
        <v>11.400570537746098</v>
      </c>
      <c r="O287" s="543">
        <f t="shared" si="252"/>
        <v>10.896369223585648</v>
      </c>
      <c r="P287" s="149">
        <f t="shared" si="223"/>
        <v>0.15806253545046184</v>
      </c>
      <c r="Q287" s="149">
        <f t="shared" si="224"/>
        <v>3.7290588943991884E-2</v>
      </c>
      <c r="R287" s="149">
        <f t="shared" si="225"/>
        <v>4.6442361988321273E-2</v>
      </c>
      <c r="S287" s="149">
        <f t="shared" si="226"/>
        <v>0.17642917204781275</v>
      </c>
      <c r="T287" s="149">
        <f t="shared" si="227"/>
        <v>3.9522484197980129E-2</v>
      </c>
      <c r="U287" s="51">
        <f t="shared" si="228"/>
        <v>0.29464589146567627</v>
      </c>
      <c r="V287" s="51">
        <f t="shared" si="229"/>
        <v>0.34860632509159811</v>
      </c>
      <c r="W287" s="51">
        <f t="shared" si="230"/>
        <v>0.26625744174386284</v>
      </c>
      <c r="X287" s="51">
        <f t="shared" si="231"/>
        <v>0.2553000520357428</v>
      </c>
      <c r="Y287" s="51">
        <f t="shared" si="232"/>
        <v>0.132895572971828</v>
      </c>
      <c r="Z287" s="51">
        <f t="shared" si="233"/>
        <v>0.90495254787315038</v>
      </c>
      <c r="AA287" s="51">
        <f t="shared" si="234"/>
        <v>0.72548964123718251</v>
      </c>
      <c r="AB287" s="51">
        <f t="shared" si="235"/>
        <v>0.74568098953896478</v>
      </c>
      <c r="AC287" s="51">
        <f t="shared" si="236"/>
        <v>0.61883444915560171</v>
      </c>
      <c r="AD287" s="62">
        <f t="shared" si="237"/>
        <v>0.51401430596516384</v>
      </c>
      <c r="AF287" s="701">
        <f t="shared" si="238"/>
        <v>-0.10840790773520741</v>
      </c>
      <c r="AG287" s="61">
        <f t="shared" si="240"/>
        <v>0.12272397189414171</v>
      </c>
      <c r="AK287" s="701">
        <f t="shared" si="241"/>
        <v>1.935759874240767E-2</v>
      </c>
      <c r="AL287" s="61">
        <f t="shared" si="242"/>
        <v>0.19708461237722977</v>
      </c>
      <c r="AM287" s="845">
        <f t="shared" si="243"/>
        <v>0.59530349582695929</v>
      </c>
      <c r="AN287" s="845">
        <f t="shared" si="244"/>
        <v>1.0882353405214138</v>
      </c>
      <c r="AO287" s="536">
        <f t="shared" si="245"/>
        <v>0.13336186877203485</v>
      </c>
      <c r="AP287" s="552">
        <f t="shared" si="246"/>
        <v>0.16175031849384827</v>
      </c>
      <c r="AQ287" s="827">
        <f t="shared" ref="AQ287:BG287" si="261">AQ129</f>
        <v>124918.9722</v>
      </c>
      <c r="AR287" s="827">
        <f t="shared" si="261"/>
        <v>102964.772279</v>
      </c>
      <c r="AS287" s="827">
        <f t="shared" si="261"/>
        <v>96329.646789999999</v>
      </c>
      <c r="AT287" s="827">
        <f t="shared" si="261"/>
        <v>107550.322418</v>
      </c>
      <c r="AU287" s="827">
        <f t="shared" si="261"/>
        <v>91060.330815999987</v>
      </c>
      <c r="AV287" s="827"/>
      <c r="AW287" s="827">
        <f t="shared" si="261"/>
        <v>1976.1647400000002</v>
      </c>
      <c r="AX287" s="827">
        <f t="shared" si="261"/>
        <v>6534.0011620000005</v>
      </c>
      <c r="AY287" s="827">
        <f t="shared" si="261"/>
        <v>0</v>
      </c>
      <c r="AZ287" s="827">
        <f t="shared" si="261"/>
        <v>0</v>
      </c>
      <c r="BA287" s="827">
        <f t="shared" si="261"/>
        <v>0</v>
      </c>
      <c r="BB287" s="829" t="e">
        <f t="shared" si="261"/>
        <v>#DIV/0!</v>
      </c>
      <c r="BC287" s="829" t="e">
        <f t="shared" si="261"/>
        <v>#DIV/0!</v>
      </c>
      <c r="BD287" s="829" t="e">
        <f t="shared" si="261"/>
        <v>#DIV/0!</v>
      </c>
      <c r="BE287" s="829" t="e">
        <f t="shared" si="261"/>
        <v>#DIV/0!</v>
      </c>
      <c r="BF287" s="829" t="e">
        <f t="shared" si="261"/>
        <v>#DIV/0!</v>
      </c>
      <c r="BG287" s="829" t="e">
        <f t="shared" si="261"/>
        <v>#DIV/0!</v>
      </c>
    </row>
    <row r="288" spans="1:59" ht="15" customHeight="1">
      <c r="A288" s="535">
        <v>2006</v>
      </c>
      <c r="B288" s="449"/>
      <c r="C288" s="51"/>
      <c r="D288" s="51"/>
      <c r="E288" s="51"/>
      <c r="F288" s="51"/>
      <c r="G288" s="51"/>
      <c r="H288" s="51"/>
      <c r="I288" s="536" t="s">
        <v>1034</v>
      </c>
      <c r="J288" s="524" t="s">
        <v>861</v>
      </c>
      <c r="K288" s="543">
        <f t="shared" si="252"/>
        <v>16.562880217344304</v>
      </c>
      <c r="L288" s="543">
        <f t="shared" si="252"/>
        <v>16.676231514860472</v>
      </c>
      <c r="M288" s="543">
        <f t="shared" si="252"/>
        <v>16.576990301863052</v>
      </c>
      <c r="N288" s="543">
        <f t="shared" si="252"/>
        <v>16.470008656966211</v>
      </c>
      <c r="O288" s="543">
        <f t="shared" si="252"/>
        <v>16.187378242085817</v>
      </c>
      <c r="P288" s="149">
        <f t="shared" si="223"/>
        <v>8.8612391193036363E-2</v>
      </c>
      <c r="Q288" s="149">
        <f t="shared" si="224"/>
        <v>0.13442187789369711</v>
      </c>
      <c r="R288" s="149">
        <f t="shared" si="225"/>
        <v>0.19482443524055673</v>
      </c>
      <c r="S288" s="149">
        <f t="shared" si="226"/>
        <v>0.17479714966456952</v>
      </c>
      <c r="T288" s="149">
        <f t="shared" si="227"/>
        <v>0.11092895382070886</v>
      </c>
      <c r="U288" s="51">
        <f t="shared" si="228"/>
        <v>0.48765591967765054</v>
      </c>
      <c r="V288" s="51">
        <f t="shared" si="229"/>
        <v>0.52680956553330616</v>
      </c>
      <c r="W288" s="51">
        <f t="shared" si="230"/>
        <v>0.53581998607242343</v>
      </c>
      <c r="X288" s="51">
        <f t="shared" si="231"/>
        <v>0.57723621070793119</v>
      </c>
      <c r="Y288" s="51">
        <f t="shared" si="232"/>
        <v>0.56965312110615385</v>
      </c>
      <c r="Z288" s="51">
        <f t="shared" si="233"/>
        <v>0.58814317808120165</v>
      </c>
      <c r="AA288" s="51">
        <f t="shared" si="234"/>
        <v>0.51927638749385596</v>
      </c>
      <c r="AB288" s="51">
        <f t="shared" si="235"/>
        <v>0.57496642459212099</v>
      </c>
      <c r="AC288" s="51">
        <f t="shared" si="236"/>
        <v>0.61382568609478627</v>
      </c>
      <c r="AD288" s="62">
        <f t="shared" si="237"/>
        <v>0.55409783351420883</v>
      </c>
      <c r="AF288" s="701">
        <f t="shared" si="238"/>
        <v>5.9900735579795014E-2</v>
      </c>
      <c r="AG288" s="61">
        <f t="shared" si="240"/>
        <v>-9.3487196124054026E-3</v>
      </c>
      <c r="AK288" s="701">
        <f t="shared" si="241"/>
        <v>0.10943663883378785</v>
      </c>
      <c r="AL288" s="61">
        <f t="shared" si="242"/>
        <v>-7.0092610997162075E-2</v>
      </c>
      <c r="AM288" s="845">
        <f t="shared" si="243"/>
        <v>0.38961205977723584</v>
      </c>
      <c r="AN288" s="845">
        <f t="shared" si="244"/>
        <v>0.37550197525848905</v>
      </c>
      <c r="AO288" s="536">
        <f t="shared" si="245"/>
        <v>-3.3833135033730422E-2</v>
      </c>
      <c r="AP288" s="552">
        <f t="shared" si="246"/>
        <v>-8.1997201428503308E-2</v>
      </c>
      <c r="AQ288" s="827">
        <f t="shared" ref="AQ288:BG288" si="262">AQ130</f>
        <v>13590835.049999999</v>
      </c>
      <c r="AR288" s="827">
        <f t="shared" si="262"/>
        <v>15923286.448000001</v>
      </c>
      <c r="AS288" s="827">
        <f t="shared" si="262"/>
        <v>12774366.359999999</v>
      </c>
      <c r="AT288" s="827">
        <f t="shared" si="262"/>
        <v>9792342.6239999998</v>
      </c>
      <c r="AU288" s="827">
        <f t="shared" si="262"/>
        <v>8323792.6369999992</v>
      </c>
      <c r="AV288" s="827"/>
      <c r="AW288" s="827">
        <f t="shared" si="262"/>
        <v>6624543.5099999998</v>
      </c>
      <c r="AX288" s="827">
        <f t="shared" si="262"/>
        <v>9062472.9020000007</v>
      </c>
      <c r="AY288" s="827">
        <f t="shared" si="262"/>
        <v>8191644.7759999996</v>
      </c>
      <c r="AZ288" s="827">
        <f t="shared" si="262"/>
        <v>7470548.3399999999</v>
      </c>
      <c r="BA288" s="827">
        <f t="shared" si="262"/>
        <v>5248686.6839999994</v>
      </c>
      <c r="BB288" s="829">
        <f t="shared" si="262"/>
        <v>0.22650788008057826</v>
      </c>
      <c r="BC288" s="829">
        <f t="shared" si="262"/>
        <v>0.33267161216173857</v>
      </c>
      <c r="BD288" s="829">
        <f t="shared" si="262"/>
        <v>0.37632903724437577</v>
      </c>
      <c r="BE288" s="829">
        <f t="shared" si="262"/>
        <v>0.16934722670878363</v>
      </c>
      <c r="BF288" s="829">
        <f t="shared" si="262"/>
        <v>0.26123656870325529</v>
      </c>
      <c r="BG288" s="829">
        <f t="shared" si="262"/>
        <v>0.3284644140090886</v>
      </c>
    </row>
    <row r="289" spans="1:59" ht="15" customHeight="1">
      <c r="A289" s="535">
        <v>2006</v>
      </c>
      <c r="B289" s="449"/>
      <c r="C289" s="51"/>
      <c r="D289" s="51"/>
      <c r="E289" s="51"/>
      <c r="F289" s="51"/>
      <c r="G289" s="51"/>
      <c r="H289" s="51"/>
      <c r="I289" s="536" t="s">
        <v>1034</v>
      </c>
      <c r="J289" s="524" t="s">
        <v>862</v>
      </c>
      <c r="K289" s="543">
        <f t="shared" ref="K289:O298" si="263">LN(K131)</f>
        <v>9.2193273032654179</v>
      </c>
      <c r="L289" s="543">
        <f t="shared" si="263"/>
        <v>8.9208044828008362</v>
      </c>
      <c r="M289" s="543">
        <f t="shared" si="263"/>
        <v>8.358390210398623</v>
      </c>
      <c r="N289" s="543">
        <f t="shared" si="263"/>
        <v>7.4065791441070941</v>
      </c>
      <c r="O289" s="543">
        <f t="shared" si="263"/>
        <v>6.084729309198285</v>
      </c>
      <c r="P289" s="149">
        <f t="shared" si="223"/>
        <v>0.11973715461958674</v>
      </c>
      <c r="Q289" s="149">
        <f t="shared" si="224"/>
        <v>4.2436177621940969E-2</v>
      </c>
      <c r="R289" s="149">
        <f t="shared" si="225"/>
        <v>3.9350180505415167E-2</v>
      </c>
      <c r="S289" s="149">
        <f t="shared" si="226"/>
        <v>2.9007488861503457E-2</v>
      </c>
      <c r="T289" s="149">
        <f t="shared" si="227"/>
        <v>-0.17280453257790368</v>
      </c>
      <c r="U289" s="51">
        <f t="shared" si="228"/>
        <v>0.74741985569458402</v>
      </c>
      <c r="V289" s="51">
        <f t="shared" si="229"/>
        <v>0.75223942781751263</v>
      </c>
      <c r="W289" s="51">
        <f t="shared" si="230"/>
        <v>0.64738731551655371</v>
      </c>
      <c r="X289" s="51">
        <f t="shared" si="231"/>
        <v>0.7938606318619762</v>
      </c>
      <c r="Y289" s="51">
        <f t="shared" si="232"/>
        <v>0.75701303832477285</v>
      </c>
      <c r="Z289" s="51">
        <f t="shared" si="233"/>
        <v>2.8840533382044025</v>
      </c>
      <c r="AA289" s="51">
        <f t="shared" si="234"/>
        <v>2.8913964308034164</v>
      </c>
      <c r="AB289" s="51">
        <f t="shared" si="235"/>
        <v>3.3147187873952935</v>
      </c>
      <c r="AC289" s="51">
        <f t="shared" si="236"/>
        <v>2.3636567331391443</v>
      </c>
      <c r="AD289" s="62">
        <f t="shared" si="237"/>
        <v>1.1157645199525881</v>
      </c>
      <c r="AF289" s="701">
        <f t="shared" si="238"/>
        <v>-0.21489355787902015</v>
      </c>
      <c r="AG289" s="61">
        <f t="shared" si="240"/>
        <v>0.53813750682513184</v>
      </c>
      <c r="AK289" s="701">
        <f t="shared" si="241"/>
        <v>1.9336718939448003</v>
      </c>
      <c r="AL289" s="61">
        <f t="shared" si="242"/>
        <v>2.9558502132664843</v>
      </c>
      <c r="AM289" s="845">
        <f t="shared" si="243"/>
        <v>2.2736609012003384</v>
      </c>
      <c r="AN289" s="845">
        <f t="shared" si="244"/>
        <v>3.1345979940671334</v>
      </c>
      <c r="AO289" s="536">
        <f t="shared" si="245"/>
        <v>-0.10962572280821914</v>
      </c>
      <c r="AP289" s="552">
        <f t="shared" si="246"/>
        <v>-9.5931826301888234E-3</v>
      </c>
      <c r="AQ289" s="827">
        <f t="shared" ref="AQ289:BG289" si="264">AQ131</f>
        <v>883.68786999999998</v>
      </c>
      <c r="AR289" s="827">
        <f t="shared" si="264"/>
        <v>641.65623400000004</v>
      </c>
      <c r="AS289" s="827">
        <f t="shared" si="264"/>
        <v>453.78902399999998</v>
      </c>
      <c r="AT289" s="827">
        <f t="shared" si="264"/>
        <v>143.61936</v>
      </c>
      <c r="AU289" s="827">
        <f t="shared" si="264"/>
        <v>95.470245999999989</v>
      </c>
      <c r="AV289" s="827"/>
      <c r="AW289" s="827">
        <f t="shared" si="264"/>
        <v>90.270049999999998</v>
      </c>
      <c r="AX289" s="827">
        <f t="shared" si="264"/>
        <v>438.13848200000001</v>
      </c>
      <c r="AY289" s="827">
        <f t="shared" si="264"/>
        <v>70.498143999999996</v>
      </c>
      <c r="AZ289" s="827">
        <f t="shared" si="264"/>
        <v>73.370760000000004</v>
      </c>
      <c r="BA289" s="827">
        <f t="shared" si="264"/>
        <v>0</v>
      </c>
      <c r="BB289" s="829" t="e">
        <f t="shared" si="264"/>
        <v>#DIV/0!</v>
      </c>
      <c r="BC289" s="829">
        <f t="shared" si="264"/>
        <v>0.65106382978723398</v>
      </c>
      <c r="BD289" s="829">
        <f t="shared" si="264"/>
        <v>2.3810679611650487</v>
      </c>
      <c r="BE289" s="829" t="e">
        <f t="shared" si="264"/>
        <v>#DIV/0!</v>
      </c>
      <c r="BF289" s="829">
        <f t="shared" si="264"/>
        <v>0.63641580697489164</v>
      </c>
      <c r="BG289" s="829">
        <f t="shared" si="264"/>
        <v>1.7396286759495772</v>
      </c>
    </row>
    <row r="290" spans="1:59" ht="15" customHeight="1">
      <c r="A290" s="535">
        <v>2005</v>
      </c>
      <c r="B290" s="449"/>
      <c r="C290" s="51"/>
      <c r="D290" s="51"/>
      <c r="E290" s="51"/>
      <c r="F290" s="51"/>
      <c r="G290" s="51"/>
      <c r="H290" s="51"/>
      <c r="I290" s="536" t="s">
        <v>305</v>
      </c>
      <c r="J290" s="524" t="s">
        <v>888</v>
      </c>
      <c r="K290" s="543">
        <f t="shared" si="263"/>
        <v>12.916472373346215</v>
      </c>
      <c r="L290" s="543">
        <f t="shared" si="263"/>
        <v>13.478753364711576</v>
      </c>
      <c r="M290" s="543">
        <f t="shared" si="263"/>
        <v>12.967944528855053</v>
      </c>
      <c r="N290" s="543">
        <f t="shared" si="263"/>
        <v>12.808399579401602</v>
      </c>
      <c r="O290" s="543">
        <f t="shared" si="263"/>
        <v>11.707062193808749</v>
      </c>
      <c r="P290" s="149">
        <f t="shared" si="223"/>
        <v>-5.5473949509296093E-2</v>
      </c>
      <c r="Q290" s="149">
        <f t="shared" si="224"/>
        <v>0.45212914066135562</v>
      </c>
      <c r="R290" s="149">
        <f t="shared" si="225"/>
        <v>0.4464169122383605</v>
      </c>
      <c r="S290" s="149">
        <f t="shared" si="226"/>
        <v>0.4823472971713193</v>
      </c>
      <c r="T290" s="149">
        <f t="shared" si="227"/>
        <v>0.31120453872090148</v>
      </c>
      <c r="U290" s="51">
        <f t="shared" si="228"/>
        <v>0.38626417921021527</v>
      </c>
      <c r="V290" s="51">
        <f t="shared" si="229"/>
        <v>0.35605275848155793</v>
      </c>
      <c r="W290" s="51">
        <f t="shared" si="230"/>
        <v>0.4132810099853314</v>
      </c>
      <c r="X290" s="51">
        <f t="shared" si="231"/>
        <v>0.39147518309388146</v>
      </c>
      <c r="Y290" s="51">
        <f t="shared" si="232"/>
        <v>0.89253362799387925</v>
      </c>
      <c r="Z290" s="51">
        <f t="shared" si="233"/>
        <v>8.8941733701828132E-2</v>
      </c>
      <c r="AA290" s="51">
        <f t="shared" si="234"/>
        <v>0.16801094933268446</v>
      </c>
      <c r="AB290" s="51">
        <f t="shared" si="235"/>
        <v>0.14138121523055111</v>
      </c>
      <c r="AC290" s="51">
        <f t="shared" si="236"/>
        <v>0.13763235880506891</v>
      </c>
      <c r="AD290" s="62">
        <f t="shared" si="237"/>
        <v>0.14387671323846349</v>
      </c>
      <c r="AF290" s="701">
        <f t="shared" si="238"/>
        <v>6.8048914796374163E-2</v>
      </c>
      <c r="AG290" s="61">
        <f t="shared" si="240"/>
        <v>-4.9709035420699925E-2</v>
      </c>
      <c r="AK290" s="701">
        <f t="shared" si="241"/>
        <v>2.1097484724616089E-2</v>
      </c>
      <c r="AL290" s="61">
        <f t="shared" si="242"/>
        <v>-0.18978992592579022</v>
      </c>
      <c r="AM290" s="845">
        <f t="shared" si="243"/>
        <v>1.2608823350463034</v>
      </c>
      <c r="AN290" s="845">
        <f t="shared" si="244"/>
        <v>1.2094101795374665</v>
      </c>
      <c r="AO290" s="536">
        <f t="shared" si="245"/>
        <v>-0.47925261800854785</v>
      </c>
      <c r="AP290" s="552">
        <f t="shared" si="246"/>
        <v>-0.50626944878366398</v>
      </c>
      <c r="AQ290" s="827">
        <f t="shared" ref="AQ290:BG290" si="265">AQ132</f>
        <v>1475690.1400820001</v>
      </c>
      <c r="AR290" s="827">
        <f t="shared" si="265"/>
        <v>1554217.1404799998</v>
      </c>
      <c r="AS290" s="827">
        <f t="shared" si="265"/>
        <v>1078153.1893559999</v>
      </c>
      <c r="AT290" s="827">
        <f t="shared" si="265"/>
        <v>873728.45346999995</v>
      </c>
      <c r="AU290" s="827">
        <f t="shared" si="265"/>
        <v>233486.00994599998</v>
      </c>
      <c r="AV290" s="827"/>
      <c r="AW290" s="827">
        <f t="shared" si="265"/>
        <v>2849812.15711</v>
      </c>
      <c r="AX290" s="827">
        <f t="shared" si="265"/>
        <v>2533079.0787839997</v>
      </c>
      <c r="AY290" s="827">
        <f t="shared" si="265"/>
        <v>1835068.1168519999</v>
      </c>
      <c r="AZ290" s="827">
        <f t="shared" si="265"/>
        <v>1707182.3016489998</v>
      </c>
      <c r="BA290" s="827">
        <f t="shared" si="265"/>
        <v>564957.52268399997</v>
      </c>
      <c r="BB290" s="829">
        <f t="shared" si="265"/>
        <v>6.6887141533180955E-2</v>
      </c>
      <c r="BC290" s="829">
        <f t="shared" si="265"/>
        <v>0.10320416130475131</v>
      </c>
      <c r="BD290" s="829">
        <f t="shared" si="265"/>
        <v>0.1042305909451023</v>
      </c>
      <c r="BE290" s="829">
        <f t="shared" si="265"/>
        <v>4.7534089718821518E-2</v>
      </c>
      <c r="BF290" s="829">
        <f t="shared" si="265"/>
        <v>0.16811329903988773</v>
      </c>
      <c r="BG290" s="829">
        <f t="shared" si="265"/>
        <v>0.1466770355482564</v>
      </c>
    </row>
    <row r="291" spans="1:59" ht="15" customHeight="1">
      <c r="A291" s="535">
        <v>2005</v>
      </c>
      <c r="B291" s="449"/>
      <c r="C291" s="51"/>
      <c r="D291" s="51"/>
      <c r="E291" s="51"/>
      <c r="F291" s="51"/>
      <c r="G291" s="51"/>
      <c r="H291" s="51"/>
      <c r="I291" s="536" t="s">
        <v>318</v>
      </c>
      <c r="J291" s="524" t="s">
        <v>914</v>
      </c>
      <c r="K291" s="543">
        <f t="shared" si="263"/>
        <v>9.2537263567902244</v>
      </c>
      <c r="L291" s="543">
        <f t="shared" si="263"/>
        <v>9.2202793958347335</v>
      </c>
      <c r="M291" s="543">
        <f t="shared" si="263"/>
        <v>9.0481063689418306</v>
      </c>
      <c r="N291" s="543">
        <f t="shared" si="263"/>
        <v>9.5217162136818398</v>
      </c>
      <c r="O291" s="543">
        <f t="shared" si="263"/>
        <v>8.9447123316820605</v>
      </c>
      <c r="P291" s="149">
        <f t="shared" si="223"/>
        <v>-4.8237157416333838E-2</v>
      </c>
      <c r="Q291" s="149">
        <f t="shared" si="224"/>
        <v>0.15952562473528165</v>
      </c>
      <c r="R291" s="149">
        <f t="shared" si="225"/>
        <v>0.18358578903883227</v>
      </c>
      <c r="S291" s="149">
        <f t="shared" si="226"/>
        <v>0.11139203024815789</v>
      </c>
      <c r="T291" s="149">
        <f t="shared" si="227"/>
        <v>0.21671352399418323</v>
      </c>
      <c r="U291" s="51">
        <f t="shared" si="228"/>
        <v>0.94142939969073958</v>
      </c>
      <c r="V291" s="51">
        <f t="shared" si="229"/>
        <v>0.93087368104690127</v>
      </c>
      <c r="W291" s="51">
        <f t="shared" si="230"/>
        <v>0.92563269750139165</v>
      </c>
      <c r="X291" s="51">
        <f t="shared" si="231"/>
        <v>0.91887808623468004</v>
      </c>
      <c r="Y291" s="51">
        <f t="shared" si="232"/>
        <v>0.90970637672024368</v>
      </c>
      <c r="Z291" s="51">
        <f t="shared" si="233"/>
        <v>1.8565857207054309E-2</v>
      </c>
      <c r="AA291" s="51">
        <f t="shared" si="234"/>
        <v>2.1846837843719883E-2</v>
      </c>
      <c r="AB291" s="51">
        <f t="shared" si="235"/>
        <v>2.2243295462759785E-2</v>
      </c>
      <c r="AC291" s="51">
        <f t="shared" si="236"/>
        <v>4.0346603918454897E-2</v>
      </c>
      <c r="AD291" s="62">
        <f t="shared" si="237"/>
        <v>2.7090555730643971E-2</v>
      </c>
      <c r="AF291" s="701">
        <f t="shared" si="238"/>
        <v>4.9791171250204887E-3</v>
      </c>
      <c r="AG291" s="61">
        <f t="shared" si="240"/>
        <v>-6.7664539760145248E-3</v>
      </c>
      <c r="AK291" s="701">
        <f t="shared" si="241"/>
        <v>-1.1944738902723046E-2</v>
      </c>
      <c r="AL291" s="61">
        <f t="shared" si="242"/>
        <v>-8.3337290577362541E-2</v>
      </c>
      <c r="AM291" s="845">
        <f t="shared" si="243"/>
        <v>0.1033940372597711</v>
      </c>
      <c r="AN291" s="845">
        <f t="shared" si="244"/>
        <v>0.30901402510816439</v>
      </c>
      <c r="AO291" s="536">
        <f t="shared" si="245"/>
        <v>1.5926320781147973E-2</v>
      </c>
      <c r="AP291" s="552">
        <f t="shared" si="246"/>
        <v>3.1723022970495895E-2</v>
      </c>
      <c r="AQ291" s="827">
        <f t="shared" ref="AQ291:BG291" si="266">AQ133</f>
        <v>32946.323858000003</v>
      </c>
      <c r="AR291" s="827">
        <f t="shared" si="266"/>
        <v>31957.390455999997</v>
      </c>
      <c r="AS291" s="827">
        <f t="shared" si="266"/>
        <v>28426.642368000001</v>
      </c>
      <c r="AT291" s="827">
        <f t="shared" si="266"/>
        <v>27451.116482999998</v>
      </c>
      <c r="AU291" s="827">
        <f t="shared" si="266"/>
        <v>25555.146461999997</v>
      </c>
      <c r="AV291" s="827"/>
      <c r="AW291" s="827">
        <f t="shared" si="266"/>
        <v>16076.464120000001</v>
      </c>
      <c r="AX291" s="827">
        <f t="shared" si="266"/>
        <v>15342.073031999998</v>
      </c>
      <c r="AY291" s="827">
        <f t="shared" si="266"/>
        <v>13993.677228</v>
      </c>
      <c r="AZ291" s="827">
        <f t="shared" si="266"/>
        <v>306721.02215799998</v>
      </c>
      <c r="BA291" s="827">
        <f t="shared" si="266"/>
        <v>10498.956425999999</v>
      </c>
      <c r="BB291" s="829">
        <f t="shared" si="266"/>
        <v>0.1582628888605695</v>
      </c>
      <c r="BC291" s="829">
        <f t="shared" si="266"/>
        <v>4.9583751980866071E-3</v>
      </c>
      <c r="BD291" s="829">
        <f t="shared" si="266"/>
        <v>0.11154494037326669</v>
      </c>
      <c r="BE291" s="829">
        <f t="shared" si="266"/>
        <v>0.14257110291860656</v>
      </c>
      <c r="BF291" s="829">
        <f t="shared" si="266"/>
        <v>8.8851961421864949E-3</v>
      </c>
      <c r="BG291" s="829">
        <f t="shared" si="266"/>
        <v>0.10740448854090626</v>
      </c>
    </row>
    <row r="292" spans="1:59" ht="15" customHeight="1">
      <c r="A292" s="535">
        <v>2005</v>
      </c>
      <c r="B292" s="449"/>
      <c r="C292" s="51"/>
      <c r="D292" s="51"/>
      <c r="E292" s="51"/>
      <c r="F292" s="51"/>
      <c r="G292" s="51"/>
      <c r="H292" s="51"/>
      <c r="I292" s="536" t="s">
        <v>318</v>
      </c>
      <c r="J292" s="524" t="s">
        <v>915</v>
      </c>
      <c r="K292" s="543">
        <f t="shared" si="263"/>
        <v>10.075129626278382</v>
      </c>
      <c r="L292" s="543">
        <f t="shared" si="263"/>
        <v>9.8801032214621625</v>
      </c>
      <c r="M292" s="543">
        <f t="shared" si="263"/>
        <v>9.7496729775193192</v>
      </c>
      <c r="N292" s="543">
        <f t="shared" si="263"/>
        <v>9.6600505899184679</v>
      </c>
      <c r="O292" s="543">
        <f t="shared" si="263"/>
        <v>9.5186151573184219</v>
      </c>
      <c r="P292" s="149">
        <f t="shared" si="223"/>
        <v>0.24737647076638852</v>
      </c>
      <c r="Q292" s="149">
        <f t="shared" si="224"/>
        <v>0.30559375027368829</v>
      </c>
      <c r="R292" s="149">
        <f t="shared" si="225"/>
        <v>0.34643289546749684</v>
      </c>
      <c r="S292" s="149">
        <f t="shared" si="226"/>
        <v>0.34221591923359185</v>
      </c>
      <c r="T292" s="149">
        <f t="shared" si="227"/>
        <v>0.34663317131778709</v>
      </c>
      <c r="U292" s="51">
        <f t="shared" si="228"/>
        <v>0.93866572091492928</v>
      </c>
      <c r="V292" s="51">
        <f t="shared" si="229"/>
        <v>0.93813327431152627</v>
      </c>
      <c r="W292" s="51">
        <f t="shared" si="230"/>
        <v>0.93529513710725143</v>
      </c>
      <c r="X292" s="51">
        <f t="shared" si="231"/>
        <v>0.92863616837775331</v>
      </c>
      <c r="Y292" s="51">
        <f t="shared" si="232"/>
        <v>0.92481801159680876</v>
      </c>
      <c r="Z292" s="51">
        <f t="shared" si="233"/>
        <v>2.2573954509911166E-2</v>
      </c>
      <c r="AA292" s="51">
        <f t="shared" si="234"/>
        <v>2.1380612197702833E-2</v>
      </c>
      <c r="AB292" s="51">
        <f t="shared" si="235"/>
        <v>2.3388307953825922E-2</v>
      </c>
      <c r="AC292" s="51">
        <f t="shared" si="236"/>
        <v>2.5736871538466842E-2</v>
      </c>
      <c r="AD292" s="62">
        <f t="shared" si="237"/>
        <v>2.6916438357372566E-2</v>
      </c>
      <c r="AF292" s="701">
        <f t="shared" si="238"/>
        <v>2.5182140466265754E-3</v>
      </c>
      <c r="AG292" s="61">
        <f t="shared" si="240"/>
        <v>-3.7458651904929575E-3</v>
      </c>
      <c r="AK292" s="701">
        <f t="shared" si="241"/>
        <v>-2.1501348039897061E-3</v>
      </c>
      <c r="AL292" s="61">
        <f t="shared" si="242"/>
        <v>-3.5786681796872791E-2</v>
      </c>
      <c r="AM292" s="845">
        <f t="shared" si="243"/>
        <v>0.23105782020089771</v>
      </c>
      <c r="AN292" s="845">
        <f t="shared" si="244"/>
        <v>0.55651446895996082</v>
      </c>
      <c r="AO292" s="536">
        <f t="shared" si="245"/>
        <v>1.0477125510442664E-2</v>
      </c>
      <c r="AP292" s="552">
        <f t="shared" si="246"/>
        <v>1.3847709318120516E-2</v>
      </c>
      <c r="AQ292" s="827">
        <f t="shared" ref="AQ292:BG292" si="267">AQ134</f>
        <v>64514.228454000004</v>
      </c>
      <c r="AR292" s="827">
        <f t="shared" si="267"/>
        <v>56534.207015999993</v>
      </c>
      <c r="AS292" s="827">
        <f t="shared" si="267"/>
        <v>47442.470064000001</v>
      </c>
      <c r="AT292" s="827">
        <f t="shared" si="267"/>
        <v>43473.946954999999</v>
      </c>
      <c r="AU292" s="827">
        <f t="shared" si="267"/>
        <v>38017.035936</v>
      </c>
      <c r="AV292" s="827"/>
      <c r="AW292" s="827">
        <f t="shared" si="267"/>
        <v>28092.641216</v>
      </c>
      <c r="AX292" s="827">
        <f t="shared" si="267"/>
        <v>26621.091623999997</v>
      </c>
      <c r="AY292" s="827">
        <f t="shared" si="267"/>
        <v>29038.897944</v>
      </c>
      <c r="AZ292" s="827">
        <f t="shared" si="267"/>
        <v>15893.308134999999</v>
      </c>
      <c r="BA292" s="827">
        <f t="shared" si="267"/>
        <v>15168.429845999999</v>
      </c>
      <c r="BB292" s="829">
        <f t="shared" si="267"/>
        <v>0.31103662540550603</v>
      </c>
      <c r="BC292" s="829">
        <f t="shared" si="267"/>
        <v>0.33759232989287286</v>
      </c>
      <c r="BD292" s="829">
        <f t="shared" si="267"/>
        <v>0.2045823522454816</v>
      </c>
      <c r="BE292" s="829">
        <f t="shared" si="267"/>
        <v>0.29494880076570645</v>
      </c>
      <c r="BF292" s="829">
        <f t="shared" si="267"/>
        <v>0.32169624105436012</v>
      </c>
      <c r="BG292" s="829">
        <f t="shared" si="267"/>
        <v>0.19980103357334225</v>
      </c>
    </row>
    <row r="293" spans="1:59" ht="15" customHeight="1">
      <c r="A293" s="535">
        <v>2007</v>
      </c>
      <c r="B293" s="449"/>
      <c r="C293" s="51"/>
      <c r="D293" s="51"/>
      <c r="E293" s="51"/>
      <c r="F293" s="51"/>
      <c r="G293" s="51"/>
      <c r="H293" s="51"/>
      <c r="I293" s="536" t="s">
        <v>327</v>
      </c>
      <c r="J293" s="524" t="s">
        <v>532</v>
      </c>
      <c r="K293" s="543">
        <f t="shared" si="263"/>
        <v>9.7268149899078509</v>
      </c>
      <c r="L293" s="543">
        <f t="shared" si="263"/>
        <v>9.6448935644358649</v>
      </c>
      <c r="M293" s="543">
        <f t="shared" si="263"/>
        <v>9.7819354717820222</v>
      </c>
      <c r="N293" s="543">
        <f t="shared" si="263"/>
        <v>2.7884399254815611</v>
      </c>
      <c r="O293" s="543">
        <f t="shared" si="263"/>
        <v>9.5331776765278349</v>
      </c>
      <c r="P293" s="149">
        <f t="shared" si="223"/>
        <v>0.30559316840783968</v>
      </c>
      <c r="Q293" s="149">
        <f t="shared" si="224"/>
        <v>0.25940448601224964</v>
      </c>
      <c r="R293" s="149">
        <f t="shared" si="225"/>
        <v>0.20015023702936727</v>
      </c>
      <c r="S293" s="149">
        <f t="shared" si="226"/>
        <v>0.25263157894736843</v>
      </c>
      <c r="T293" s="149">
        <f t="shared" si="227"/>
        <v>0.29999886963500516</v>
      </c>
      <c r="U293" s="51">
        <f t="shared" si="228"/>
        <v>0.92937290445391429</v>
      </c>
      <c r="V293" s="51">
        <f t="shared" si="229"/>
        <v>0.92605477233723799</v>
      </c>
      <c r="W293" s="51">
        <f t="shared" si="230"/>
        <v>0.924186235848941</v>
      </c>
      <c r="X293" s="51">
        <f t="shared" si="231"/>
        <v>0.91827768014059763</v>
      </c>
      <c r="Y293" s="51">
        <f t="shared" si="232"/>
        <v>0.91726821713565732</v>
      </c>
      <c r="Z293" s="51">
        <f t="shared" si="233"/>
        <v>2.1886045555819942E-2</v>
      </c>
      <c r="AA293" s="51">
        <f t="shared" si="234"/>
        <v>2.367972012381777E-2</v>
      </c>
      <c r="AB293" s="51">
        <f t="shared" si="235"/>
        <v>2.6244363420135197E-2</v>
      </c>
      <c r="AC293" s="51">
        <f t="shared" si="236"/>
        <v>2.7826596367896899E-2</v>
      </c>
      <c r="AD293" s="62">
        <f t="shared" si="237"/>
        <v>2.7645384592308152E-2</v>
      </c>
      <c r="AF293" s="701">
        <f t="shared" si="238"/>
        <v>-1.4354104460964192E-3</v>
      </c>
      <c r="AG293" s="61">
        <f t="shared" si="240"/>
        <v>-1.6053581229960997E-3</v>
      </c>
      <c r="AK293" s="701">
        <f t="shared" si="241"/>
        <v>3.3803923491571769E-2</v>
      </c>
      <c r="AL293" s="61">
        <f t="shared" si="242"/>
        <v>-4.5119512530455846E-3</v>
      </c>
      <c r="AM293" s="845">
        <f t="shared" si="243"/>
        <v>0.24875779525418854</v>
      </c>
      <c r="AN293" s="845">
        <f t="shared" si="244"/>
        <v>0.19363731338001658</v>
      </c>
      <c r="AO293" s="536">
        <f t="shared" si="245"/>
        <v>6.9180187132836801E-3</v>
      </c>
      <c r="AP293" s="552">
        <f t="shared" si="246"/>
        <v>1.2104687318256979E-2</v>
      </c>
      <c r="AQ293" s="827">
        <f t="shared" ref="AQ293:BG293" si="268">AQ135</f>
        <v>54088.647821999999</v>
      </c>
      <c r="AR293" s="827">
        <f t="shared" si="268"/>
        <v>48223.379099999998</v>
      </c>
      <c r="AS293" s="827">
        <f t="shared" si="268"/>
        <v>51162.60095</v>
      </c>
      <c r="AT293" s="827">
        <f t="shared" si="268"/>
        <v>47.740247999999994</v>
      </c>
      <c r="AU293" s="827">
        <f t="shared" si="268"/>
        <v>41329.124675999999</v>
      </c>
      <c r="AV293" s="827"/>
      <c r="AW293" s="827">
        <f t="shared" si="268"/>
        <v>19274.160367</v>
      </c>
      <c r="AX293" s="827">
        <f t="shared" si="268"/>
        <v>18857.6531</v>
      </c>
      <c r="AY293" s="827">
        <f t="shared" si="268"/>
        <v>21273.358236</v>
      </c>
      <c r="AZ293" s="827">
        <f t="shared" si="268"/>
        <v>20.191215999999997</v>
      </c>
      <c r="BA293" s="827">
        <f t="shared" si="268"/>
        <v>15206.168064</v>
      </c>
      <c r="BB293" s="829">
        <f t="shared" si="268"/>
        <v>0.27246222076215504</v>
      </c>
      <c r="BC293" s="829">
        <f t="shared" si="268"/>
        <v>0.20338983050847462</v>
      </c>
      <c r="BD293" s="829">
        <f t="shared" si="268"/>
        <v>0.16663286175481296</v>
      </c>
      <c r="BE293" s="829">
        <f t="shared" si="268"/>
        <v>0.25820457913368827</v>
      </c>
      <c r="BF293" s="829">
        <f t="shared" si="268"/>
        <v>0.1933562431661883</v>
      </c>
      <c r="BG293" s="829">
        <f t="shared" si="268"/>
        <v>0.1644956346393234</v>
      </c>
    </row>
    <row r="294" spans="1:59" ht="15" customHeight="1">
      <c r="A294" s="535">
        <v>2007</v>
      </c>
      <c r="B294" s="449"/>
      <c r="C294" s="51"/>
      <c r="D294" s="51"/>
      <c r="E294" s="51"/>
      <c r="F294" s="51"/>
      <c r="G294" s="51"/>
      <c r="H294" s="51"/>
      <c r="I294" s="536" t="s">
        <v>327</v>
      </c>
      <c r="J294" s="524" t="s">
        <v>531</v>
      </c>
      <c r="K294" s="543">
        <f t="shared" si="263"/>
        <v>10.18329694091204</v>
      </c>
      <c r="L294" s="543">
        <f t="shared" si="263"/>
        <v>10.039017497411496</v>
      </c>
      <c r="M294" s="543">
        <f t="shared" si="263"/>
        <v>10.073750660587043</v>
      </c>
      <c r="N294" s="543">
        <f t="shared" si="263"/>
        <v>9.9519139545521291</v>
      </c>
      <c r="O294" s="543">
        <f t="shared" si="263"/>
        <v>9.8139008023361427</v>
      </c>
      <c r="P294" s="149">
        <f t="shared" si="223"/>
        <v>0.34413840171812482</v>
      </c>
      <c r="Q294" s="149">
        <f t="shared" si="224"/>
        <v>0.24373382444244468</v>
      </c>
      <c r="R294" s="149">
        <f t="shared" si="225"/>
        <v>0.17996542625784734</v>
      </c>
      <c r="S294" s="149">
        <f t="shared" si="226"/>
        <v>0.28441825206631777</v>
      </c>
      <c r="T294" s="149">
        <f t="shared" si="227"/>
        <v>0.32706721986033566</v>
      </c>
      <c r="U294" s="51">
        <f t="shared" si="228"/>
        <v>0.94091581700443361</v>
      </c>
      <c r="V294" s="51">
        <f t="shared" si="229"/>
        <v>0.93942370962657962</v>
      </c>
      <c r="W294" s="51">
        <f t="shared" si="230"/>
        <v>0.94011826217920746</v>
      </c>
      <c r="X294" s="51">
        <f t="shared" si="231"/>
        <v>0.93809074095935152</v>
      </c>
      <c r="Y294" s="51">
        <f t="shared" si="232"/>
        <v>0.93372616181478918</v>
      </c>
      <c r="Z294" s="51">
        <f t="shared" si="233"/>
        <v>2.2337235485810993E-2</v>
      </c>
      <c r="AA294" s="51">
        <f t="shared" si="234"/>
        <v>2.3135960505744166E-2</v>
      </c>
      <c r="AB294" s="51">
        <f t="shared" si="235"/>
        <v>2.2572844196852619E-2</v>
      </c>
      <c r="AC294" s="51">
        <f t="shared" si="236"/>
        <v>2.2988234368236733E-2</v>
      </c>
      <c r="AD294" s="62">
        <f t="shared" si="237"/>
        <v>2.4939555568424629E-2</v>
      </c>
      <c r="AF294" s="701">
        <f t="shared" si="238"/>
        <v>-3.6247689911498189E-3</v>
      </c>
      <c r="AG294" s="61">
        <f t="shared" si="240"/>
        <v>-4.6981058542862157E-4</v>
      </c>
      <c r="AK294" s="701">
        <f t="shared" si="241"/>
        <v>-5.6348338922296751E-2</v>
      </c>
      <c r="AL294" s="61">
        <f t="shared" si="242"/>
        <v>8.6412427067025205E-2</v>
      </c>
      <c r="AM294" s="845">
        <f t="shared" si="243"/>
        <v>0.25984985825090001</v>
      </c>
      <c r="AN294" s="845">
        <f t="shared" si="244"/>
        <v>0.36939613857589709</v>
      </c>
      <c r="AO294" s="536">
        <f t="shared" si="245"/>
        <v>6.392100364418285E-3</v>
      </c>
      <c r="AP294" s="552">
        <f t="shared" si="246"/>
        <v>7.1896551896444283E-3</v>
      </c>
      <c r="AQ294" s="827">
        <f t="shared" ref="AQ294:BG294" si="269">AQ136</f>
        <v>69982.826805999997</v>
      </c>
      <c r="AR294" s="827">
        <f t="shared" si="269"/>
        <v>15025.250109999999</v>
      </c>
      <c r="AS294" s="827">
        <f t="shared" si="269"/>
        <v>62907.840543999999</v>
      </c>
      <c r="AT294" s="827">
        <f t="shared" si="269"/>
        <v>56534.207015999993</v>
      </c>
      <c r="AU294" s="827">
        <f t="shared" si="269"/>
        <v>48593.142132000001</v>
      </c>
      <c r="AV294" s="827"/>
      <c r="AW294" s="827">
        <f t="shared" si="269"/>
        <v>35660.518182</v>
      </c>
      <c r="AX294" s="827">
        <f t="shared" si="269"/>
        <v>34677.599190000001</v>
      </c>
      <c r="AY294" s="827">
        <f t="shared" si="269"/>
        <v>28114.215536</v>
      </c>
      <c r="AZ294" s="827">
        <f t="shared" si="269"/>
        <v>26643.507295999996</v>
      </c>
      <c r="BA294" s="827">
        <f t="shared" si="269"/>
        <v>29184.858924</v>
      </c>
      <c r="BB294" s="829">
        <f t="shared" si="269"/>
        <v>0.2049285114440528</v>
      </c>
      <c r="BC294" s="829">
        <f t="shared" si="269"/>
        <v>0.22409253217561079</v>
      </c>
      <c r="BD294" s="829">
        <f t="shared" si="269"/>
        <v>0.15178799815828517</v>
      </c>
      <c r="BE294" s="829">
        <f t="shared" si="269"/>
        <v>0.20554405015637442</v>
      </c>
      <c r="BF294" s="829">
        <f t="shared" si="269"/>
        <v>0.21908802240390302</v>
      </c>
      <c r="BG294" s="829">
        <f t="shared" si="269"/>
        <v>0.14697732080454479</v>
      </c>
    </row>
    <row r="295" spans="1:59" ht="15" customHeight="1">
      <c r="A295" s="535">
        <v>2007</v>
      </c>
      <c r="B295" s="449"/>
      <c r="C295" s="51"/>
      <c r="D295" s="51"/>
      <c r="E295" s="51"/>
      <c r="F295" s="51"/>
      <c r="G295" s="51"/>
      <c r="H295" s="51"/>
      <c r="I295" s="536" t="s">
        <v>327</v>
      </c>
      <c r="J295" s="524" t="s">
        <v>916</v>
      </c>
      <c r="K295" s="543">
        <f t="shared" si="263"/>
        <v>12.17341283918334</v>
      </c>
      <c r="L295" s="543">
        <f t="shared" si="263"/>
        <v>11.951895927138162</v>
      </c>
      <c r="M295" s="543">
        <f t="shared" si="263"/>
        <v>12.299399914565742</v>
      </c>
      <c r="N295" s="543">
        <f t="shared" si="263"/>
        <v>12.791929028458389</v>
      </c>
      <c r="O295" s="543">
        <f t="shared" si="263"/>
        <v>12.50378138786677</v>
      </c>
      <c r="P295" s="149">
        <f t="shared" si="223"/>
        <v>0.19139882857563423</v>
      </c>
      <c r="Q295" s="149">
        <f t="shared" si="224"/>
        <v>0.20277512543274429</v>
      </c>
      <c r="R295" s="149">
        <f t="shared" si="225"/>
        <v>0.20402078848526883</v>
      </c>
      <c r="S295" s="149">
        <f t="shared" si="226"/>
        <v>0.28102063597589894</v>
      </c>
      <c r="T295" s="149">
        <f t="shared" si="227"/>
        <v>0.29672493803004812</v>
      </c>
      <c r="U295" s="51">
        <f t="shared" si="228"/>
        <v>0.64661267237658182</v>
      </c>
      <c r="V295" s="51">
        <f t="shared" si="229"/>
        <v>0.57048142004706615</v>
      </c>
      <c r="W295" s="51">
        <f t="shared" si="230"/>
        <v>0.7166791647054449</v>
      </c>
      <c r="X295" s="51">
        <f t="shared" si="231"/>
        <v>0.81111634994443893</v>
      </c>
      <c r="Y295" s="51">
        <f t="shared" si="232"/>
        <v>0.88368675245302175</v>
      </c>
      <c r="Z295" s="51">
        <f t="shared" si="233"/>
        <v>0.44243966346335883</v>
      </c>
      <c r="AA295" s="51">
        <f t="shared" si="234"/>
        <v>0.47155461542011018</v>
      </c>
      <c r="AB295" s="51">
        <f t="shared" si="235"/>
        <v>0.42834239528829787</v>
      </c>
      <c r="AC295" s="51">
        <f t="shared" si="236"/>
        <v>0.42510021546248522</v>
      </c>
      <c r="AD295" s="62">
        <f t="shared" si="237"/>
        <v>0.47664908894470953</v>
      </c>
      <c r="AF295" s="701">
        <f t="shared" si="238"/>
        <v>2.7083199261025148E-3</v>
      </c>
      <c r="AG295" s="61">
        <f t="shared" si="240"/>
        <v>-5.6751238076913138E-2</v>
      </c>
      <c r="AK295" s="701">
        <f t="shared" si="241"/>
        <v>-0.99566800708581338</v>
      </c>
      <c r="AL295" s="61">
        <f t="shared" si="242"/>
        <v>-1.0391041118378721</v>
      </c>
      <c r="AM295" s="845">
        <f t="shared" si="243"/>
        <v>-0.20438147330102677</v>
      </c>
      <c r="AN295" s="845">
        <f t="shared" si="244"/>
        <v>-0.33036854868342796</v>
      </c>
      <c r="AO295" s="536">
        <f t="shared" si="245"/>
        <v>-0.16700758774757685</v>
      </c>
      <c r="AP295" s="552">
        <f t="shared" si="246"/>
        <v>-0.23707408007643993</v>
      </c>
      <c r="AQ295" s="827">
        <f t="shared" ref="AQ295:BG295" si="270">AQ137</f>
        <v>154611.908283</v>
      </c>
      <c r="AR295" s="827">
        <f t="shared" si="270"/>
        <v>141283.65237999998</v>
      </c>
      <c r="AS295" s="827">
        <f t="shared" si="270"/>
        <v>145227.53508</v>
      </c>
      <c r="AT295" s="827">
        <f t="shared" si="270"/>
        <v>159649.37823199999</v>
      </c>
      <c r="AU295" s="827">
        <f t="shared" si="270"/>
        <v>65728.336752000003</v>
      </c>
      <c r="AV295" s="827"/>
      <c r="AW295" s="827">
        <f t="shared" si="270"/>
        <v>3691.2584019999999</v>
      </c>
      <c r="AX295" s="827">
        <f t="shared" si="270"/>
        <v>41540.519540000001</v>
      </c>
      <c r="AY295" s="827">
        <f t="shared" si="270"/>
        <v>53645.984967999997</v>
      </c>
      <c r="AZ295" s="827">
        <f t="shared" si="270"/>
        <v>48007.011607999993</v>
      </c>
      <c r="BA295" s="827">
        <f t="shared" si="270"/>
        <v>36287.929032</v>
      </c>
      <c r="BB295" s="829">
        <f t="shared" si="270"/>
        <v>2.2024959776988133</v>
      </c>
      <c r="BC295" s="829">
        <f t="shared" si="270"/>
        <v>2.1032830884056475</v>
      </c>
      <c r="BD295" s="829">
        <f t="shared" si="270"/>
        <v>0.83502352641527144</v>
      </c>
      <c r="BE295" s="829">
        <f t="shared" si="270"/>
        <v>1.9754446831154349</v>
      </c>
      <c r="BF295" s="829">
        <f t="shared" si="270"/>
        <v>1.7474778621302642</v>
      </c>
      <c r="BG295" s="829">
        <f t="shared" si="270"/>
        <v>0.68170080003891842</v>
      </c>
    </row>
    <row r="296" spans="1:59" ht="15" customHeight="1">
      <c r="A296" s="535">
        <v>2007</v>
      </c>
      <c r="B296" s="449"/>
      <c r="C296" s="51"/>
      <c r="D296" s="51"/>
      <c r="E296" s="51"/>
      <c r="F296" s="51"/>
      <c r="G296" s="51"/>
      <c r="H296" s="51"/>
      <c r="I296" s="536" t="s">
        <v>327</v>
      </c>
      <c r="J296" s="524" t="s">
        <v>917</v>
      </c>
      <c r="K296" s="543">
        <f t="shared" si="263"/>
        <v>12.736513737902779</v>
      </c>
      <c r="L296" s="543">
        <f t="shared" si="263"/>
        <v>12.719611106224294</v>
      </c>
      <c r="M296" s="543">
        <f t="shared" si="263"/>
        <v>12.645329126355652</v>
      </c>
      <c r="N296" s="543">
        <f t="shared" si="263"/>
        <v>12.576575694996292</v>
      </c>
      <c r="O296" s="543">
        <f t="shared" si="263"/>
        <v>12.473519326456843</v>
      </c>
      <c r="P296" s="149">
        <f t="shared" si="223"/>
        <v>0.4307992202729044</v>
      </c>
      <c r="Q296" s="149">
        <f t="shared" si="224"/>
        <v>0.32026768642447417</v>
      </c>
      <c r="R296" s="149">
        <f t="shared" si="225"/>
        <v>0.26071842410196988</v>
      </c>
      <c r="S296" s="149">
        <f t="shared" si="226"/>
        <v>0.36680448907265212</v>
      </c>
      <c r="T296" s="149">
        <f t="shared" si="227"/>
        <v>0.46535244922341695</v>
      </c>
      <c r="U296" s="51">
        <f t="shared" si="228"/>
        <v>0.93172174093479276</v>
      </c>
      <c r="V296" s="51">
        <f t="shared" si="229"/>
        <v>0.93889978698566667</v>
      </c>
      <c r="W296" s="51">
        <f t="shared" si="230"/>
        <v>0.94381082179661901</v>
      </c>
      <c r="X296" s="51">
        <f t="shared" si="231"/>
        <v>0.93829421543489899</v>
      </c>
      <c r="Y296" s="51">
        <f t="shared" si="232"/>
        <v>0.94430695045426238</v>
      </c>
      <c r="Z296" s="51">
        <f t="shared" si="233"/>
        <v>2.128961975411112E-2</v>
      </c>
      <c r="AA296" s="51">
        <f t="shared" si="234"/>
        <v>2.5176609341340424E-2</v>
      </c>
      <c r="AB296" s="51">
        <f t="shared" si="235"/>
        <v>2.0634579059369246E-2</v>
      </c>
      <c r="AC296" s="51">
        <f t="shared" si="236"/>
        <v>2.3851117184638358E-2</v>
      </c>
      <c r="AD296" s="62">
        <f t="shared" si="237"/>
        <v>2.6728831691388972E-2</v>
      </c>
      <c r="AF296" s="701">
        <f t="shared" si="238"/>
        <v>-3.7917366556114362E-3</v>
      </c>
      <c r="AG296" s="61">
        <f t="shared" si="240"/>
        <v>-3.266775702490652E-3</v>
      </c>
      <c r="AK296" s="701">
        <f t="shared" si="241"/>
        <v>-0.13471227821518811</v>
      </c>
      <c r="AL296" s="61">
        <f t="shared" si="242"/>
        <v>-8.2140472260253589E-2</v>
      </c>
      <c r="AM296" s="845">
        <f t="shared" si="243"/>
        <v>0.1718097998988091</v>
      </c>
      <c r="AN296" s="845">
        <f t="shared" si="244"/>
        <v>0.26299441144593588</v>
      </c>
      <c r="AO296" s="536">
        <f t="shared" si="245"/>
        <v>-4.9612865764336878E-4</v>
      </c>
      <c r="AP296" s="552">
        <f t="shared" si="246"/>
        <v>-1.258520951946962E-2</v>
      </c>
      <c r="AQ296" s="827">
        <f t="shared" ref="AQ296:BG296" si="271">AQ138</f>
        <v>1090215.041</v>
      </c>
      <c r="AR296" s="827">
        <f t="shared" si="271"/>
        <v>811152.28999999992</v>
      </c>
      <c r="AS296" s="827">
        <f t="shared" si="271"/>
        <v>845173.98600000003</v>
      </c>
      <c r="AT296" s="827">
        <f t="shared" si="271"/>
        <v>749470.55999999994</v>
      </c>
      <c r="AU296" s="827">
        <f t="shared" si="271"/>
        <v>544348.59600000002</v>
      </c>
      <c r="AV296" s="827"/>
      <c r="AW296" s="827">
        <f t="shared" si="271"/>
        <v>663140.98300000001</v>
      </c>
      <c r="AX296" s="827">
        <f t="shared" si="271"/>
        <v>823454.58</v>
      </c>
      <c r="AY296" s="827">
        <f t="shared" si="271"/>
        <v>583944.92799999996</v>
      </c>
      <c r="AZ296" s="827">
        <f t="shared" si="271"/>
        <v>502555.94399999996</v>
      </c>
      <c r="BA296" s="827">
        <f t="shared" si="271"/>
        <v>579785.11199999996</v>
      </c>
      <c r="BB296" s="829">
        <f t="shared" si="271"/>
        <v>0.20974690360796985</v>
      </c>
      <c r="BC296" s="829">
        <f t="shared" si="271"/>
        <v>0.21144024514811033</v>
      </c>
      <c r="BD296" s="829">
        <f t="shared" si="271"/>
        <v>0.13854679802955666</v>
      </c>
      <c r="BE296" s="829">
        <f t="shared" si="271"/>
        <v>0.20664531549451645</v>
      </c>
      <c r="BF296" s="829">
        <f t="shared" si="271"/>
        <v>0.20636906481502859</v>
      </c>
      <c r="BG296" s="829">
        <f t="shared" si="271"/>
        <v>0.13646302321028611</v>
      </c>
    </row>
    <row r="297" spans="1:59" ht="15" customHeight="1">
      <c r="A297" s="535">
        <v>2007</v>
      </c>
      <c r="B297" s="449"/>
      <c r="C297" s="51"/>
      <c r="D297" s="51"/>
      <c r="E297" s="51"/>
      <c r="F297" s="51"/>
      <c r="G297" s="51"/>
      <c r="H297" s="51"/>
      <c r="I297" s="536" t="s">
        <v>328</v>
      </c>
      <c r="J297" s="524" t="s">
        <v>927</v>
      </c>
      <c r="K297" s="543">
        <f t="shared" si="263"/>
        <v>10.337908173920985</v>
      </c>
      <c r="L297" s="543">
        <f t="shared" si="263"/>
        <v>10.714798024001821</v>
      </c>
      <c r="M297" s="543">
        <f t="shared" si="263"/>
        <v>10.942519189442633</v>
      </c>
      <c r="N297" s="543">
        <f t="shared" si="263"/>
        <v>10.722289619124632</v>
      </c>
      <c r="O297" s="543">
        <f t="shared" si="263"/>
        <v>10.367024562571368</v>
      </c>
      <c r="P297" s="149">
        <f t="shared" si="223"/>
        <v>3.7180883307494646E-2</v>
      </c>
      <c r="Q297" s="149">
        <f t="shared" si="224"/>
        <v>3.2239975582228977E-2</v>
      </c>
      <c r="R297" s="149">
        <f t="shared" si="225"/>
        <v>7.4859983398372271E-2</v>
      </c>
      <c r="S297" s="149">
        <f t="shared" si="226"/>
        <v>2.8351643376693925E-2</v>
      </c>
      <c r="T297" s="149">
        <f t="shared" si="227"/>
        <v>3.4163945695136623E-2</v>
      </c>
      <c r="U297" s="51">
        <f t="shared" si="228"/>
        <v>0.32874314954431227</v>
      </c>
      <c r="V297" s="51">
        <f t="shared" si="229"/>
        <v>0.47095559787291258</v>
      </c>
      <c r="W297" s="51">
        <f t="shared" si="230"/>
        <v>0.6021033418799705</v>
      </c>
      <c r="X297" s="51">
        <f t="shared" si="231"/>
        <v>0.69185729021297249</v>
      </c>
      <c r="Y297" s="51">
        <f t="shared" si="232"/>
        <v>0.66770689551701368</v>
      </c>
      <c r="Z297" s="51">
        <f t="shared" si="233"/>
        <v>1.1288521512701728</v>
      </c>
      <c r="AA297" s="51">
        <f t="shared" si="234"/>
        <v>1.546265249340087</v>
      </c>
      <c r="AB297" s="51">
        <f t="shared" si="235"/>
        <v>1.366420407631133</v>
      </c>
      <c r="AC297" s="51">
        <f t="shared" si="236"/>
        <v>1.1487860480033285</v>
      </c>
      <c r="AD297" s="62">
        <f t="shared" si="237"/>
        <v>1.0185490807977755</v>
      </c>
      <c r="AF297" s="701">
        <f t="shared" si="238"/>
        <v>6.0318488922673087E-2</v>
      </c>
      <c r="AG297" s="61">
        <f t="shared" si="240"/>
        <v>7.1740646235840672E-3</v>
      </c>
      <c r="AK297" s="701">
        <f t="shared" si="241"/>
        <v>0.18636845944004393</v>
      </c>
      <c r="AL297" s="61">
        <f t="shared" si="242"/>
        <v>-4.1272747251827918E-2</v>
      </c>
      <c r="AM297" s="845">
        <f t="shared" si="243"/>
        <v>0.5754946268712644</v>
      </c>
      <c r="AN297" s="845">
        <f t="shared" si="244"/>
        <v>-2.9116388650383549E-2</v>
      </c>
      <c r="AO297" s="536">
        <f t="shared" si="245"/>
        <v>-6.5603553637043177E-2</v>
      </c>
      <c r="AP297" s="552">
        <f t="shared" si="246"/>
        <v>-0.3389637459727014</v>
      </c>
      <c r="AQ297" s="827">
        <f t="shared" ref="AQ297:BG297" si="272">AQ139</f>
        <v>18362.859206000001</v>
      </c>
      <c r="AR297" s="827">
        <f t="shared" si="272"/>
        <v>15402.30731</v>
      </c>
      <c r="AS297" s="827">
        <f t="shared" si="272"/>
        <v>16461.206160000002</v>
      </c>
      <c r="AT297" s="827">
        <f t="shared" si="272"/>
        <v>12165.720975999999</v>
      </c>
      <c r="AU297" s="827">
        <f t="shared" si="272"/>
        <v>10372.59606</v>
      </c>
      <c r="AV297" s="827"/>
      <c r="AW297" s="827">
        <f t="shared" si="272"/>
        <v>1318.495899</v>
      </c>
      <c r="AX297" s="827">
        <f t="shared" si="272"/>
        <v>4583.3219899999995</v>
      </c>
      <c r="AY297" s="827">
        <f t="shared" si="272"/>
        <v>9813.0794519999999</v>
      </c>
      <c r="AZ297" s="827">
        <f t="shared" si="272"/>
        <v>15194.403375999998</v>
      </c>
      <c r="BA297" s="827">
        <f t="shared" si="272"/>
        <v>12327.224328</v>
      </c>
      <c r="BB297" s="829">
        <f t="shared" si="272"/>
        <v>8.8113871792923543E-2</v>
      </c>
      <c r="BC297" s="829">
        <f t="shared" si="272"/>
        <v>8.4630284465866346E-2</v>
      </c>
      <c r="BD297" s="829">
        <f t="shared" si="272"/>
        <v>0.43124106848411564</v>
      </c>
      <c r="BE297" s="829">
        <f t="shared" si="272"/>
        <v>8.1433660987415071E-2</v>
      </c>
      <c r="BF297" s="829">
        <f t="shared" si="272"/>
        <v>8.6623234888339951E-2</v>
      </c>
      <c r="BG297" s="829">
        <f t="shared" si="272"/>
        <v>0.37729059615221738</v>
      </c>
    </row>
    <row r="298" spans="1:59" ht="15" customHeight="1">
      <c r="A298" s="535">
        <v>2007</v>
      </c>
      <c r="B298" s="449"/>
      <c r="C298" s="51"/>
      <c r="D298" s="51"/>
      <c r="E298" s="51"/>
      <c r="F298" s="51"/>
      <c r="G298" s="51"/>
      <c r="H298" s="51"/>
      <c r="I298" s="536" t="s">
        <v>328</v>
      </c>
      <c r="J298" s="524" t="s">
        <v>1066</v>
      </c>
      <c r="K298" s="543">
        <f t="shared" si="263"/>
        <v>7.8040976275222169</v>
      </c>
      <c r="L298" s="543">
        <f t="shared" si="263"/>
        <v>7.8081027904590634</v>
      </c>
      <c r="M298" s="543">
        <f t="shared" si="263"/>
        <v>8.2013531225548046</v>
      </c>
      <c r="N298" s="543">
        <f t="shared" si="263"/>
        <v>8.2770296136985984</v>
      </c>
      <c r="O298" s="543">
        <f t="shared" si="263"/>
        <v>8.4450229113087509</v>
      </c>
      <c r="P298" s="149">
        <f t="shared" si="223"/>
        <v>10.444128979922937</v>
      </c>
      <c r="Q298" s="149">
        <f t="shared" si="224"/>
        <v>7.1825324675324671</v>
      </c>
      <c r="R298" s="149">
        <f t="shared" si="225"/>
        <v>-13.495685191577495</v>
      </c>
      <c r="S298" s="149">
        <f t="shared" si="226"/>
        <v>1.1310590897223913</v>
      </c>
      <c r="T298" s="149">
        <f t="shared" si="227"/>
        <v>0.10198328802979967</v>
      </c>
      <c r="U298" s="51">
        <f t="shared" si="228"/>
        <v>0.4773799235499418</v>
      </c>
      <c r="V298" s="51">
        <f t="shared" si="229"/>
        <v>0.51392941866395492</v>
      </c>
      <c r="W298" s="51">
        <f t="shared" si="230"/>
        <v>0.60835354693249399</v>
      </c>
      <c r="X298" s="51">
        <f t="shared" si="231"/>
        <v>0.21615360277794485</v>
      </c>
      <c r="Y298" s="51">
        <f t="shared" si="232"/>
        <v>0.36645388622204067</v>
      </c>
      <c r="Z298" s="51">
        <f t="shared" si="233"/>
        <v>6.1463353830812691E-3</v>
      </c>
      <c r="AA298" s="51">
        <f t="shared" si="234"/>
        <v>6.0047320407822687E-3</v>
      </c>
      <c r="AB298" s="51">
        <f t="shared" si="235"/>
        <v>8.5621217206997818E-3</v>
      </c>
      <c r="AC298" s="51">
        <f t="shared" si="236"/>
        <v>1.5023232341720684E-2</v>
      </c>
      <c r="AD298" s="62">
        <f t="shared" si="237"/>
        <v>3.80438668164641E-2</v>
      </c>
      <c r="AF298" s="701">
        <f t="shared" si="238"/>
        <v>-0.17974481880929688</v>
      </c>
      <c r="AG298" s="61">
        <f t="shared" si="240"/>
        <v>6.0313280867454036E-2</v>
      </c>
      <c r="AK298" s="701">
        <f t="shared" si="241"/>
        <v>-0.2733532275070733</v>
      </c>
      <c r="AL298" s="61">
        <f t="shared" si="242"/>
        <v>0.11682263112358073</v>
      </c>
      <c r="AM298" s="845">
        <f t="shared" si="243"/>
        <v>-0.24366978875394538</v>
      </c>
      <c r="AN298" s="845">
        <f t="shared" si="244"/>
        <v>-0.64092528378653368</v>
      </c>
      <c r="AO298" s="536">
        <f t="shared" si="245"/>
        <v>0.24189966071045332</v>
      </c>
      <c r="AP298" s="552">
        <f t="shared" si="246"/>
        <v>0.11092603732790113</v>
      </c>
      <c r="AQ298" s="827">
        <f t="shared" ref="AQ298:BG298" si="273">AQ140</f>
        <v>208375.36356200001</v>
      </c>
      <c r="AR298" s="827">
        <f t="shared" si="273"/>
        <v>199169.12223000001</v>
      </c>
      <c r="AS298" s="827">
        <f t="shared" si="273"/>
        <v>166769.134028</v>
      </c>
      <c r="AT298" s="827">
        <f t="shared" si="273"/>
        <v>205180.22808799997</v>
      </c>
      <c r="AU298" s="827">
        <f t="shared" si="273"/>
        <v>77467.814459999994</v>
      </c>
      <c r="AV298" s="827"/>
      <c r="AW298" s="827">
        <f t="shared" si="273"/>
        <v>107406.64067200001</v>
      </c>
      <c r="AX298" s="827">
        <f t="shared" si="273"/>
        <v>112524.73284</v>
      </c>
      <c r="AY298" s="827">
        <f t="shared" si="273"/>
        <v>145579.735854</v>
      </c>
      <c r="AZ298" s="827">
        <f t="shared" si="273"/>
        <v>11865.932751999999</v>
      </c>
      <c r="BA298" s="827">
        <f t="shared" si="273"/>
        <v>17005.468872000001</v>
      </c>
      <c r="BB298" s="829">
        <f t="shared" si="273"/>
        <v>2.7897626085519669E-2</v>
      </c>
      <c r="BC298" s="829">
        <f t="shared" si="273"/>
        <v>0.37484498024399387</v>
      </c>
      <c r="BD298" s="829">
        <f t="shared" si="273"/>
        <v>-0.33798421466670125</v>
      </c>
      <c r="BE298" s="829">
        <f t="shared" si="273"/>
        <v>8.9799214104757344E-2</v>
      </c>
      <c r="BF298" s="829">
        <f t="shared" si="273"/>
        <v>0.15673299141307487</v>
      </c>
      <c r="BG298" s="829">
        <f t="shared" si="273"/>
        <v>-0.30923247677595445</v>
      </c>
    </row>
    <row r="299" spans="1:59" ht="15" customHeight="1">
      <c r="A299" s="535">
        <v>2007</v>
      </c>
      <c r="B299" s="449"/>
      <c r="C299" s="51"/>
      <c r="D299" s="51"/>
      <c r="E299" s="51"/>
      <c r="F299" s="51"/>
      <c r="G299" s="51"/>
      <c r="H299" s="51"/>
      <c r="I299" s="536" t="s">
        <v>328</v>
      </c>
      <c r="J299" s="524" t="s">
        <v>920</v>
      </c>
      <c r="K299" s="543">
        <f t="shared" ref="K299:O304" si="274">LN(K141)</f>
        <v>16.090087428796899</v>
      </c>
      <c r="L299" s="543">
        <f t="shared" si="274"/>
        <v>16.010905413491137</v>
      </c>
      <c r="M299" s="543">
        <f t="shared" si="274"/>
        <v>16.28277805644327</v>
      </c>
      <c r="N299" s="543">
        <f t="shared" si="274"/>
        <v>16.206876387907005</v>
      </c>
      <c r="O299" s="543">
        <f t="shared" si="274"/>
        <v>15.922596177251387</v>
      </c>
      <c r="P299" s="149">
        <f t="shared" si="223"/>
        <v>-1.5605567575855664E-2</v>
      </c>
      <c r="Q299" s="149">
        <f t="shared" si="224"/>
        <v>4.6080244717934121E-2</v>
      </c>
      <c r="R299" s="149">
        <f t="shared" si="225"/>
        <v>-4.3123560896018542E-2</v>
      </c>
      <c r="S299" s="149">
        <f t="shared" si="226"/>
        <v>0.13150766436500855</v>
      </c>
      <c r="T299" s="149">
        <f t="shared" si="227"/>
        <v>0.21327562970977354</v>
      </c>
      <c r="U299" s="51">
        <f t="shared" si="228"/>
        <v>0.46389691687323653</v>
      </c>
      <c r="V299" s="51">
        <f t="shared" si="229"/>
        <v>0.48329214456202607</v>
      </c>
      <c r="W299" s="51">
        <f t="shared" si="230"/>
        <v>0.52281607990393231</v>
      </c>
      <c r="X299" s="51">
        <f t="shared" si="231"/>
        <v>0.41699721495484848</v>
      </c>
      <c r="Y299" s="51">
        <f t="shared" si="232"/>
        <v>0.39570667738531884</v>
      </c>
      <c r="Z299" s="51">
        <f t="shared" si="233"/>
        <v>0.67050867593470487</v>
      </c>
      <c r="AA299" s="51">
        <f t="shared" si="234"/>
        <v>0.59383647001668682</v>
      </c>
      <c r="AB299" s="51">
        <f t="shared" si="235"/>
        <v>0.62500238263156893</v>
      </c>
      <c r="AC299" s="51">
        <f t="shared" si="236"/>
        <v>0.67375938897797283</v>
      </c>
      <c r="AD299" s="62">
        <f t="shared" si="237"/>
        <v>0.66174697281816808</v>
      </c>
      <c r="AF299" s="701">
        <f t="shared" si="238"/>
        <v>-1.6488659855072599E-2</v>
      </c>
      <c r="AG299" s="61">
        <f t="shared" si="240"/>
        <v>-0.15159817078882776</v>
      </c>
      <c r="AK299" s="701">
        <f t="shared" si="241"/>
        <v>-0.31675336478607841</v>
      </c>
      <c r="AL299" s="61">
        <f t="shared" si="242"/>
        <v>-0.2811277834436085</v>
      </c>
      <c r="AM299" s="845">
        <f t="shared" si="243"/>
        <v>0.3601818791918836</v>
      </c>
      <c r="AN299" s="845">
        <f t="shared" si="244"/>
        <v>0.16749125154551264</v>
      </c>
      <c r="AO299" s="536">
        <f t="shared" si="245"/>
        <v>0.12710940251861347</v>
      </c>
      <c r="AP299" s="552">
        <f t="shared" si="246"/>
        <v>6.8190239487917692E-2</v>
      </c>
      <c r="AQ299" s="827">
        <f t="shared" ref="AQ299:BG299" si="275">AQ141</f>
        <v>7774636.3909999998</v>
      </c>
      <c r="AR299" s="827">
        <f t="shared" si="275"/>
        <v>7816747.25</v>
      </c>
      <c r="AS299" s="827">
        <f t="shared" si="275"/>
        <v>9001705.2339999992</v>
      </c>
      <c r="AT299" s="827">
        <f t="shared" si="275"/>
        <v>9456333.568</v>
      </c>
      <c r="AU299" s="827">
        <f t="shared" si="275"/>
        <v>7510199.7719999999</v>
      </c>
      <c r="AV299" s="827"/>
      <c r="AW299" s="827">
        <f t="shared" si="275"/>
        <v>4290785.5609999998</v>
      </c>
      <c r="AX299" s="827">
        <f t="shared" si="275"/>
        <v>5333282.37</v>
      </c>
      <c r="AY299" s="827">
        <f t="shared" si="275"/>
        <v>6262126.1660000002</v>
      </c>
      <c r="AZ299" s="827">
        <f t="shared" si="275"/>
        <v>3804675.32</v>
      </c>
      <c r="BA299" s="827">
        <f t="shared" si="275"/>
        <v>2522236.9559999998</v>
      </c>
      <c r="BB299" s="829">
        <f t="shared" si="275"/>
        <v>0.69542613108869222</v>
      </c>
      <c r="BC299" s="829">
        <f t="shared" si="275"/>
        <v>0.37773780076456037</v>
      </c>
      <c r="BD299" s="829">
        <f t="shared" si="275"/>
        <v>-8.1192041572162726E-2</v>
      </c>
      <c r="BE299" s="829">
        <f t="shared" si="275"/>
        <v>0.2634220131969095</v>
      </c>
      <c r="BF299" s="829">
        <f t="shared" si="275"/>
        <v>0.18621530321294819</v>
      </c>
      <c r="BG299" s="829">
        <f t="shared" si="275"/>
        <v>-6.8736987370250469E-2</v>
      </c>
    </row>
    <row r="300" spans="1:59" ht="15" customHeight="1">
      <c r="A300" s="535">
        <v>2007</v>
      </c>
      <c r="B300" s="449"/>
      <c r="C300" s="51"/>
      <c r="D300" s="51"/>
      <c r="E300" s="51"/>
      <c r="F300" s="51"/>
      <c r="G300" s="51"/>
      <c r="H300" s="51"/>
      <c r="I300" s="536" t="s">
        <v>328</v>
      </c>
      <c r="J300" s="524" t="s">
        <v>919</v>
      </c>
      <c r="K300" s="543">
        <f t="shared" si="274"/>
        <v>11.719994684717305</v>
      </c>
      <c r="L300" s="543">
        <f t="shared" si="274"/>
        <v>11.469572673286889</v>
      </c>
      <c r="M300" s="543">
        <f t="shared" si="274"/>
        <v>11.956258215153987</v>
      </c>
      <c r="N300" s="543">
        <f t="shared" si="274"/>
        <v>11.9002083829229</v>
      </c>
      <c r="O300" s="543">
        <f t="shared" si="274"/>
        <v>10.925369249696553</v>
      </c>
      <c r="P300" s="149">
        <f t="shared" si="223"/>
        <v>-5.0686781922666166E-2</v>
      </c>
      <c r="Q300" s="149">
        <f t="shared" si="224"/>
        <v>-6.5287939333772707E-2</v>
      </c>
      <c r="R300" s="149">
        <f t="shared" si="225"/>
        <v>6.3656559245261245E-3</v>
      </c>
      <c r="S300" s="149">
        <f t="shared" si="226"/>
        <v>6.0418854492904461E-2</v>
      </c>
      <c r="T300" s="149">
        <f t="shared" si="227"/>
        <v>7.9407575549006765E-2</v>
      </c>
      <c r="U300" s="51">
        <f t="shared" si="228"/>
        <v>0.6726716186903412</v>
      </c>
      <c r="V300" s="51">
        <f t="shared" si="229"/>
        <v>0.58020113259767914</v>
      </c>
      <c r="W300" s="51">
        <f t="shared" si="230"/>
        <v>0.54216293754898626</v>
      </c>
      <c r="X300" s="51">
        <f t="shared" si="231"/>
        <v>0.50868241393158342</v>
      </c>
      <c r="Y300" s="51">
        <f t="shared" si="232"/>
        <v>0.43702434295397818</v>
      </c>
      <c r="Z300" s="51">
        <f t="shared" si="233"/>
        <v>1.0680620364669937</v>
      </c>
      <c r="AA300" s="51">
        <f t="shared" si="234"/>
        <v>0.98038237439845055</v>
      </c>
      <c r="AB300" s="51">
        <f t="shared" si="235"/>
        <v>1.281443634373937</v>
      </c>
      <c r="AC300" s="51">
        <f t="shared" si="236"/>
        <v>1.2570902851301524</v>
      </c>
      <c r="AD300" s="62">
        <f t="shared" si="237"/>
        <v>0.6792993290229995</v>
      </c>
      <c r="AF300" s="701">
        <f t="shared" si="238"/>
        <v>6.2293856785379971E-2</v>
      </c>
      <c r="AG300" s="61">
        <f t="shared" si="240"/>
        <v>-0.10807814031206467</v>
      </c>
      <c r="AK300" s="701">
        <f t="shared" si="241"/>
        <v>-0.15245169368605591</v>
      </c>
      <c r="AL300" s="61">
        <f t="shared" si="242"/>
        <v>-0.32841066806518837</v>
      </c>
      <c r="AM300" s="845">
        <f t="shared" si="243"/>
        <v>1.0308889654574338</v>
      </c>
      <c r="AN300" s="845">
        <f t="shared" si="244"/>
        <v>0.79462543502075034</v>
      </c>
      <c r="AO300" s="536">
        <f t="shared" si="245"/>
        <v>0.10513859459500807</v>
      </c>
      <c r="AP300" s="552">
        <f t="shared" si="246"/>
        <v>0.23564727573636302</v>
      </c>
      <c r="AQ300" s="827">
        <f t="shared" ref="AQ300:BG300" si="276">AQ142</f>
        <v>37697.982820999998</v>
      </c>
      <c r="AR300" s="827">
        <f t="shared" si="276"/>
        <v>41003.372799999997</v>
      </c>
      <c r="AS300" s="827">
        <f t="shared" si="276"/>
        <v>55660.846669999999</v>
      </c>
      <c r="AT300" s="827">
        <f t="shared" si="276"/>
        <v>57569.263503999995</v>
      </c>
      <c r="AU300" s="827">
        <f t="shared" si="276"/>
        <v>46053.264971999997</v>
      </c>
      <c r="AV300" s="827"/>
      <c r="AW300" s="827">
        <f t="shared" si="276"/>
        <v>22675.843341</v>
      </c>
      <c r="AX300" s="827">
        <f t="shared" si="276"/>
        <v>24957.991239999999</v>
      </c>
      <c r="AY300" s="827">
        <f t="shared" si="276"/>
        <v>23210.192814000002</v>
      </c>
      <c r="AZ300" s="827">
        <f t="shared" si="276"/>
        <v>19096.954759999997</v>
      </c>
      <c r="BA300" s="827">
        <f t="shared" si="276"/>
        <v>7330.9877879999995</v>
      </c>
      <c r="BB300" s="829">
        <f t="shared" si="276"/>
        <v>0.60190370733161558</v>
      </c>
      <c r="BC300" s="829">
        <f t="shared" si="276"/>
        <v>0.46601854755611311</v>
      </c>
      <c r="BD300" s="829">
        <f t="shared" si="276"/>
        <v>4.2726899511227816E-2</v>
      </c>
      <c r="BE300" s="829">
        <f t="shared" si="276"/>
        <v>0.17384543325822402</v>
      </c>
      <c r="BF300" s="829">
        <f t="shared" si="276"/>
        <v>0.17350308599183667</v>
      </c>
      <c r="BG300" s="829">
        <f t="shared" si="276"/>
        <v>3.1184639922050054E-2</v>
      </c>
    </row>
    <row r="301" spans="1:59" ht="15" customHeight="1">
      <c r="A301" s="535">
        <v>2005</v>
      </c>
      <c r="B301" s="449"/>
      <c r="C301" s="51"/>
      <c r="D301" s="51"/>
      <c r="E301" s="51"/>
      <c r="F301" s="51"/>
      <c r="G301" s="51"/>
      <c r="H301" s="51"/>
      <c r="I301" s="536" t="s">
        <v>343</v>
      </c>
      <c r="J301" s="524" t="s">
        <v>921</v>
      </c>
      <c r="K301" s="543">
        <f t="shared" si="274"/>
        <v>13.703573965051669</v>
      </c>
      <c r="L301" s="543">
        <f t="shared" si="274"/>
        <v>13.712992743369327</v>
      </c>
      <c r="M301" s="543">
        <f t="shared" si="274"/>
        <v>13.500713677190323</v>
      </c>
      <c r="N301" s="543">
        <f t="shared" si="274"/>
        <v>13.203205977144735</v>
      </c>
      <c r="O301" s="543">
        <f t="shared" si="274"/>
        <v>13.035302237255079</v>
      </c>
      <c r="P301" s="149">
        <f t="shared" si="223"/>
        <v>1.5786605645527776E-2</v>
      </c>
      <c r="Q301" s="149">
        <f t="shared" si="224"/>
        <v>1.3048170071166322E-2</v>
      </c>
      <c r="R301" s="149">
        <f t="shared" si="225"/>
        <v>1.4435031770714483E-2</v>
      </c>
      <c r="S301" s="149">
        <f t="shared" si="226"/>
        <v>1.5203270058320553E-2</v>
      </c>
      <c r="T301" s="149">
        <f t="shared" si="227"/>
        <v>1.5582391012626736E-2</v>
      </c>
      <c r="U301" s="51">
        <f t="shared" si="228"/>
        <v>0.84901366355110486</v>
      </c>
      <c r="V301" s="51">
        <f t="shared" si="229"/>
        <v>0.83923568185314112</v>
      </c>
      <c r="W301" s="51">
        <f t="shared" si="230"/>
        <v>0.82790804080224512</v>
      </c>
      <c r="X301" s="51">
        <f t="shared" si="231"/>
        <v>0.83088981366211745</v>
      </c>
      <c r="Y301" s="51">
        <f t="shared" si="232"/>
        <v>0.77521545779033507</v>
      </c>
      <c r="Z301" s="51">
        <f t="shared" si="233"/>
        <v>6.0816927003398469</v>
      </c>
      <c r="AA301" s="51">
        <f t="shared" si="234"/>
        <v>6.0100450637786347</v>
      </c>
      <c r="AB301" s="51">
        <f t="shared" si="235"/>
        <v>5.7203482724619104</v>
      </c>
      <c r="AC301" s="51">
        <f t="shared" si="236"/>
        <v>5.3517778006327408</v>
      </c>
      <c r="AD301" s="62">
        <f t="shared" si="237"/>
        <v>6.4426330572018484</v>
      </c>
      <c r="AF301" s="701">
        <f t="shared" si="238"/>
        <v>-1.3435875265010708E-2</v>
      </c>
      <c r="AG301" s="61">
        <f t="shared" si="240"/>
        <v>-4.3823431306439092E-3</v>
      </c>
      <c r="AK301" s="701">
        <f t="shared" si="241"/>
        <v>9.0864302136409669E-2</v>
      </c>
      <c r="AL301" s="61">
        <f t="shared" si="242"/>
        <v>0.1609401493755323</v>
      </c>
      <c r="AM301" s="845">
        <f t="shared" si="243"/>
        <v>0.46541143993524436</v>
      </c>
      <c r="AN301" s="845">
        <f t="shared" si="244"/>
        <v>0.66827172779659072</v>
      </c>
      <c r="AO301" s="536">
        <f t="shared" si="245"/>
        <v>5.2692583011910044E-2</v>
      </c>
      <c r="AP301" s="552">
        <f t="shared" si="246"/>
        <v>7.3798205760769786E-2</v>
      </c>
      <c r="AQ301" s="827">
        <f t="shared" ref="AQ301:BG301" si="277">AQ143</f>
        <v>22197.278490000001</v>
      </c>
      <c r="AR301" s="827">
        <f t="shared" si="277"/>
        <v>24142.876527999997</v>
      </c>
      <c r="AS301" s="827">
        <f t="shared" si="277"/>
        <v>21959.556251999998</v>
      </c>
      <c r="AT301" s="827">
        <f t="shared" si="277"/>
        <v>17129.756663</v>
      </c>
      <c r="AU301" s="827">
        <f t="shared" si="277"/>
        <v>15990.382043999998</v>
      </c>
      <c r="AV301" s="827"/>
      <c r="AW301" s="827">
        <f t="shared" si="277"/>
        <v>424195.89791400003</v>
      </c>
      <c r="AX301" s="827">
        <f t="shared" si="277"/>
        <v>407287.62688</v>
      </c>
      <c r="AY301" s="827">
        <f t="shared" si="277"/>
        <v>318154.036104</v>
      </c>
      <c r="AZ301" s="827">
        <f t="shared" si="277"/>
        <v>95932.514796999996</v>
      </c>
      <c r="BA301" s="827">
        <f t="shared" si="277"/>
        <v>61386.256349999996</v>
      </c>
      <c r="BB301" s="829">
        <f t="shared" si="277"/>
        <v>0.11633831809650663</v>
      </c>
      <c r="BC301" s="829">
        <f t="shared" si="277"/>
        <v>8.5911376997048483E-2</v>
      </c>
      <c r="BD301" s="829">
        <f t="shared" si="277"/>
        <v>3.3118126354856975E-2</v>
      </c>
      <c r="BE301" s="829">
        <f t="shared" si="277"/>
        <v>0.2271214028152741</v>
      </c>
      <c r="BF301" s="829">
        <f t="shared" si="277"/>
        <v>0.15778067291968817</v>
      </c>
      <c r="BG301" s="829">
        <f t="shared" si="277"/>
        <v>0.12019478221596357</v>
      </c>
    </row>
    <row r="302" spans="1:59" ht="15" customHeight="1">
      <c r="A302" s="535">
        <v>2005</v>
      </c>
      <c r="B302" s="449"/>
      <c r="C302" s="51"/>
      <c r="D302" s="51"/>
      <c r="E302" s="51"/>
      <c r="F302" s="51"/>
      <c r="G302" s="51"/>
      <c r="H302" s="51"/>
      <c r="I302" s="536" t="s">
        <v>343</v>
      </c>
      <c r="J302" s="524" t="s">
        <v>927</v>
      </c>
      <c r="K302" s="543">
        <f t="shared" si="274"/>
        <v>10.942519189442633</v>
      </c>
      <c r="L302" s="543">
        <f t="shared" si="274"/>
        <v>10.722289619124632</v>
      </c>
      <c r="M302" s="543">
        <f t="shared" si="274"/>
        <v>10.367024562571368</v>
      </c>
      <c r="N302" s="543">
        <f t="shared" si="274"/>
        <v>10.302965584887291</v>
      </c>
      <c r="O302" s="543">
        <f t="shared" si="274"/>
        <v>10.15570070194619</v>
      </c>
      <c r="P302" s="149">
        <f t="shared" si="223"/>
        <v>7.4859983398372271E-2</v>
      </c>
      <c r="Q302" s="149">
        <f t="shared" si="224"/>
        <v>2.8351643376693925E-2</v>
      </c>
      <c r="R302" s="149">
        <f t="shared" si="225"/>
        <v>3.4163945695136623E-2</v>
      </c>
      <c r="S302" s="149">
        <f t="shared" si="226"/>
        <v>3.544538761549211E-2</v>
      </c>
      <c r="T302" s="149">
        <f t="shared" si="227"/>
        <v>1.0639588279124573E-2</v>
      </c>
      <c r="U302" s="51">
        <f t="shared" si="228"/>
        <v>0.6021033418799705</v>
      </c>
      <c r="V302" s="51">
        <f t="shared" si="229"/>
        <v>0.69185729021297249</v>
      </c>
      <c r="W302" s="51">
        <f t="shared" si="230"/>
        <v>0.66770689551701368</v>
      </c>
      <c r="X302" s="51">
        <f t="shared" si="231"/>
        <v>0.6862712899435004</v>
      </c>
      <c r="Y302" s="51">
        <f t="shared" si="232"/>
        <v>0.76186214066122226</v>
      </c>
      <c r="Z302" s="51">
        <f t="shared" si="233"/>
        <v>1.366420407631133</v>
      </c>
      <c r="AA302" s="51">
        <f t="shared" si="234"/>
        <v>1.1487860480033285</v>
      </c>
      <c r="AB302" s="51">
        <f t="shared" si="235"/>
        <v>1.0185490807977755</v>
      </c>
      <c r="AC302" s="51">
        <f t="shared" si="236"/>
        <v>0.9841893785055601</v>
      </c>
      <c r="AD302" s="62">
        <f t="shared" si="237"/>
        <v>0.96246365612439477</v>
      </c>
      <c r="AF302" s="701">
        <f t="shared" si="238"/>
        <v>-6.7492553546257161E-2</v>
      </c>
      <c r="AG302" s="61">
        <f t="shared" si="240"/>
        <v>9.204999199567919E-2</v>
      </c>
      <c r="AK302" s="701">
        <f t="shared" si="241"/>
        <v>6.4281411213036765E-2</v>
      </c>
      <c r="AL302" s="61">
        <f t="shared" si="242"/>
        <v>0.2506498706530807</v>
      </c>
      <c r="AM302" s="845">
        <f t="shared" si="243"/>
        <v>0.21132386062517863</v>
      </c>
      <c r="AN302" s="845">
        <f t="shared" si="244"/>
        <v>0.78681848749644312</v>
      </c>
      <c r="AO302" s="536">
        <f t="shared" si="245"/>
        <v>-9.4155245144208588E-2</v>
      </c>
      <c r="AP302" s="552">
        <f t="shared" si="246"/>
        <v>-0.15975879878125177</v>
      </c>
      <c r="AQ302" s="827">
        <f t="shared" ref="AQ302:BG302" si="278">AQ144</f>
        <v>16461.206160000002</v>
      </c>
      <c r="AR302" s="827">
        <f t="shared" si="278"/>
        <v>12165.720975999999</v>
      </c>
      <c r="AS302" s="827">
        <f t="shared" si="278"/>
        <v>10372.59606</v>
      </c>
      <c r="AT302" s="827">
        <f t="shared" si="278"/>
        <v>9505.975504</v>
      </c>
      <c r="AU302" s="827">
        <f t="shared" si="278"/>
        <v>6368.3827559999991</v>
      </c>
      <c r="AV302" s="827"/>
      <c r="AW302" s="827">
        <f t="shared" si="278"/>
        <v>9813.0794519999999</v>
      </c>
      <c r="AX302" s="827">
        <f t="shared" si="278"/>
        <v>15194.403375999998</v>
      </c>
      <c r="AY302" s="827">
        <f t="shared" si="278"/>
        <v>12327.224328</v>
      </c>
      <c r="AZ302" s="827">
        <f t="shared" si="278"/>
        <v>13477.320052999999</v>
      </c>
      <c r="BA302" s="827">
        <f t="shared" si="278"/>
        <v>16187.507855999998</v>
      </c>
      <c r="BB302" s="829">
        <f t="shared" si="278"/>
        <v>1.6916464624201013E-2</v>
      </c>
      <c r="BC302" s="829">
        <f t="shared" si="278"/>
        <v>7.8429110375301411E-2</v>
      </c>
      <c r="BD302" s="829">
        <f t="shared" si="278"/>
        <v>8.8113871792923543E-2</v>
      </c>
      <c r="BE302" s="829">
        <f t="shared" si="278"/>
        <v>8.3296288424618475E-2</v>
      </c>
      <c r="BF302" s="829">
        <f t="shared" si="278"/>
        <v>8.9622756620027055E-2</v>
      </c>
      <c r="BG302" s="829">
        <f t="shared" si="278"/>
        <v>9.5148448122387624E-2</v>
      </c>
    </row>
    <row r="303" spans="1:59" ht="15" customHeight="1">
      <c r="A303" s="535">
        <v>2007</v>
      </c>
      <c r="B303" s="449"/>
      <c r="C303" s="51"/>
      <c r="D303" s="51"/>
      <c r="E303" s="51"/>
      <c r="F303" s="51"/>
      <c r="G303" s="51"/>
      <c r="H303" s="51"/>
      <c r="I303" s="536" t="s">
        <v>335</v>
      </c>
      <c r="J303" s="524" t="s">
        <v>888</v>
      </c>
      <c r="K303" s="543">
        <f t="shared" si="274"/>
        <v>12.991280991903176</v>
      </c>
      <c r="L303" s="543">
        <f t="shared" si="274"/>
        <v>12.776810229879308</v>
      </c>
      <c r="M303" s="543">
        <f t="shared" si="274"/>
        <v>12.916472373346215</v>
      </c>
      <c r="N303" s="543">
        <f t="shared" si="274"/>
        <v>13.478753364711576</v>
      </c>
      <c r="O303" s="543">
        <f t="shared" si="274"/>
        <v>12.967944528855053</v>
      </c>
      <c r="P303" s="149">
        <f t="shared" si="223"/>
        <v>0.50012295030881115</v>
      </c>
      <c r="Q303" s="149">
        <f t="shared" si="224"/>
        <v>0.25051452520801082</v>
      </c>
      <c r="R303" s="149">
        <f t="shared" si="225"/>
        <v>-5.5473949509296093E-2</v>
      </c>
      <c r="S303" s="149">
        <f t="shared" si="226"/>
        <v>0.45212914066135562</v>
      </c>
      <c r="T303" s="149">
        <f t="shared" si="227"/>
        <v>0.4464169122383605</v>
      </c>
      <c r="U303" s="51">
        <f t="shared" si="228"/>
        <v>0.66780500285300848</v>
      </c>
      <c r="V303" s="51">
        <f t="shared" si="229"/>
        <v>0.68199832987202424</v>
      </c>
      <c r="W303" s="51">
        <f t="shared" si="230"/>
        <v>0.38626417921021527</v>
      </c>
      <c r="X303" s="51">
        <f t="shared" si="231"/>
        <v>0.35605275848155793</v>
      </c>
      <c r="Y303" s="51">
        <f t="shared" si="232"/>
        <v>0.4132810099853314</v>
      </c>
      <c r="Z303" s="51">
        <f t="shared" si="233"/>
        <v>9.1088834951322695E-2</v>
      </c>
      <c r="AA303" s="51">
        <f t="shared" si="234"/>
        <v>8.4670259425602731E-2</v>
      </c>
      <c r="AB303" s="51">
        <f t="shared" si="235"/>
        <v>8.8941733701828132E-2</v>
      </c>
      <c r="AC303" s="51">
        <f t="shared" si="236"/>
        <v>0.16801094933268446</v>
      </c>
      <c r="AD303" s="62">
        <f t="shared" si="237"/>
        <v>0.14138121523055111</v>
      </c>
      <c r="AF303" s="701">
        <f t="shared" si="238"/>
        <v>-5.0489566120692331E-2</v>
      </c>
      <c r="AG303" s="61">
        <f t="shared" si="240"/>
        <v>-1.7559348675681825E-2</v>
      </c>
      <c r="AK303" s="701">
        <f t="shared" si="241"/>
        <v>-0.21088741065040631</v>
      </c>
      <c r="AL303" s="61">
        <f t="shared" si="242"/>
        <v>-4.6196936050293153E-2</v>
      </c>
      <c r="AM303" s="845">
        <f t="shared" si="243"/>
        <v>-5.1472155508836874E-2</v>
      </c>
      <c r="AN303" s="845">
        <f t="shared" si="244"/>
        <v>2.3336463048123809E-2</v>
      </c>
      <c r="AO303" s="536">
        <f t="shared" si="245"/>
        <v>-2.701683077511613E-2</v>
      </c>
      <c r="AP303" s="552">
        <f t="shared" si="246"/>
        <v>0.25452399286767707</v>
      </c>
      <c r="AQ303" s="827">
        <f t="shared" ref="AQ303:BG303" si="279">AQ145</f>
        <v>1599446.3526960001</v>
      </c>
      <c r="AR303" s="827">
        <f t="shared" si="279"/>
        <v>1329219.45637</v>
      </c>
      <c r="AS303" s="827">
        <f t="shared" si="279"/>
        <v>1475690.1400820001</v>
      </c>
      <c r="AT303" s="827">
        <f t="shared" si="279"/>
        <v>1554217.1404799998</v>
      </c>
      <c r="AU303" s="827">
        <f t="shared" si="279"/>
        <v>1078153.1893559999</v>
      </c>
      <c r="AV303" s="827"/>
      <c r="AW303" s="827">
        <f t="shared" si="279"/>
        <v>2991792.4345470001</v>
      </c>
      <c r="AX303" s="827">
        <f t="shared" si="279"/>
        <v>2630762.4349500001</v>
      </c>
      <c r="AY303" s="827">
        <f t="shared" si="279"/>
        <v>2849812.15711</v>
      </c>
      <c r="AZ303" s="827">
        <f t="shared" si="279"/>
        <v>2533079.0787839997</v>
      </c>
      <c r="BA303" s="827">
        <f t="shared" si="279"/>
        <v>1835068.1168519999</v>
      </c>
      <c r="BB303" s="829">
        <f t="shared" si="279"/>
        <v>0.1042305909451023</v>
      </c>
      <c r="BC303" s="829">
        <f t="shared" si="279"/>
        <v>0.12745649175823881</v>
      </c>
      <c r="BD303" s="829">
        <f t="shared" si="279"/>
        <v>-7.9218302033261332E-3</v>
      </c>
      <c r="BE303" s="829">
        <f t="shared" si="279"/>
        <v>0.12530601519697043</v>
      </c>
      <c r="BF303" s="829">
        <f t="shared" si="279"/>
        <v>9.4908918344853099E-2</v>
      </c>
      <c r="BG303" s="829">
        <f t="shared" si="279"/>
        <v>-1.1097968417378153E-2</v>
      </c>
    </row>
    <row r="304" spans="1:59" ht="15" customHeight="1">
      <c r="A304" s="535">
        <v>2003</v>
      </c>
      <c r="B304" s="449"/>
      <c r="C304" s="51"/>
      <c r="D304" s="51"/>
      <c r="E304" s="51"/>
      <c r="F304" s="51"/>
      <c r="G304" s="51"/>
      <c r="H304" s="51"/>
      <c r="I304" s="536" t="s">
        <v>344</v>
      </c>
      <c r="J304" s="524" t="s">
        <v>861</v>
      </c>
      <c r="K304" s="543">
        <f t="shared" si="274"/>
        <v>16.470008656966211</v>
      </c>
      <c r="L304" s="543">
        <f t="shared" si="274"/>
        <v>16.187378242085817</v>
      </c>
      <c r="M304" s="543">
        <f t="shared" si="274"/>
        <v>16.025243020544224</v>
      </c>
      <c r="N304" s="543">
        <f t="shared" si="274"/>
        <v>15.830342031547117</v>
      </c>
      <c r="O304" s="543">
        <f t="shared" si="274"/>
        <v>15.628690462125197</v>
      </c>
      <c r="P304" s="149">
        <f t="shared" si="223"/>
        <v>0.17479714966456952</v>
      </c>
      <c r="Q304" s="149">
        <f t="shared" si="224"/>
        <v>0.11092895382070886</v>
      </c>
      <c r="R304" s="149">
        <f t="shared" si="225"/>
        <v>0.10769632312159474</v>
      </c>
      <c r="S304" s="149">
        <f t="shared" si="226"/>
        <v>9.506598143860244E-2</v>
      </c>
      <c r="T304" s="149">
        <f t="shared" si="227"/>
        <v>-9.5359030024986691E-2</v>
      </c>
      <c r="U304" s="51">
        <f t="shared" si="228"/>
        <v>0.57723621070793119</v>
      </c>
      <c r="V304" s="51">
        <f t="shared" si="229"/>
        <v>0.56965312110615385</v>
      </c>
      <c r="W304" s="51">
        <f t="shared" si="230"/>
        <v>0.52700524439802943</v>
      </c>
      <c r="X304" s="51">
        <f t="shared" si="231"/>
        <v>0.52522355127162934</v>
      </c>
      <c r="Y304" s="51">
        <f t="shared" si="232"/>
        <v>0.58317869838359893</v>
      </c>
      <c r="Z304" s="51">
        <f t="shared" si="233"/>
        <v>0.61382568609478627</v>
      </c>
      <c r="AA304" s="51">
        <f t="shared" si="234"/>
        <v>0.55409783351420883</v>
      </c>
      <c r="AB304" s="51">
        <f t="shared" si="235"/>
        <v>0.69587032033963725</v>
      </c>
      <c r="AC304" s="51">
        <f t="shared" si="236"/>
        <v>0.61689699221925443</v>
      </c>
      <c r="AD304" s="62">
        <f t="shared" si="237"/>
        <v>0.54579802812493006</v>
      </c>
      <c r="AF304" s="701">
        <f t="shared" si="238"/>
        <v>-3.2352305450242216E-2</v>
      </c>
      <c r="AG304" s="61">
        <f t="shared" si="240"/>
        <v>0.15934175087181116</v>
      </c>
      <c r="AK304" s="701">
        <f t="shared" si="241"/>
        <v>0.28375055742070948</v>
      </c>
      <c r="AL304" s="61">
        <f t="shared" si="242"/>
        <v>0.39407808555250257</v>
      </c>
      <c r="AM304" s="845">
        <f t="shared" si="243"/>
        <v>0.39655255841902565</v>
      </c>
      <c r="AN304" s="845">
        <f t="shared" si="244"/>
        <v>0.84131819484101411</v>
      </c>
      <c r="AO304" s="536">
        <f t="shared" si="245"/>
        <v>-5.6173453985569499E-2</v>
      </c>
      <c r="AP304" s="552">
        <f t="shared" si="246"/>
        <v>-5.9424876756677403E-3</v>
      </c>
      <c r="AQ304" s="827">
        <f t="shared" ref="AQ304:BG304" si="280">AQ146</f>
        <v>9792342.6239999998</v>
      </c>
      <c r="AR304" s="827">
        <f t="shared" si="280"/>
        <v>8323792.6369999992</v>
      </c>
      <c r="AS304" s="827">
        <f t="shared" si="280"/>
        <v>6194448.2159999991</v>
      </c>
      <c r="AT304" s="827">
        <f t="shared" si="280"/>
        <v>5771739.2910000002</v>
      </c>
      <c r="AU304" s="827">
        <f t="shared" si="280"/>
        <v>4681359.2479999997</v>
      </c>
      <c r="AV304" s="827"/>
      <c r="AW304" s="827">
        <f t="shared" si="280"/>
        <v>7470548.3399999999</v>
      </c>
      <c r="AX304" s="827">
        <f t="shared" si="280"/>
        <v>5248686.6839999994</v>
      </c>
      <c r="AY304" s="827">
        <f t="shared" si="280"/>
        <v>3611594.6279999996</v>
      </c>
      <c r="AZ304" s="827">
        <f t="shared" si="280"/>
        <v>3921191.1749999998</v>
      </c>
      <c r="BA304" s="827">
        <f t="shared" si="280"/>
        <v>3823377.8839999996</v>
      </c>
      <c r="BB304" s="829">
        <f t="shared" si="280"/>
        <v>-0.15288632035200631</v>
      </c>
      <c r="BC304" s="829">
        <f t="shared" si="280"/>
        <v>0.18181818181818182</v>
      </c>
      <c r="BD304" s="829">
        <f t="shared" si="280"/>
        <v>0.27175434263604187</v>
      </c>
      <c r="BE304" s="829">
        <f t="shared" si="280"/>
        <v>2.5202172679405388E-2</v>
      </c>
      <c r="BF304" s="829">
        <f t="shared" si="280"/>
        <v>0.17325212563560879</v>
      </c>
      <c r="BG304" s="829">
        <f t="shared" si="280"/>
        <v>0.22080600960579297</v>
      </c>
    </row>
    <row r="305" spans="1:59" ht="15" customHeight="1">
      <c r="A305" s="535">
        <v>2003</v>
      </c>
      <c r="B305" s="449"/>
      <c r="C305" s="51"/>
      <c r="D305" s="51"/>
      <c r="E305" s="51"/>
      <c r="F305" s="51"/>
      <c r="G305" s="51"/>
      <c r="H305" s="51"/>
      <c r="I305" s="536" t="s">
        <v>344</v>
      </c>
      <c r="J305" s="524" t="s">
        <v>542</v>
      </c>
      <c r="K305" s="543">
        <f t="shared" ref="K305:O307" si="281">LN(K147)</f>
        <v>12.485135586149022</v>
      </c>
      <c r="L305" s="543">
        <f t="shared" si="281"/>
        <v>12.409436607138757</v>
      </c>
      <c r="M305" s="543">
        <f t="shared" si="281"/>
        <v>12.467929716450607</v>
      </c>
      <c r="N305" s="543">
        <f t="shared" si="281"/>
        <v>12.457357019311114</v>
      </c>
      <c r="O305" s="543">
        <f t="shared" si="281"/>
        <v>12.425683128237303</v>
      </c>
      <c r="P305" s="149">
        <f t="shared" ref="P305:T307" si="282">P147/K147</f>
        <v>2.4608531500821644E-2</v>
      </c>
      <c r="Q305" s="149">
        <f t="shared" si="282"/>
        <v>-3.7389752597946767E-2</v>
      </c>
      <c r="R305" s="149">
        <f t="shared" si="282"/>
        <v>-5.1316125939405523E-2</v>
      </c>
      <c r="S305" s="149">
        <f t="shared" si="282"/>
        <v>0</v>
      </c>
      <c r="T305" s="149">
        <f t="shared" si="282"/>
        <v>-3.2379015249367656E-2</v>
      </c>
      <c r="U305" s="51">
        <f t="shared" ref="U305:Y307" si="283">U147/Z147</f>
        <v>0.80606456194583986</v>
      </c>
      <c r="V305" s="51">
        <f t="shared" si="283"/>
        <v>0.76840969590343933</v>
      </c>
      <c r="W305" s="51">
        <f t="shared" si="283"/>
        <v>0.6951190909336934</v>
      </c>
      <c r="X305" s="51">
        <f t="shared" si="283"/>
        <v>0.65782953183232662</v>
      </c>
      <c r="Y305" s="51">
        <f t="shared" si="283"/>
        <v>0.72128752405919205</v>
      </c>
      <c r="Z305" s="51">
        <f t="shared" ref="Z305:AD307" si="284">K147/Z147</f>
        <v>1.7686746107171578</v>
      </c>
      <c r="AA305" s="51">
        <f t="shared" si="284"/>
        <v>2.415763122525949</v>
      </c>
      <c r="AB305" s="51">
        <f t="shared" si="284"/>
        <v>2.6281599465962633</v>
      </c>
      <c r="AC305" s="51">
        <f t="shared" si="284"/>
        <v>2.4782897395530723</v>
      </c>
      <c r="AD305" s="62">
        <f t="shared" si="284"/>
        <v>2.4341695116520707</v>
      </c>
      <c r="AF305" s="701">
        <f t="shared" ref="AF305:AF307" si="285">AG147-AE147</f>
        <v>-0.17839147168097177</v>
      </c>
      <c r="AG305" s="61">
        <f t="shared" si="240"/>
        <v>0.12234049660986485</v>
      </c>
      <c r="AK305" s="701">
        <f t="shared" si="241"/>
        <v>-0.1403495469473735</v>
      </c>
      <c r="AL305" s="61">
        <f t="shared" si="242"/>
        <v>0.51383153403543058</v>
      </c>
      <c r="AM305" s="845">
        <f t="shared" si="243"/>
        <v>4.2246588213303585E-2</v>
      </c>
      <c r="AN305" s="845">
        <f t="shared" si="244"/>
        <v>5.9452457911719533E-2</v>
      </c>
      <c r="AO305" s="536">
        <f t="shared" si="245"/>
        <v>-2.6168433125498658E-2</v>
      </c>
      <c r="AP305" s="552">
        <f t="shared" si="246"/>
        <v>8.477703788664781E-2</v>
      </c>
      <c r="AQ305" s="827">
        <f t="shared" ref="AQ305:BG307" si="286">AQ147</f>
        <v>28989.099492000001</v>
      </c>
      <c r="AR305" s="827">
        <f t="shared" si="286"/>
        <v>23497.186701999999</v>
      </c>
      <c r="AS305" s="827">
        <f t="shared" si="286"/>
        <v>30146.126345999997</v>
      </c>
      <c r="AT305" s="827">
        <f t="shared" si="286"/>
        <v>35501.921367000003</v>
      </c>
      <c r="AU305" s="827">
        <f t="shared" si="286"/>
        <v>28524.051199999998</v>
      </c>
      <c r="AV305" s="827"/>
      <c r="AW305" s="827">
        <f t="shared" si="286"/>
        <v>9550.3752239999994</v>
      </c>
      <c r="AX305" s="827">
        <f t="shared" si="286"/>
        <v>10990.895454</v>
      </c>
      <c r="AY305" s="827">
        <f t="shared" si="286"/>
        <v>11558.321838</v>
      </c>
      <c r="AZ305" s="827">
        <f t="shared" si="286"/>
        <v>12932.660261999999</v>
      </c>
      <c r="BA305" s="827">
        <f t="shared" si="286"/>
        <v>14277.844395999999</v>
      </c>
      <c r="BB305" s="829">
        <f t="shared" si="286"/>
        <v>-0.56494557093364761</v>
      </c>
      <c r="BC305" s="829">
        <f t="shared" si="286"/>
        <v>0</v>
      </c>
      <c r="BD305" s="829">
        <f t="shared" si="286"/>
        <v>-1.1537511736485357</v>
      </c>
      <c r="BE305" s="829">
        <f t="shared" si="286"/>
        <v>-0.3383923761108617</v>
      </c>
      <c r="BF305" s="829">
        <f t="shared" si="286"/>
        <v>-0.11691207291336267</v>
      </c>
      <c r="BG305" s="829">
        <f t="shared" si="286"/>
        <v>-0.92585853807446428</v>
      </c>
    </row>
    <row r="306" spans="1:59" ht="15" customHeight="1">
      <c r="A306" s="683">
        <v>2018</v>
      </c>
      <c r="B306" s="449"/>
      <c r="C306" s="51"/>
      <c r="D306" s="51"/>
      <c r="E306" s="51"/>
      <c r="F306" s="51"/>
      <c r="G306" s="51"/>
      <c r="H306" s="51"/>
      <c r="I306" s="536" t="s">
        <v>341</v>
      </c>
      <c r="J306" s="524" t="s">
        <v>1000</v>
      </c>
      <c r="K306" s="543">
        <f t="shared" si="281"/>
        <v>11.181301741157258</v>
      </c>
      <c r="L306" s="543">
        <f t="shared" si="281"/>
        <v>11.186425355126</v>
      </c>
      <c r="M306" s="543">
        <f t="shared" si="281"/>
        <v>11.063783339563413</v>
      </c>
      <c r="N306" s="543">
        <f t="shared" si="281"/>
        <v>11.020952460926933</v>
      </c>
      <c r="O306" s="543">
        <f t="shared" si="281"/>
        <v>10.96576979414224</v>
      </c>
      <c r="P306" s="149">
        <f t="shared" si="282"/>
        <v>6.9737245325102462E-2</v>
      </c>
      <c r="Q306" s="149">
        <f t="shared" si="282"/>
        <v>7.9027676667880006E-2</v>
      </c>
      <c r="R306" s="149">
        <f t="shared" si="282"/>
        <v>7.4259616860425731E-2</v>
      </c>
      <c r="S306" s="149">
        <f t="shared" si="282"/>
        <v>5.9619101751665168E-2</v>
      </c>
      <c r="T306" s="149">
        <f t="shared" si="282"/>
        <v>6.2386190200515737E-2</v>
      </c>
      <c r="U306" s="51">
        <f t="shared" si="283"/>
        <v>0.82121005196015295</v>
      </c>
      <c r="V306" s="51">
        <f t="shared" si="283"/>
        <v>0.84698433350562274</v>
      </c>
      <c r="W306" s="51">
        <f t="shared" si="283"/>
        <v>0.80777346195140676</v>
      </c>
      <c r="X306" s="51">
        <f t="shared" si="283"/>
        <v>0.75653775889320007</v>
      </c>
      <c r="Y306" s="51">
        <f t="shared" si="283"/>
        <v>0.76312034841021437</v>
      </c>
      <c r="Z306" s="51">
        <f t="shared" si="284"/>
        <v>2.862836960896487</v>
      </c>
      <c r="AA306" s="51">
        <f t="shared" si="284"/>
        <v>2.7420464469673957</v>
      </c>
      <c r="AB306" s="51">
        <f t="shared" si="284"/>
        <v>2.3227445892111702</v>
      </c>
      <c r="AC306" s="51">
        <f t="shared" si="284"/>
        <v>2.7265790175913946</v>
      </c>
      <c r="AD306" s="62">
        <f t="shared" si="284"/>
        <v>2.222120867657444</v>
      </c>
      <c r="AF306" s="701">
        <f t="shared" si="285"/>
        <v>-2.7160240208360636E-2</v>
      </c>
      <c r="AG306" s="61">
        <f t="shared" si="240"/>
        <v>6.1016708369596717E-2</v>
      </c>
      <c r="AK306" s="701">
        <f t="shared" si="241"/>
        <v>0.30344864686441564</v>
      </c>
      <c r="AL306" s="61">
        <f t="shared" si="242"/>
        <v>0.5975989944195349</v>
      </c>
      <c r="AM306" s="845">
        <f t="shared" si="243"/>
        <v>9.8013545421174006E-2</v>
      </c>
      <c r="AN306" s="845">
        <f t="shared" si="244"/>
        <v>0.2155319470150191</v>
      </c>
      <c r="AO306" s="536">
        <f t="shared" si="245"/>
        <v>4.4653113541192391E-2</v>
      </c>
      <c r="AP306" s="552">
        <f t="shared" si="246"/>
        <v>5.8089703549938587E-2</v>
      </c>
      <c r="AQ306" s="827">
        <f t="shared" si="286"/>
        <v>4482.5395416021302</v>
      </c>
      <c r="AR306" s="827">
        <f t="shared" si="286"/>
        <v>4025.9084554463602</v>
      </c>
      <c r="AS306" s="827">
        <f t="shared" si="286"/>
        <v>5281.43501912802</v>
      </c>
      <c r="AT306" s="827">
        <f t="shared" si="286"/>
        <v>5459.4936635643198</v>
      </c>
      <c r="AU306" s="827">
        <f t="shared" si="286"/>
        <v>6167.8441196829099</v>
      </c>
      <c r="AV306" s="827"/>
      <c r="AW306" s="827">
        <f t="shared" si="286"/>
        <v>2468.9341627359399</v>
      </c>
      <c r="AX306" s="827">
        <f t="shared" si="286"/>
        <v>3010.0819866061202</v>
      </c>
      <c r="AY306" s="827">
        <f t="shared" si="286"/>
        <v>4174.82910927385</v>
      </c>
      <c r="AZ306" s="827">
        <f t="shared" si="286"/>
        <v>645.91484378278301</v>
      </c>
      <c r="BA306" s="827">
        <f t="shared" si="286"/>
        <v>828.136422641575</v>
      </c>
      <c r="BB306" s="829">
        <f t="shared" si="286"/>
        <v>4.3587292248860159</v>
      </c>
      <c r="BC306" s="829">
        <f t="shared" si="286"/>
        <v>5.6435061464457466</v>
      </c>
      <c r="BD306" s="829">
        <f t="shared" si="286"/>
        <v>1.1351520938480428</v>
      </c>
      <c r="BE306" s="829">
        <f t="shared" si="286"/>
        <v>3.6049432231579535</v>
      </c>
      <c r="BF306" s="829">
        <f t="shared" si="286"/>
        <v>4.5678012023233681</v>
      </c>
      <c r="BG306" s="829">
        <f t="shared" si="286"/>
        <v>1.0865724568001065</v>
      </c>
    </row>
    <row r="307" spans="1:59" ht="15" customHeight="1">
      <c r="A307" s="535">
        <v>2018</v>
      </c>
      <c r="B307" s="449"/>
      <c r="C307" s="51"/>
      <c r="D307" s="51"/>
      <c r="E307" s="51"/>
      <c r="F307" s="51"/>
      <c r="G307" s="51"/>
      <c r="H307" s="51"/>
      <c r="I307" s="536" t="s">
        <v>341</v>
      </c>
      <c r="J307" s="524" t="s">
        <v>999</v>
      </c>
      <c r="K307" s="543">
        <f t="shared" si="281"/>
        <v>12.656005589993031</v>
      </c>
      <c r="L307" s="543">
        <f t="shared" si="281"/>
        <v>12.453403842701976</v>
      </c>
      <c r="M307" s="543">
        <f t="shared" si="281"/>
        <v>12.398412371024772</v>
      </c>
      <c r="N307" s="543">
        <f t="shared" si="281"/>
        <v>12.332906732588018</v>
      </c>
      <c r="O307" s="543">
        <f t="shared" si="281"/>
        <v>12.178679857020983</v>
      </c>
      <c r="P307" s="149">
        <f t="shared" si="282"/>
        <v>9.8648608534322835E-2</v>
      </c>
      <c r="Q307" s="149">
        <f t="shared" si="282"/>
        <v>0.10042242543645631</v>
      </c>
      <c r="R307" s="149">
        <f t="shared" si="282"/>
        <v>8.4488089408701103E-2</v>
      </c>
      <c r="S307" s="149">
        <f t="shared" si="282"/>
        <v>8.1494613937968641E-2</v>
      </c>
      <c r="T307" s="149">
        <f t="shared" si="282"/>
        <v>6.9693464970047025E-2</v>
      </c>
      <c r="U307" s="51">
        <f t="shared" si="283"/>
        <v>0.66972396803213552</v>
      </c>
      <c r="V307" s="51">
        <f t="shared" si="283"/>
        <v>0.67350680591410472</v>
      </c>
      <c r="W307" s="51">
        <f t="shared" si="283"/>
        <v>0.70563729440995171</v>
      </c>
      <c r="X307" s="51">
        <f t="shared" si="283"/>
        <v>0.63387689228967548</v>
      </c>
      <c r="Y307" s="51">
        <f t="shared" si="283"/>
        <v>0.65779831327396265</v>
      </c>
      <c r="Z307" s="51">
        <f t="shared" si="284"/>
        <v>1.9812665549707735</v>
      </c>
      <c r="AA307" s="51">
        <f t="shared" si="284"/>
        <v>1.8542132437406589</v>
      </c>
      <c r="AB307" s="51">
        <f t="shared" si="284"/>
        <v>1.9751207554930548</v>
      </c>
      <c r="AC307" s="51">
        <f t="shared" si="284"/>
        <v>2.4409409998189164</v>
      </c>
      <c r="AD307" s="62">
        <f t="shared" si="284"/>
        <v>2.4955487448920022</v>
      </c>
      <c r="AE307" s="165"/>
      <c r="AF307" s="701">
        <f t="shared" si="285"/>
        <v>-2.8575009800379775E-2</v>
      </c>
      <c r="AG307" s="61">
        <f t="shared" si="240"/>
        <v>2.1525749750282652E-2</v>
      </c>
      <c r="AH307" s="165"/>
      <c r="AI307" s="165"/>
      <c r="AJ307" s="165"/>
      <c r="AK307" s="701">
        <f t="shared" si="241"/>
        <v>1.4483652631378408E-2</v>
      </c>
      <c r="AL307" s="61">
        <f t="shared" si="242"/>
        <v>6.6277418938986643E-2</v>
      </c>
      <c r="AM307" s="845">
        <f t="shared" si="243"/>
        <v>0.21973251400378885</v>
      </c>
      <c r="AN307" s="845">
        <f t="shared" si="244"/>
        <v>0.47732573297204789</v>
      </c>
      <c r="AO307" s="536">
        <f t="shared" si="245"/>
        <v>4.7838981135989056E-2</v>
      </c>
      <c r="AP307" s="552">
        <f t="shared" si="246"/>
        <v>1.1925654758172866E-2</v>
      </c>
      <c r="AQ307" s="827">
        <f t="shared" si="286"/>
        <v>52283.847645000002</v>
      </c>
      <c r="AR307" s="827">
        <f t="shared" si="286"/>
        <v>45098.180834999999</v>
      </c>
      <c r="AS307" s="827">
        <f t="shared" si="286"/>
        <v>36128.606451</v>
      </c>
      <c r="AT307" s="827">
        <f t="shared" si="286"/>
        <v>34055.181378000001</v>
      </c>
      <c r="AU307" s="827">
        <f t="shared" si="286"/>
        <v>26683.914928000002</v>
      </c>
      <c r="AV307" s="827"/>
      <c r="AW307" s="827">
        <f t="shared" si="286"/>
        <v>19576.227969</v>
      </c>
      <c r="AX307" s="827">
        <f t="shared" si="286"/>
        <v>20120.744879999998</v>
      </c>
      <c r="AY307" s="827">
        <f t="shared" si="286"/>
        <v>22893.923751999999</v>
      </c>
      <c r="AZ307" s="827">
        <f t="shared" si="286"/>
        <v>70.571004000000002</v>
      </c>
      <c r="BA307" s="827">
        <f t="shared" si="286"/>
        <v>26.392388</v>
      </c>
      <c r="BB307" s="829">
        <f t="shared" si="286"/>
        <v>513.86238532110087</v>
      </c>
      <c r="BC307" s="829">
        <f t="shared" si="286"/>
        <v>262.18989547038331</v>
      </c>
      <c r="BD307" s="829">
        <f t="shared" si="286"/>
        <v>0.89461738646747979</v>
      </c>
      <c r="BE307" s="829">
        <f t="shared" si="286"/>
        <v>338.23525945158616</v>
      </c>
      <c r="BF307" s="829">
        <f t="shared" si="286"/>
        <v>166.42798003010373</v>
      </c>
      <c r="BG307" s="829">
        <f t="shared" si="286"/>
        <v>0.80307950032709896</v>
      </c>
    </row>
  </sheetData>
  <mergeCells count="50">
    <mergeCell ref="AO161:AP161"/>
    <mergeCell ref="AM207:AN207"/>
    <mergeCell ref="AO207:AP207"/>
    <mergeCell ref="AE1:AI1"/>
    <mergeCell ref="AJ1:AN1"/>
    <mergeCell ref="AJ49:AN49"/>
    <mergeCell ref="AE49:AI49"/>
    <mergeCell ref="AF161:AG161"/>
    <mergeCell ref="AK161:AL161"/>
    <mergeCell ref="AM161:AN161"/>
    <mergeCell ref="AJ207:AL207"/>
    <mergeCell ref="AQ207:AU207"/>
    <mergeCell ref="AW207:BA207"/>
    <mergeCell ref="BB207:BD207"/>
    <mergeCell ref="BE207:BG207"/>
    <mergeCell ref="AQ161:AU161"/>
    <mergeCell ref="AW161:BA161"/>
    <mergeCell ref="BB161:BD161"/>
    <mergeCell ref="BE161:BG161"/>
    <mergeCell ref="A161:J162"/>
    <mergeCell ref="K161:O161"/>
    <mergeCell ref="P161:T161"/>
    <mergeCell ref="U161:Y161"/>
    <mergeCell ref="Z161:AD161"/>
    <mergeCell ref="K207:O207"/>
    <mergeCell ref="P207:T207"/>
    <mergeCell ref="U207:Y207"/>
    <mergeCell ref="Z207:AD207"/>
    <mergeCell ref="AE207:AG207"/>
    <mergeCell ref="AW1:BA1"/>
    <mergeCell ref="BB1:BD1"/>
    <mergeCell ref="BE1:BG1"/>
    <mergeCell ref="K49:O49"/>
    <mergeCell ref="P49:T49"/>
    <mergeCell ref="U49:Y49"/>
    <mergeCell ref="Z49:AD49"/>
    <mergeCell ref="AQ49:AU49"/>
    <mergeCell ref="P1:T1"/>
    <mergeCell ref="U1:Y1"/>
    <mergeCell ref="Z1:AD1"/>
    <mergeCell ref="AQ1:AU1"/>
    <mergeCell ref="K1:O1"/>
    <mergeCell ref="AW49:BA49"/>
    <mergeCell ref="BB49:BD49"/>
    <mergeCell ref="BE49:BG49"/>
    <mergeCell ref="A1:A2"/>
    <mergeCell ref="C1:C2"/>
    <mergeCell ref="D1:D2"/>
    <mergeCell ref="I1:I2"/>
    <mergeCell ref="J1:J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C63A7F62C51E45832604D654F4D5F9" ma:contentTypeVersion="14" ma:contentTypeDescription="Create a new document." ma:contentTypeScope="" ma:versionID="69de1a618b6888528b149bb6d9170c46">
  <xsd:schema xmlns:xsd="http://www.w3.org/2001/XMLSchema" xmlns:xs="http://www.w3.org/2001/XMLSchema" xmlns:p="http://schemas.microsoft.com/office/2006/metadata/properties" xmlns:ns2="dcc75867-4b81-416b-ba87-cf9041e81374" xmlns:ns3="8bcd404e-b814-4f6b-98b6-e29ae617f55a" targetNamespace="http://schemas.microsoft.com/office/2006/metadata/properties" ma:root="true" ma:fieldsID="29e71785aa4c1ef5033ad9f53c1c2222" ns2:_="" ns3:_="">
    <xsd:import namespace="dcc75867-4b81-416b-ba87-cf9041e81374"/>
    <xsd:import namespace="8bcd404e-b814-4f6b-98b6-e29ae617f5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c75867-4b81-416b-ba87-cf9041e81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554886-c2b2-42e7-ae49-e712ab45e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404e-b814-4f6b-98b6-e29ae617f5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b5bb074-76dd-4778-af22-38e353ddfcd9}" ma:internalName="TaxCatchAll" ma:showField="CatchAllData" ma:web="8bcd404e-b814-4f6b-98b6-e29ae617f5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c75867-4b81-416b-ba87-cf9041e81374">
      <Terms xmlns="http://schemas.microsoft.com/office/infopath/2007/PartnerControls"/>
    </lcf76f155ced4ddcb4097134ff3c332f>
    <TaxCatchAll xmlns="8bcd404e-b814-4f6b-98b6-e29ae617f55a" xsi:nil="true"/>
  </documentManagement>
</p:properties>
</file>

<file path=customXml/itemProps1.xml><?xml version="1.0" encoding="utf-8"?>
<ds:datastoreItem xmlns:ds="http://schemas.openxmlformats.org/officeDocument/2006/customXml" ds:itemID="{BD17DCD8-A44A-4847-8C32-AEE2BA96B1F1}"/>
</file>

<file path=customXml/itemProps2.xml><?xml version="1.0" encoding="utf-8"?>
<ds:datastoreItem xmlns:ds="http://schemas.openxmlformats.org/officeDocument/2006/customXml" ds:itemID="{8339591C-0537-4269-B239-8E538630C8BA}"/>
</file>

<file path=customXml/itemProps3.xml><?xml version="1.0" encoding="utf-8"?>
<ds:datastoreItem xmlns:ds="http://schemas.openxmlformats.org/officeDocument/2006/customXml" ds:itemID="{B983DD4A-4BB2-4E47-9DEC-A6A2494F1F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Some data</vt:lpstr>
      <vt:lpstr>Comp Group</vt:lpstr>
      <vt:lpstr>More Comp Group</vt:lpstr>
      <vt:lpstr>Long Term Debt</vt:lpstr>
      <vt:lpstr>First Draft</vt:lpstr>
      <vt:lpstr>Final Variables</vt:lpstr>
      <vt:lpstr>Shareholder Funds (t-2)</vt:lpstr>
      <vt:lpstr>Shareholder funds</vt:lpstr>
      <vt:lpstr>Solving Block One</vt:lpstr>
      <vt:lpstr>STATA input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youne</dc:creator>
  <cp:lastModifiedBy>jarl milford</cp:lastModifiedBy>
  <dcterms:created xsi:type="dcterms:W3CDTF">2022-02-16T12:21:11Z</dcterms:created>
  <dcterms:modified xsi:type="dcterms:W3CDTF">2022-06-29T09:20:53Z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0x01010053C63A7F62C51E45832604D654F4D5F9</vt:lpwstr>
  </property>
</Properties>
</file>