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72AA3EB0-7338-414D-890A-9A9B2A71FD1A}" xr6:coauthVersionLast="45" xr6:coauthVersionMax="45" xr10:uidLastSave="{00000000-0000-0000-0000-000000000000}"/>
  <bookViews>
    <workbookView xWindow="-108" yWindow="-108" windowWidth="30936" windowHeight="16896" xr2:uid="{BC30BD8C-3E8B-409D-BAE3-532F5F15F7EF}"/>
  </bookViews>
  <sheets>
    <sheet name="Selskapet Karsten Moholt AS" sheetId="1" r:id="rId1"/>
    <sheet name="IKM Elektro AS" sheetId="4" r:id="rId2"/>
    <sheet name="Simulering DuP sit. 2020" sheetId="3" r:id="rId3"/>
    <sheet name="Simulering DuP sc.1" sheetId="7" r:id="rId4"/>
    <sheet name="Simulering DuP sc.2" sheetId="8" r:id="rId5"/>
    <sheet name="Analyse" sheetId="6" r:id="rId6"/>
    <sheet name="Grafer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8" l="1"/>
  <c r="S7" i="8" s="1"/>
  <c r="K30" i="8"/>
  <c r="K28" i="8"/>
  <c r="L28" i="8" s="1"/>
  <c r="K24" i="8"/>
  <c r="L22" i="8"/>
  <c r="K22" i="8"/>
  <c r="E22" i="8"/>
  <c r="D22" i="8"/>
  <c r="C22" i="8"/>
  <c r="B22" i="8"/>
  <c r="W21" i="8"/>
  <c r="K17" i="8"/>
  <c r="K15" i="8"/>
  <c r="L15" i="8" s="1"/>
  <c r="J33" i="8" s="1"/>
  <c r="L12" i="8"/>
  <c r="K12" i="8"/>
  <c r="J12" i="8"/>
  <c r="I12" i="8"/>
  <c r="E12" i="8"/>
  <c r="E14" i="8" s="1"/>
  <c r="D12" i="8"/>
  <c r="D14" i="8" s="1"/>
  <c r="C12" i="8"/>
  <c r="C14" i="8" s="1"/>
  <c r="B12" i="8"/>
  <c r="I4" i="8" s="1"/>
  <c r="L11" i="8"/>
  <c r="K11" i="8"/>
  <c r="J11" i="8"/>
  <c r="I11" i="8"/>
  <c r="W10" i="8"/>
  <c r="L10" i="8"/>
  <c r="K10" i="8"/>
  <c r="J10" i="8"/>
  <c r="I10" i="8"/>
  <c r="L9" i="8"/>
  <c r="K9" i="8"/>
  <c r="J9" i="8"/>
  <c r="I9" i="8"/>
  <c r="L8" i="8"/>
  <c r="K8" i="8"/>
  <c r="J8" i="8"/>
  <c r="I8" i="8"/>
  <c r="E8" i="8"/>
  <c r="D8" i="8"/>
  <c r="C8" i="8"/>
  <c r="B8" i="8"/>
  <c r="L4" i="8"/>
  <c r="K4" i="8"/>
  <c r="L3" i="8"/>
  <c r="K3" i="8"/>
  <c r="J3" i="8"/>
  <c r="I3" i="8"/>
  <c r="W10" i="7"/>
  <c r="S7" i="7" s="1"/>
  <c r="K30" i="7"/>
  <c r="K28" i="7"/>
  <c r="L28" i="7" s="1"/>
  <c r="K24" i="7"/>
  <c r="K22" i="7"/>
  <c r="L22" i="7" s="1"/>
  <c r="E22" i="7"/>
  <c r="D22" i="7"/>
  <c r="C22" i="7"/>
  <c r="B22" i="7"/>
  <c r="W21" i="7"/>
  <c r="K17" i="7"/>
  <c r="K15" i="7"/>
  <c r="L15" i="7" s="1"/>
  <c r="L12" i="7"/>
  <c r="K12" i="7"/>
  <c r="J12" i="7"/>
  <c r="I12" i="7"/>
  <c r="E12" i="7"/>
  <c r="E14" i="7" s="1"/>
  <c r="D12" i="7"/>
  <c r="D14" i="7" s="1"/>
  <c r="C12" i="7"/>
  <c r="C14" i="7" s="1"/>
  <c r="B12" i="7"/>
  <c r="B14" i="7" s="1"/>
  <c r="L11" i="7"/>
  <c r="K11" i="7"/>
  <c r="J11" i="7"/>
  <c r="I11" i="7"/>
  <c r="L10" i="7"/>
  <c r="K10" i="7"/>
  <c r="J10" i="7"/>
  <c r="I10" i="7"/>
  <c r="L9" i="7"/>
  <c r="K9" i="7"/>
  <c r="J9" i="7"/>
  <c r="I9" i="7"/>
  <c r="L8" i="7"/>
  <c r="K8" i="7"/>
  <c r="J8" i="7"/>
  <c r="I8" i="7"/>
  <c r="E8" i="7"/>
  <c r="D8" i="7"/>
  <c r="C8" i="7"/>
  <c r="B8" i="7"/>
  <c r="W4" i="7"/>
  <c r="L4" i="7"/>
  <c r="K4" i="7"/>
  <c r="J4" i="7"/>
  <c r="I4" i="7"/>
  <c r="L3" i="7"/>
  <c r="K3" i="7"/>
  <c r="J3" i="7"/>
  <c r="I3" i="7"/>
  <c r="W4" i="3"/>
  <c r="W10" i="3"/>
  <c r="O10" i="8" l="1"/>
  <c r="B14" i="8"/>
  <c r="J4" i="8"/>
  <c r="W15" i="8"/>
  <c r="S16" i="8" s="1"/>
  <c r="J33" i="7"/>
  <c r="O10" i="7"/>
  <c r="W15" i="7"/>
  <c r="S16" i="7" s="1"/>
  <c r="L45" i="6" l="1"/>
  <c r="M45" i="6"/>
  <c r="K45" i="6"/>
  <c r="M44" i="6"/>
  <c r="L44" i="6"/>
  <c r="K44" i="6"/>
  <c r="B60" i="1"/>
  <c r="M53" i="1"/>
  <c r="M47" i="1"/>
  <c r="M40" i="1"/>
  <c r="N47" i="4"/>
  <c r="N41" i="4"/>
  <c r="N34" i="4"/>
  <c r="N13" i="1"/>
  <c r="M18" i="1" s="1"/>
  <c r="M13" i="1"/>
  <c r="L13" i="1"/>
  <c r="K18" i="1"/>
  <c r="L11" i="1"/>
  <c r="M11" i="1"/>
  <c r="N11" i="1"/>
  <c r="K11" i="1"/>
  <c r="L10" i="1"/>
  <c r="M10" i="1"/>
  <c r="N10" i="1"/>
  <c r="K10" i="1"/>
  <c r="I10" i="1"/>
  <c r="J10" i="4"/>
  <c r="M10" i="4"/>
  <c r="N10" i="4"/>
  <c r="N13" i="4" s="1"/>
  <c r="M18" i="4" s="1"/>
  <c r="O10" i="4"/>
  <c r="O13" i="4" s="1"/>
  <c r="N18" i="4" s="1"/>
  <c r="L10" i="4"/>
  <c r="F17" i="4"/>
  <c r="E17" i="4"/>
  <c r="D17" i="4"/>
  <c r="C17" i="4"/>
  <c r="F23" i="1"/>
  <c r="D23" i="1"/>
  <c r="E23" i="1"/>
  <c r="C23" i="1"/>
  <c r="M28" i="4"/>
  <c r="L31" i="4"/>
  <c r="M13" i="4"/>
  <c r="L18" i="4" s="1"/>
  <c r="N7" i="4"/>
  <c r="M17" i="4" s="1"/>
  <c r="O7" i="4"/>
  <c r="N17" i="4" s="1"/>
  <c r="M7" i="4"/>
  <c r="L17" i="4" s="1"/>
  <c r="N34" i="1"/>
  <c r="L36" i="1"/>
  <c r="K37" i="1"/>
  <c r="M7" i="1"/>
  <c r="L17" i="1" s="1"/>
  <c r="N7" i="1"/>
  <c r="M17" i="1" s="1"/>
  <c r="L7" i="1"/>
  <c r="K17" i="1" s="1"/>
  <c r="B31" i="4"/>
  <c r="B33" i="4" s="1"/>
  <c r="C25" i="4"/>
  <c r="C27" i="4" s="1"/>
  <c r="C55" i="4" s="1"/>
  <c r="B25" i="4"/>
  <c r="B27" i="4" s="1"/>
  <c r="B55" i="4" s="1"/>
  <c r="N49" i="4"/>
  <c r="N43" i="4"/>
  <c r="E41" i="4"/>
  <c r="D41" i="4"/>
  <c r="C41" i="4"/>
  <c r="B41" i="4"/>
  <c r="N36" i="4"/>
  <c r="O31" i="4"/>
  <c r="N31" i="4"/>
  <c r="M31" i="4"/>
  <c r="E31" i="4"/>
  <c r="E33" i="4" s="1"/>
  <c r="D31" i="4"/>
  <c r="D33" i="4" s="1"/>
  <c r="C31" i="4"/>
  <c r="C33" i="4" s="1"/>
  <c r="O30" i="4"/>
  <c r="N30" i="4"/>
  <c r="M30" i="4"/>
  <c r="L30" i="4"/>
  <c r="O29" i="4"/>
  <c r="N29" i="4"/>
  <c r="M29" i="4"/>
  <c r="L29" i="4"/>
  <c r="O28" i="4"/>
  <c r="N28" i="4"/>
  <c r="L28" i="4"/>
  <c r="O27" i="4"/>
  <c r="N27" i="4"/>
  <c r="M27" i="4"/>
  <c r="L27" i="4"/>
  <c r="E27" i="4"/>
  <c r="F18" i="4" s="1"/>
  <c r="D27" i="4"/>
  <c r="D18" i="4" s="1"/>
  <c r="K22" i="3"/>
  <c r="K15" i="3"/>
  <c r="L15" i="3"/>
  <c r="K28" i="3"/>
  <c r="L28" i="3" s="1"/>
  <c r="L18" i="1" l="1"/>
  <c r="B57" i="4"/>
  <c r="E56" i="4"/>
  <c r="C56" i="4"/>
  <c r="B54" i="4"/>
  <c r="E54" i="4"/>
  <c r="D54" i="4"/>
  <c r="E57" i="4"/>
  <c r="C54" i="4"/>
  <c r="D57" i="4"/>
  <c r="C57" i="4"/>
  <c r="D56" i="4"/>
  <c r="E55" i="4"/>
  <c r="C18" i="4"/>
  <c r="B56" i="4"/>
  <c r="D55" i="4"/>
  <c r="E18" i="4"/>
  <c r="L23" i="4"/>
  <c r="L22" i="4"/>
  <c r="O34" i="4"/>
  <c r="O47" i="4"/>
  <c r="M23" i="4"/>
  <c r="O23" i="4"/>
  <c r="N22" i="4"/>
  <c r="N23" i="4"/>
  <c r="M22" i="4"/>
  <c r="O22" i="4"/>
  <c r="O41" i="4"/>
  <c r="M52" i="4" l="1"/>
  <c r="M37" i="1"/>
  <c r="W21" i="3" l="1"/>
  <c r="S7" i="3"/>
  <c r="O10" i="3" s="1"/>
  <c r="K30" i="3"/>
  <c r="K24" i="3"/>
  <c r="E22" i="3"/>
  <c r="D22" i="3"/>
  <c r="C22" i="3"/>
  <c r="B22" i="3"/>
  <c r="K17" i="3"/>
  <c r="L12" i="3"/>
  <c r="K12" i="3"/>
  <c r="J12" i="3"/>
  <c r="I12" i="3"/>
  <c r="E12" i="3"/>
  <c r="E14" i="3" s="1"/>
  <c r="D12" i="3"/>
  <c r="K3" i="3" s="1"/>
  <c r="C12" i="3"/>
  <c r="C14" i="3" s="1"/>
  <c r="B12" i="3"/>
  <c r="B14" i="3" s="1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E8" i="3"/>
  <c r="D8" i="3"/>
  <c r="C8" i="3"/>
  <c r="B8" i="3"/>
  <c r="L4" i="3"/>
  <c r="K4" i="3"/>
  <c r="J4" i="3"/>
  <c r="I4" i="3"/>
  <c r="J3" i="3"/>
  <c r="M55" i="1"/>
  <c r="M49" i="1"/>
  <c r="M42" i="1"/>
  <c r="N53" i="1" l="1"/>
  <c r="N40" i="1"/>
  <c r="N47" i="1"/>
  <c r="I3" i="3"/>
  <c r="L22" i="3"/>
  <c r="J33" i="3" s="1"/>
  <c r="W15" i="3"/>
  <c r="S16" i="3" s="1"/>
  <c r="D14" i="3"/>
  <c r="L3" i="3"/>
  <c r="L58" i="1" l="1"/>
  <c r="K36" i="1"/>
  <c r="L37" i="1" l="1"/>
  <c r="N37" i="1"/>
  <c r="M36" i="1"/>
  <c r="N36" i="1"/>
  <c r="L35" i="1"/>
  <c r="M35" i="1"/>
  <c r="N35" i="1"/>
  <c r="K35" i="1"/>
  <c r="L34" i="1"/>
  <c r="M34" i="1"/>
  <c r="K34" i="1"/>
  <c r="L33" i="1"/>
  <c r="M33" i="1"/>
  <c r="N33" i="1"/>
  <c r="K33" i="1"/>
  <c r="C47" i="1" l="1"/>
  <c r="D47" i="1"/>
  <c r="E47" i="1"/>
  <c r="B47" i="1"/>
  <c r="C37" i="1"/>
  <c r="D37" i="1"/>
  <c r="E37" i="1"/>
  <c r="E39" i="1" s="1"/>
  <c r="B37" i="1"/>
  <c r="C33" i="1"/>
  <c r="D33" i="1"/>
  <c r="E33" i="1"/>
  <c r="B33" i="1"/>
  <c r="E63" i="1" l="1"/>
  <c r="E61" i="1"/>
  <c r="F24" i="1"/>
  <c r="E24" i="1"/>
  <c r="E60" i="1"/>
  <c r="E62" i="1"/>
  <c r="C61" i="1"/>
  <c r="C60" i="1"/>
  <c r="C62" i="1"/>
  <c r="C63" i="1"/>
  <c r="C24" i="1"/>
  <c r="B63" i="1"/>
  <c r="B61" i="1"/>
  <c r="B62" i="1"/>
  <c r="D63" i="1"/>
  <c r="D24" i="1"/>
  <c r="D61" i="1"/>
  <c r="D60" i="1"/>
  <c r="D62" i="1"/>
  <c r="B39" i="1"/>
  <c r="D39" i="1"/>
  <c r="C39" i="1"/>
</calcChain>
</file>

<file path=xl/sharedStrings.xml><?xml version="1.0" encoding="utf-8"?>
<sst xmlns="http://schemas.openxmlformats.org/spreadsheetml/2006/main" count="463" uniqueCount="122">
  <si>
    <t>Fra resultatregnskapet</t>
  </si>
  <si>
    <t>Sum driftsinntekter</t>
  </si>
  <si>
    <t>Varekostnad</t>
  </si>
  <si>
    <t>Lønnskostnader</t>
  </si>
  <si>
    <t>Av-/nedskriving</t>
  </si>
  <si>
    <t>Andre driftskostnader</t>
  </si>
  <si>
    <t>Sum driftskostnad</t>
  </si>
  <si>
    <t>Driftsresultat</t>
  </si>
  <si>
    <t>Sum finansinntekter</t>
  </si>
  <si>
    <t>Sum finanskostnader</t>
  </si>
  <si>
    <t>Ordinært res. før skatt</t>
  </si>
  <si>
    <t>Skattekostnad</t>
  </si>
  <si>
    <t>Årsresultat</t>
  </si>
  <si>
    <t>Sum anleggsmidler</t>
  </si>
  <si>
    <t>Sum varelager</t>
  </si>
  <si>
    <t>Kundefordringer</t>
  </si>
  <si>
    <t>Andre fordringer</t>
  </si>
  <si>
    <t>Sum fordringer</t>
  </si>
  <si>
    <t>Sum Kasse/Bank/Post</t>
  </si>
  <si>
    <t>Sum omløpsmidler</t>
  </si>
  <si>
    <t>Sum eiendeler</t>
  </si>
  <si>
    <t>Sum egenkapital</t>
  </si>
  <si>
    <t>Sum langsiktig gjeld</t>
  </si>
  <si>
    <t>Leverandørgjeld</t>
  </si>
  <si>
    <t>Sum kortsiktig gjeld</t>
  </si>
  <si>
    <t>Sum gjeld</t>
  </si>
  <si>
    <t>Resultatregnskap i hele 1000</t>
  </si>
  <si>
    <t>BALANSEREGNSKAP i hele 1000</t>
  </si>
  <si>
    <t>Fra balanseregnskap</t>
  </si>
  <si>
    <t>Gjeld til kredittinstitusjoner</t>
  </si>
  <si>
    <t>Sum egenkapital og gjeld</t>
  </si>
  <si>
    <t>TKR</t>
  </si>
  <si>
    <t>EKR</t>
  </si>
  <si>
    <t>Totalkapitalrentabilitet</t>
  </si>
  <si>
    <t>Egenkapitalrentabilitet</t>
  </si>
  <si>
    <t>Karsten Moholt AS</t>
  </si>
  <si>
    <t>Likviditetsgrad 1</t>
  </si>
  <si>
    <t>Likviditetsgrad 2</t>
  </si>
  <si>
    <t>Arbeidskapital</t>
  </si>
  <si>
    <t>Egenkapitalandel</t>
  </si>
  <si>
    <t>Gjeldsgrad</t>
  </si>
  <si>
    <t>LG1</t>
  </si>
  <si>
    <t>LG2</t>
  </si>
  <si>
    <t>AK</t>
  </si>
  <si>
    <t>EK%</t>
  </si>
  <si>
    <t>GGR</t>
  </si>
  <si>
    <r>
      <t xml:space="preserve">Gjennomsnitlig lagringstid </t>
    </r>
    <r>
      <rPr>
        <b/>
        <sz val="11"/>
        <color theme="1"/>
        <rFont val="Calibri"/>
        <family val="2"/>
        <scheme val="minor"/>
      </rPr>
      <t>(A)</t>
    </r>
  </si>
  <si>
    <t>Gjennomsntilig Varelager</t>
  </si>
  <si>
    <t>x 365</t>
  </si>
  <si>
    <t>=</t>
  </si>
  <si>
    <r>
      <t xml:space="preserve">Gjennomsnitlig kredittid Kunder </t>
    </r>
    <r>
      <rPr>
        <b/>
        <sz val="11"/>
        <color theme="1"/>
        <rFont val="Calibri"/>
        <family val="2"/>
        <scheme val="minor"/>
      </rPr>
      <t>(B)</t>
    </r>
  </si>
  <si>
    <t>Gjennomsntilig Kundefordringer</t>
  </si>
  <si>
    <t>Salgsinntekter</t>
  </si>
  <si>
    <r>
      <t xml:space="preserve">Gjennomsnitlig kredittid Leverandør </t>
    </r>
    <r>
      <rPr>
        <b/>
        <sz val="11"/>
        <color theme="1"/>
        <rFont val="Calibri"/>
        <family val="2"/>
        <scheme val="minor"/>
      </rPr>
      <t>(C)</t>
    </r>
  </si>
  <si>
    <t>Gjennomsntilig Leverandørgjeld</t>
  </si>
  <si>
    <t>Varekjøp inkl. MVA</t>
  </si>
  <si>
    <r>
      <t xml:space="preserve">Cash Conversation Cycle </t>
    </r>
    <r>
      <rPr>
        <b/>
        <sz val="11"/>
        <color theme="1"/>
        <rFont val="Calibri"/>
        <family val="2"/>
        <scheme val="minor"/>
      </rPr>
      <t>(CCC)</t>
    </r>
  </si>
  <si>
    <t>A+B-C</t>
  </si>
  <si>
    <t>Kapitalens omløpshastighet</t>
  </si>
  <si>
    <t>Resultatgrad</t>
  </si>
  <si>
    <t>Totalkapital (Gjennomsnitlig)</t>
  </si>
  <si>
    <t>Driftsinnteketer</t>
  </si>
  <si>
    <t>X</t>
  </si>
  <si>
    <t>Resultat før skatt + Rentekosntader</t>
  </si>
  <si>
    <t>Driftsinntekter</t>
  </si>
  <si>
    <t>EKR bør vanligvis være større enn TKR</t>
  </si>
  <si>
    <t>LG1 bør være minst 1,5 og LG2 bør være minst 1
Lavere likviditetstall viser frem en høyere risiko at bedriften vil ikke være i stand til å betale sine forpliktelser</t>
  </si>
  <si>
    <t>40% egenkapitalandel (bokført) er mer enn tilstrekkelig
0% egenkapitalandel(bokført) er ikke tilstrekkelig 
ca. 20%  andel er kanskje derfor en indikasjon på hva et forsvarlighetskrav bør ligge på</t>
  </si>
  <si>
    <t>Scenario 2
1. Reduksjon av Totalkapital (Gjennomsnitlig) med 40%
2. Økning av Driftsinntekter med 25%</t>
  </si>
  <si>
    <r>
      <t xml:space="preserve">Gjennomsnitlig lagringstid </t>
    </r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
Reduskjon av varelager med 20%</t>
    </r>
  </si>
  <si>
    <r>
      <t xml:space="preserve">Gjennomsnitlig kredittid Kunder </t>
    </r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
Reduskjon av kundefordringer med 30%</t>
    </r>
  </si>
  <si>
    <t>26 800</t>
  </si>
  <si>
    <t>39 422</t>
  </si>
  <si>
    <t>37 665</t>
  </si>
  <si>
    <t>62 413</t>
  </si>
  <si>
    <t>IKM Elektro AS</t>
  </si>
  <si>
    <t>TKR (Karsten Moholt AS)</t>
  </si>
  <si>
    <t>EKR (Karsten Moholt AS)</t>
  </si>
  <si>
    <t>TKR (IKM Elektro AS)</t>
  </si>
  <si>
    <t>EKR (IKM Elektro AS)</t>
  </si>
  <si>
    <t>LG1 (Karsten Moholt AS)</t>
  </si>
  <si>
    <t>LG2 (Karsten Moholt AS)</t>
  </si>
  <si>
    <t>AK (Karsten Moholt AS)</t>
  </si>
  <si>
    <t>EK% (Karsten Moholt AS)</t>
  </si>
  <si>
    <t>GGR (Karsten Moholt AS)</t>
  </si>
  <si>
    <t>LG1 (IKM Elektro AS)</t>
  </si>
  <si>
    <t>LG2 (IKM Elektro AS)</t>
  </si>
  <si>
    <t>AK (IKM Elektro AS)</t>
  </si>
  <si>
    <t>EK% (IKM Elektro AS)</t>
  </si>
  <si>
    <t>GGR (IKM Elektro AS)</t>
  </si>
  <si>
    <t>Til ny graf</t>
  </si>
  <si>
    <t>Karsten Moholt</t>
  </si>
  <si>
    <t>SVAKT 2018 FORDI</t>
  </si>
  <si>
    <t>stort tap på ordinært res før skatt</t>
  </si>
  <si>
    <t>Generelt</t>
  </si>
  <si>
    <t>IMK elektro har lavere EK enn KM men KM har i perioder tap</t>
  </si>
  <si>
    <t>Lønn % av kost</t>
  </si>
  <si>
    <t>Varer % av kost</t>
  </si>
  <si>
    <t>Av/nedskrvinger i % av kost</t>
  </si>
  <si>
    <t>Andre driftskost % av kost</t>
  </si>
  <si>
    <t>Betydelig høyere del av/nedskrivinger og annen driftskost i kostbasen, virker ikke som en "rendyrket drift" på samme måte som IKM</t>
  </si>
  <si>
    <t>Har de større maskiner som ikke veier opp for investeringene som de skriver av verdi på?</t>
  </si>
  <si>
    <t>Betydelige verdier på bok, så er jo solide, men driver ikke god drift</t>
  </si>
  <si>
    <t>Sunnere bedrift med godt gap mellom TRK og ERK, hvorfor er det positivt - kilde?</t>
  </si>
  <si>
    <t>Driver effektivt med varer og lønn som tydeligere primærposter på kosten enn Karsten</t>
  </si>
  <si>
    <t>leverer mer øre per krone investert - kommenter på at dette er nyttig for investorer</t>
  </si>
  <si>
    <t>Utvikling i inntekter</t>
  </si>
  <si>
    <t>Utvikling i kostnader</t>
  </si>
  <si>
    <t>average annual from 2017-2020</t>
  </si>
  <si>
    <t>Utvikling inntekter: KM har en YoY negative inntektsutvikling, 3 av 4 siste år. Fra 18 til 19 var positiv…</t>
  </si>
  <si>
    <t>Executive hanalysis</t>
  </si>
  <si>
    <t>Utvikling kostnader: YoY positiv kostnadsutvikling, ser ut til å bli mer effektive.</t>
  </si>
  <si>
    <t>Utvikling inntekter: YoY negativ inntekstuvikling…</t>
  </si>
  <si>
    <t>Utvikling kostnader: YoY positiv kostnadsutvikling, høyere prosent enn KM</t>
  </si>
  <si>
    <t>Hvis EKR bør være høyere enn TRK leverer ikke Karsten til investorene</t>
  </si>
  <si>
    <t>KM</t>
  </si>
  <si>
    <t>EKR - TKR</t>
  </si>
  <si>
    <t>IKM</t>
  </si>
  <si>
    <t>Begge har positiv utvikling fra 19-20.</t>
  </si>
  <si>
    <t>Utvikling inntekter / kostnader</t>
  </si>
  <si>
    <t>Nåværende situasjon 2020</t>
  </si>
  <si>
    <t>Scenario 1
Reduksjon av Totalkapital (Gjennomsnitlig) med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</si>
</sst>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164" fontId="0" fillId="0" borderId="4" xfId="1" applyNumberFormat="1" applyFont="1" applyBorder="1"/>
    <xf numFmtId="0" fontId="2" fillId="0" borderId="6" xfId="0" applyFont="1" applyBorder="1"/>
    <xf numFmtId="0" fontId="0" fillId="0" borderId="1" xfId="0" applyBorder="1"/>
    <xf numFmtId="0" fontId="0" fillId="0" borderId="7" xfId="0" applyBorder="1"/>
    <xf numFmtId="0" fontId="3" fillId="0" borderId="7" xfId="0" applyFont="1" applyBorder="1"/>
    <xf numFmtId="164" fontId="0" fillId="0" borderId="9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7" xfId="1" applyNumberFormat="1" applyFont="1" applyBorder="1"/>
    <xf numFmtId="0" fontId="2" fillId="0" borderId="1" xfId="0" applyFont="1" applyBorder="1"/>
    <xf numFmtId="164" fontId="0" fillId="0" borderId="1" xfId="0" applyNumberFormat="1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5" xfId="0" applyBorder="1"/>
    <xf numFmtId="164" fontId="0" fillId="0" borderId="6" xfId="1" applyNumberFormat="1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9" fontId="0" fillId="0" borderId="1" xfId="2" applyFont="1" applyBorder="1"/>
    <xf numFmtId="9" fontId="0" fillId="0" borderId="8" xfId="2" applyFont="1" applyBorder="1"/>
    <xf numFmtId="0" fontId="4" fillId="0" borderId="1" xfId="0" applyFont="1" applyFill="1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2" fillId="0" borderId="1" xfId="0" applyFont="1" applyFill="1" applyBorder="1" applyAlignment="1">
      <alignment horizontal="right"/>
    </xf>
    <xf numFmtId="2" fontId="0" fillId="0" borderId="1" xfId="2" applyNumberFormat="1" applyFont="1" applyBorder="1"/>
    <xf numFmtId="2" fontId="0" fillId="0" borderId="8" xfId="0" applyNumberFormat="1" applyBorder="1"/>
    <xf numFmtId="9" fontId="0" fillId="0" borderId="1" xfId="2" applyFont="1" applyFill="1" applyBorder="1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vertical="center" wrapText="1"/>
    </xf>
    <xf numFmtId="0" fontId="2" fillId="4" borderId="1" xfId="0" applyFont="1" applyFill="1" applyBorder="1"/>
    <xf numFmtId="0" fontId="2" fillId="4" borderId="6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4" fillId="4" borderId="1" xfId="0" applyFont="1" applyFill="1" applyBorder="1"/>
    <xf numFmtId="0" fontId="0" fillId="4" borderId="7" xfId="0" applyFill="1" applyBorder="1"/>
    <xf numFmtId="164" fontId="0" fillId="4" borderId="9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2" fillId="4" borderId="1" xfId="0" applyFont="1" applyFill="1" applyBorder="1" applyAlignment="1">
      <alignment horizontal="right"/>
    </xf>
    <xf numFmtId="9" fontId="0" fillId="4" borderId="1" xfId="2" applyFont="1" applyFill="1" applyBorder="1"/>
    <xf numFmtId="164" fontId="0" fillId="4" borderId="7" xfId="1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2" fillId="4" borderId="8" xfId="0" applyFont="1" applyFill="1" applyBorder="1" applyAlignment="1">
      <alignment horizontal="right"/>
    </xf>
    <xf numFmtId="9" fontId="0" fillId="4" borderId="8" xfId="2" applyFont="1" applyFill="1" applyBorder="1"/>
    <xf numFmtId="0" fontId="0" fillId="4" borderId="9" xfId="0" applyFill="1" applyBorder="1"/>
    <xf numFmtId="0" fontId="0" fillId="4" borderId="6" xfId="0" applyFill="1" applyBorder="1"/>
    <xf numFmtId="0" fontId="0" fillId="4" borderId="15" xfId="0" applyFill="1" applyBorder="1"/>
    <xf numFmtId="164" fontId="0" fillId="4" borderId="1" xfId="1" applyNumberFormat="1" applyFont="1" applyFill="1" applyBorder="1"/>
    <xf numFmtId="2" fontId="0" fillId="4" borderId="1" xfId="2" applyNumberFormat="1" applyFont="1" applyFill="1" applyBorder="1"/>
    <xf numFmtId="0" fontId="3" fillId="4" borderId="7" xfId="0" applyFont="1" applyFill="1" applyBorder="1"/>
    <xf numFmtId="164" fontId="0" fillId="4" borderId="1" xfId="0" applyNumberFormat="1" applyFill="1" applyBorder="1"/>
    <xf numFmtId="0" fontId="0" fillId="4" borderId="8" xfId="0" applyFill="1" applyBorder="1"/>
    <xf numFmtId="2" fontId="0" fillId="4" borderId="8" xfId="0" applyNumberFormat="1" applyFill="1" applyBorder="1"/>
    <xf numFmtId="0" fontId="0" fillId="4" borderId="0" xfId="0" applyFill="1" applyBorder="1" applyAlignment="1"/>
    <xf numFmtId="164" fontId="0" fillId="4" borderId="7" xfId="1" applyNumberFormat="1" applyFont="1" applyFill="1" applyBorder="1"/>
    <xf numFmtId="164" fontId="0" fillId="4" borderId="4" xfId="1" applyNumberFormat="1" applyFont="1" applyFill="1" applyBorder="1"/>
    <xf numFmtId="0" fontId="0" fillId="4" borderId="15" xfId="0" applyFill="1" applyBorder="1" applyAlignment="1"/>
    <xf numFmtId="164" fontId="0" fillId="4" borderId="6" xfId="1" applyNumberFormat="1" applyFont="1" applyFill="1" applyBorder="1"/>
    <xf numFmtId="9" fontId="0" fillId="0" borderId="0" xfId="2" applyFont="1"/>
    <xf numFmtId="43" fontId="0" fillId="0" borderId="0" xfId="1" applyFont="1"/>
    <xf numFmtId="164" fontId="0" fillId="0" borderId="0" xfId="1" applyNumberFormat="1" applyFont="1"/>
    <xf numFmtId="166" fontId="0" fillId="0" borderId="0" xfId="2" applyNumberFormat="1" applyFont="1"/>
    <xf numFmtId="0" fontId="0" fillId="0" borderId="0" xfId="0" applyBorder="1"/>
    <xf numFmtId="164" fontId="0" fillId="0" borderId="0" xfId="1" applyNumberFormat="1" applyFont="1" applyBorder="1"/>
    <xf numFmtId="0" fontId="2" fillId="6" borderId="0" xfId="0" applyFont="1" applyFill="1" applyBorder="1"/>
    <xf numFmtId="0" fontId="4" fillId="6" borderId="0" xfId="0" applyFont="1" applyFill="1" applyBorder="1"/>
    <xf numFmtId="0" fontId="0" fillId="0" borderId="24" xfId="0" applyBorder="1"/>
    <xf numFmtId="166" fontId="0" fillId="0" borderId="24" xfId="2" applyNumberFormat="1" applyFont="1" applyBorder="1"/>
    <xf numFmtId="0" fontId="0" fillId="0" borderId="0" xfId="0" applyFill="1" applyBorder="1"/>
    <xf numFmtId="9" fontId="0" fillId="0" borderId="0" xfId="2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0" fillId="6" borderId="0" xfId="0" applyFill="1" applyBorder="1"/>
    <xf numFmtId="0" fontId="0" fillId="7" borderId="0" xfId="0" applyFill="1"/>
    <xf numFmtId="0" fontId="0" fillId="8" borderId="0" xfId="0" applyFill="1" applyBorder="1"/>
    <xf numFmtId="0" fontId="2" fillId="8" borderId="0" xfId="0" applyFont="1" applyFill="1" applyBorder="1"/>
    <xf numFmtId="0" fontId="4" fillId="8" borderId="0" xfId="0" applyFont="1" applyFill="1" applyBorder="1"/>
    <xf numFmtId="164" fontId="0" fillId="8" borderId="0" xfId="0" applyNumberFormat="1" applyFill="1" applyBorder="1"/>
    <xf numFmtId="164" fontId="0" fillId="8" borderId="0" xfId="1" applyNumberFormat="1" applyFont="1" applyFill="1" applyBorder="1"/>
    <xf numFmtId="0" fontId="0" fillId="8" borderId="24" xfId="0" applyFill="1" applyBorder="1"/>
    <xf numFmtId="9" fontId="0" fillId="8" borderId="24" xfId="2" applyFont="1" applyFill="1" applyBorder="1"/>
    <xf numFmtId="166" fontId="0" fillId="8" borderId="24" xfId="2" applyNumberFormat="1" applyFont="1" applyFill="1" applyBorder="1"/>
    <xf numFmtId="166" fontId="0" fillId="0" borderId="8" xfId="2" applyNumberFormat="1" applyFont="1" applyBorder="1"/>
    <xf numFmtId="166" fontId="0" fillId="0" borderId="8" xfId="2" applyNumberFormat="1" applyFont="1" applyFill="1" applyBorder="1"/>
    <xf numFmtId="0" fontId="0" fillId="8" borderId="0" xfId="0" applyFill="1"/>
    <xf numFmtId="0" fontId="6" fillId="0" borderId="0" xfId="0" applyFont="1"/>
    <xf numFmtId="9" fontId="0" fillId="0" borderId="0" xfId="0" applyNumberFormat="1"/>
    <xf numFmtId="0" fontId="5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9" fontId="2" fillId="4" borderId="3" xfId="2" applyFont="1" applyFill="1" applyBorder="1" applyAlignment="1">
      <alignment horizontal="center"/>
    </xf>
    <xf numFmtId="9" fontId="2" fillId="4" borderId="4" xfId="2" applyFont="1" applyFill="1" applyBorder="1" applyAlignment="1">
      <alignment horizontal="center"/>
    </xf>
    <xf numFmtId="9" fontId="2" fillId="4" borderId="5" xfId="2" applyFont="1" applyFill="1" applyBorder="1" applyAlignment="1">
      <alignment horizontal="center"/>
    </xf>
    <xf numFmtId="9" fontId="2" fillId="4" borderId="13" xfId="2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/>
    <xf numFmtId="165" fontId="2" fillId="4" borderId="4" xfId="1" applyNumberFormat="1" applyFont="1" applyFill="1" applyBorder="1" applyAlignment="1"/>
    <xf numFmtId="165" fontId="2" fillId="4" borderId="5" xfId="1" applyNumberFormat="1" applyFont="1" applyFill="1" applyBorder="1" applyAlignment="1"/>
    <xf numFmtId="165" fontId="2" fillId="4" borderId="13" xfId="1" applyNumberFormat="1" applyFont="1" applyFill="1" applyBorder="1" applyAlignment="1"/>
    <xf numFmtId="164" fontId="2" fillId="4" borderId="3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64" fontId="2" fillId="4" borderId="5" xfId="1" applyNumberFormat="1" applyFont="1" applyFill="1" applyBorder="1" applyAlignment="1">
      <alignment horizontal="center" vertical="center"/>
    </xf>
    <xf numFmtId="164" fontId="2" fillId="4" borderId="13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165" fontId="2" fillId="4" borderId="13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Karsten Moholt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'Selskapet Karsten Moholt AS'!$J$33</c:f>
              <c:strCache>
                <c:ptCount val="1"/>
                <c:pt idx="0">
                  <c:v>LG1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AS'!$K$32:$N$32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'Selskapet Karsten Moholt AS'!$K$33:$N$33</c:f>
              <c:numCache>
                <c:formatCode>0.00</c:formatCode>
                <c:ptCount val="4"/>
                <c:pt idx="0">
                  <c:v>0.71365990105876365</c:v>
                </c:pt>
                <c:pt idx="1">
                  <c:v>1.1657920862289037</c:v>
                </c:pt>
                <c:pt idx="2">
                  <c:v>1.1539620845561989</c:v>
                </c:pt>
                <c:pt idx="3">
                  <c:v>1.26383871185982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2-4255-8246-7AFD538A7197}"/>
            </c:ext>
          </c:extLst>
        </c:ser>
        <c:ser>
          <c:idx val="1"/>
          <c:order val="1"/>
          <c:tx>
            <c:strRef>
              <c:f>'Selskapet Karsten Moholt AS'!$J$34</c:f>
              <c:strCache>
                <c:ptCount val="1"/>
                <c:pt idx="0">
                  <c:v>LG2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AS'!$K$32:$N$32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'Selskapet Karsten Moholt AS'!$K$34:$N$34</c:f>
              <c:numCache>
                <c:formatCode>0.00</c:formatCode>
                <c:ptCount val="4"/>
                <c:pt idx="0">
                  <c:v>0.59001803134680286</c:v>
                </c:pt>
                <c:pt idx="1">
                  <c:v>0.99866685576513969</c:v>
                </c:pt>
                <c:pt idx="2">
                  <c:v>1.026107944565944</c:v>
                </c:pt>
                <c:pt idx="3">
                  <c:v>1.1651173804208106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2-4255-8246-7AFD538A71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488512"/>
        <c:axId val="648488840"/>
      </c:barChart>
      <c:catAx>
        <c:axId val="648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488840"/>
        <c:crosses val="autoZero"/>
        <c:auto val="1"/>
        <c:lblAlgn val="ctr"/>
        <c:lblOffset val="100"/>
        <c:noMultiLvlLbl val="0"/>
      </c:catAx>
      <c:valAx>
        <c:axId val="648488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64848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EKR - TKR KM vs IKM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Analyse!$J$44</c:f>
              <c:strCache>
                <c:ptCount val="1"/>
                <c:pt idx="0">
                  <c:v>KM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Analyse!$K$43:$M$43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Analyse!$K$44:$M$44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B-494D-956C-F04E952B0B0D}"/>
            </c:ext>
          </c:extLst>
        </c:ser>
        <c:ser>
          <c:idx val="2"/>
          <c:order val="2"/>
          <c:tx>
            <c:strRef>
              <c:f>Analyse!$J$45</c:f>
              <c:strCache>
                <c:ptCount val="1"/>
                <c:pt idx="0">
                  <c:v>IKM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Analyse!$K$43:$M$43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Analyse!$K$45:$M$45</c:f>
              <c:numCache>
                <c:formatCode>0%</c:formatCode>
                <c:ptCount val="3"/>
                <c:pt idx="0">
                  <c:v>3.6451161003241403E-2</c:v>
                </c:pt>
                <c:pt idx="1">
                  <c:v>0.32511684569925986</c:v>
                </c:pt>
                <c:pt idx="2">
                  <c:v>0.40869210366323649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B-494D-956C-F04E952B0B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5256"/>
        <c:axId val="951071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Analyse!$J$44</c15:sqref>
                        </c15:formulaRef>
                      </c:ext>
                    </c:extLst>
                    <c:strCache>
                      <c:ptCount val="1"/>
                      <c:pt idx="0">
                        <c:v>KM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Analyse!$K$43:$M$43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Analyse!$K$44:$M$44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35B-494D-956C-F04E952B0B0D}"/>
                  </c:ext>
                </c:extLst>
              </c15:ser>
            </c15:filteredLineSeries>
          </c:ext>
        </c:extLst>
      </c:lineChart>
      <c:catAx>
        <c:axId val="95107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1071648"/>
        <c:crosses val="autoZero"/>
        <c:auto val="1"/>
        <c:lblAlgn val="ctr"/>
        <c:lblOffset val="100"/>
        <c:noMultiLvlLbl val="0"/>
      </c:catAx>
      <c:valAx>
        <c:axId val="9510716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510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Karsten Moholt AS vs 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Grafer!$C$3</c:f>
              <c:strCache>
                <c:ptCount val="1"/>
                <c:pt idx="0">
                  <c:v>TKR (Karsten Moholt AS)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Grafer!$D$2:$G$2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Grafer!$D$3:$G$3</c:f>
              <c:numCache>
                <c:formatCode>0%</c:formatCode>
                <c:ptCount val="4"/>
                <c:pt idx="0">
                  <c:v>-3.2157338316153326E-2</c:v>
                </c:pt>
                <c:pt idx="1">
                  <c:v>-0.13259026162993079</c:v>
                </c:pt>
                <c:pt idx="2">
                  <c:v>0.10984842193380792</c:v>
                </c:pt>
                <c:pt idx="3">
                  <c:v>2.7212963362820686E-2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A-41D3-8A1F-D5FC7C011A0A}"/>
            </c:ext>
          </c:extLst>
        </c:ser>
        <c:ser>
          <c:idx val="1"/>
          <c:order val="1"/>
          <c:tx>
            <c:strRef>
              <c:f>Grafer!$C$4</c:f>
              <c:strCache>
                <c:ptCount val="1"/>
                <c:pt idx="0">
                  <c:v>EKR (Karsten Moholt AS)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Grafer!$D$2:$G$2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Grafer!$D$4:$G$4</c:f>
              <c:numCache>
                <c:formatCode>0%</c:formatCode>
                <c:ptCount val="4"/>
                <c:pt idx="0">
                  <c:v>-0.21000424185075212</c:v>
                </c:pt>
                <c:pt idx="1">
                  <c:v>-0.34440203244933432</c:v>
                </c:pt>
                <c:pt idx="2">
                  <c:v>0.23231126560770682</c:v>
                </c:pt>
                <c:pt idx="3">
                  <c:v>3.1067325528830417E-2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A-41D3-8A1F-D5FC7C011A0A}"/>
            </c:ext>
          </c:extLst>
        </c:ser>
        <c:ser>
          <c:idx val="2"/>
          <c:order val="2"/>
          <c:tx>
            <c:strRef>
              <c:f>Grafer!$C$5</c:f>
              <c:strCache>
                <c:ptCount val="1"/>
                <c:pt idx="0">
                  <c:v>TKR (IKM Elektro AS)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Grafer!$D$2:$G$2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Grafer!$D$5:$G$5</c:f>
              <c:numCache>
                <c:formatCode>0%</c:formatCode>
                <c:ptCount val="4"/>
                <c:pt idx="0">
                  <c:v>1.0559618533780468E-2</c:v>
                </c:pt>
                <c:pt idx="1">
                  <c:v>4.774502568958075E-2</c:v>
                </c:pt>
                <c:pt idx="2">
                  <c:v>4.3550042686350002E-2</c:v>
                </c:pt>
                <c:pt idx="3">
                  <c:v>2.3698398514448583E-2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A-41D3-8A1F-D5FC7C011A0A}"/>
            </c:ext>
          </c:extLst>
        </c:ser>
        <c:ser>
          <c:idx val="3"/>
          <c:order val="3"/>
          <c:tx>
            <c:strRef>
              <c:f>Grafer!$C$6</c:f>
              <c:strCache>
                <c:ptCount val="1"/>
                <c:pt idx="0">
                  <c:v>EKR (IKM Elektro AS)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Grafer!$D$2:$G$2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Grafer!$D$6:$G$6</c:f>
              <c:numCache>
                <c:formatCode>0%</c:formatCode>
                <c:ptCount val="4"/>
                <c:pt idx="0">
                  <c:v>5.6108237166732987E-2</c:v>
                </c:pt>
                <c:pt idx="1">
                  <c:v>0.45609844372059355</c:v>
                </c:pt>
                <c:pt idx="2">
                  <c:v>0.55558450581900298</c:v>
                </c:pt>
                <c:pt idx="3">
                  <c:v>0.29772450929303457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1A-41D3-8A1F-D5FC7C011A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43485688"/>
        <c:axId val="843490608"/>
      </c:barChart>
      <c:catAx>
        <c:axId val="84348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3490608"/>
        <c:crosses val="autoZero"/>
        <c:auto val="1"/>
        <c:lblAlgn val="ctr"/>
        <c:lblOffset val="100"/>
        <c:noMultiLvlLbl val="0"/>
      </c:catAx>
      <c:valAx>
        <c:axId val="843490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4348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Karsten Moholt AS vs 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Grafer!$D$10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(Grafer!$C$11:$C$12,Grafer!$C$16:$C$17)</c:f>
              <c:strCache>
                <c:ptCount val="4"/>
                <c:pt idx="0">
                  <c:v>LG1 (Karsten Moholt AS)</c:v>
                </c:pt>
                <c:pt idx="1">
                  <c:v>LG2 (Karsten Moholt AS)</c:v>
                </c:pt>
                <c:pt idx="2">
                  <c:v>LG1 (IKM Elektro AS)</c:v>
                </c:pt>
                <c:pt idx="3">
                  <c:v>LG2 (IKM Elektro AS)</c:v>
                </c:pt>
              </c:strCache>
            </c:strRef>
          </c:cat>
          <c:val>
            <c:numRef>
              <c:f>(Grafer!$D$11:$D$12,Grafer!$D$16:$D$17)</c:f>
              <c:numCache>
                <c:formatCode>_(* #,##0.00_);_(* \(#,##0.00\);_(* "-"??_);_(@_)</c:formatCode>
                <c:ptCount val="4"/>
                <c:pt idx="0">
                  <c:v>0.71365990105876365</c:v>
                </c:pt>
                <c:pt idx="1">
                  <c:v>0.59001803134680286</c:v>
                </c:pt>
                <c:pt idx="2">
                  <c:v>1.0586896960569112</c:v>
                </c:pt>
                <c:pt idx="3">
                  <c:v>1.0110714114046753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8-4479-8B5F-E67870DDD9CF}"/>
            </c:ext>
          </c:extLst>
        </c:ser>
        <c:ser>
          <c:idx val="1"/>
          <c:order val="1"/>
          <c:tx>
            <c:strRef>
              <c:f>Grafer!$E$10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(Grafer!$C$11:$C$12,Grafer!$C$16:$C$17)</c:f>
              <c:strCache>
                <c:ptCount val="4"/>
                <c:pt idx="0">
                  <c:v>LG1 (Karsten Moholt AS)</c:v>
                </c:pt>
                <c:pt idx="1">
                  <c:v>LG2 (Karsten Moholt AS)</c:v>
                </c:pt>
                <c:pt idx="2">
                  <c:v>LG1 (IKM Elektro AS)</c:v>
                </c:pt>
                <c:pt idx="3">
                  <c:v>LG2 (IKM Elektro AS)</c:v>
                </c:pt>
              </c:strCache>
            </c:strRef>
          </c:cat>
          <c:val>
            <c:numRef>
              <c:f>(Grafer!$E$11:$E$12,Grafer!$E$16:$E$17)</c:f>
              <c:numCache>
                <c:formatCode>_(* #,##0.00_);_(* \(#,##0.00\);_(* "-"??_);_(@_)</c:formatCode>
                <c:ptCount val="4"/>
                <c:pt idx="0">
                  <c:v>1.1657920862289037</c:v>
                </c:pt>
                <c:pt idx="1">
                  <c:v>0.99866685576513969</c:v>
                </c:pt>
                <c:pt idx="2">
                  <c:v>1.3718040621266427</c:v>
                </c:pt>
                <c:pt idx="3">
                  <c:v>1.3522633744855967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8-4479-8B5F-E67870DDD9CF}"/>
            </c:ext>
          </c:extLst>
        </c:ser>
        <c:ser>
          <c:idx val="2"/>
          <c:order val="2"/>
          <c:tx>
            <c:strRef>
              <c:f>Grafer!$F$10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(Grafer!$C$11:$C$12,Grafer!$C$16:$C$17)</c:f>
              <c:strCache>
                <c:ptCount val="4"/>
                <c:pt idx="0">
                  <c:v>LG1 (Karsten Moholt AS)</c:v>
                </c:pt>
                <c:pt idx="1">
                  <c:v>LG2 (Karsten Moholt AS)</c:v>
                </c:pt>
                <c:pt idx="2">
                  <c:v>LG1 (IKM Elektro AS)</c:v>
                </c:pt>
                <c:pt idx="3">
                  <c:v>LG2 (IKM Elektro AS)</c:v>
                </c:pt>
              </c:strCache>
            </c:strRef>
          </c:cat>
          <c:val>
            <c:numRef>
              <c:f>(Grafer!$F$11:$F$12,Grafer!$F$16:$F$17)</c:f>
              <c:numCache>
                <c:formatCode>_(* #,##0.00_);_(* \(#,##0.00\);_(* "-"??_);_(@_)</c:formatCode>
                <c:ptCount val="4"/>
                <c:pt idx="0">
                  <c:v>1.1539620845561989</c:v>
                </c:pt>
                <c:pt idx="1">
                  <c:v>1.026107944565944</c:v>
                </c:pt>
                <c:pt idx="2">
                  <c:v>1.1628278626147837</c:v>
                </c:pt>
                <c:pt idx="3">
                  <c:v>1.1476586677489726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8-4479-8B5F-E67870DDD9CF}"/>
            </c:ext>
          </c:extLst>
        </c:ser>
        <c:ser>
          <c:idx val="3"/>
          <c:order val="3"/>
          <c:tx>
            <c:strRef>
              <c:f>Grafer!$G$10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(Grafer!$C$11:$C$12,Grafer!$C$16:$C$17)</c:f>
              <c:strCache>
                <c:ptCount val="4"/>
                <c:pt idx="0">
                  <c:v>LG1 (Karsten Moholt AS)</c:v>
                </c:pt>
                <c:pt idx="1">
                  <c:v>LG2 (Karsten Moholt AS)</c:v>
                </c:pt>
                <c:pt idx="2">
                  <c:v>LG1 (IKM Elektro AS)</c:v>
                </c:pt>
                <c:pt idx="3">
                  <c:v>LG2 (IKM Elektro AS)</c:v>
                </c:pt>
              </c:strCache>
            </c:strRef>
          </c:cat>
          <c:val>
            <c:numRef>
              <c:f>(Grafer!$G$11:$G$12,Grafer!$G$16:$G$17)</c:f>
              <c:numCache>
                <c:formatCode>_(* #,##0.00_);_(* \(#,##0.00\);_(* "-"??_);_(@_)</c:formatCode>
                <c:ptCount val="4"/>
                <c:pt idx="0">
                  <c:v>1.26383871185982</c:v>
                </c:pt>
                <c:pt idx="1">
                  <c:v>1.1651173804208106</c:v>
                </c:pt>
                <c:pt idx="2">
                  <c:v>1.2876492537313433</c:v>
                </c:pt>
                <c:pt idx="3">
                  <c:v>1.266641791044776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A8-4479-8B5F-E67870DDD9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54538872"/>
        <c:axId val="754541496"/>
      </c:barChart>
      <c:catAx>
        <c:axId val="754538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4541496"/>
        <c:crosses val="autoZero"/>
        <c:auto val="1"/>
        <c:lblAlgn val="ctr"/>
        <c:lblOffset val="100"/>
        <c:noMultiLvlLbl val="0"/>
      </c:catAx>
      <c:valAx>
        <c:axId val="7545414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453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Karsten Moholt AS vs IKM Elektro AS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Grafer!$C$14</c:f>
              <c:strCache>
                <c:ptCount val="1"/>
                <c:pt idx="0">
                  <c:v>EK% (Karsten Moholt AS)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Grafer!$D$10:$G$10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Grafer!$D$14:$G$14</c:f>
              <c:numCache>
                <c:formatCode>0%</c:formatCode>
                <c:ptCount val="4"/>
                <c:pt idx="0">
                  <c:v>3.9813090869651672E-2</c:v>
                </c:pt>
                <c:pt idx="1">
                  <c:v>0.43166073555857382</c:v>
                </c:pt>
                <c:pt idx="2">
                  <c:v>0.40749911567032188</c:v>
                </c:pt>
                <c:pt idx="3">
                  <c:v>0.44618957319921948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5-4156-A257-1B54C5862681}"/>
            </c:ext>
          </c:extLst>
        </c:ser>
        <c:ser>
          <c:idx val="1"/>
          <c:order val="1"/>
          <c:tx>
            <c:strRef>
              <c:f>Grafer!$C$19</c:f>
              <c:strCache>
                <c:ptCount val="1"/>
                <c:pt idx="0">
                  <c:v>EK% (IKM Elektro AS)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Grafer!$D$10:$G$10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Grafer!$D$19:$G$19</c:f>
              <c:numCache>
                <c:formatCode>0%</c:formatCode>
                <c:ptCount val="4"/>
                <c:pt idx="0">
                  <c:v>0.11482981146400101</c:v>
                </c:pt>
                <c:pt idx="1">
                  <c:v>0.13241420127322806</c:v>
                </c:pt>
                <c:pt idx="2">
                  <c:v>6.5466122133967908E-2</c:v>
                </c:pt>
                <c:pt idx="3">
                  <c:v>8.8280155000412239E-2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5-4156-A257-1B54C58626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1006984"/>
        <c:axId val="861007312"/>
      </c:lineChart>
      <c:catAx>
        <c:axId val="86100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1007312"/>
        <c:crosses val="autoZero"/>
        <c:auto val="1"/>
        <c:lblAlgn val="ctr"/>
        <c:lblOffset val="100"/>
        <c:noMultiLvlLbl val="0"/>
      </c:catAx>
      <c:valAx>
        <c:axId val="8610073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6100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Karsten Moholt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'Selskapet Karsten Moholt AS'!$J$36</c:f>
              <c:strCache>
                <c:ptCount val="1"/>
                <c:pt idx="0">
                  <c:v>EK%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AS'!$K$32:$N$32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'Selskapet Karsten Moholt AS'!$K$36:$N$36</c:f>
              <c:numCache>
                <c:formatCode>0%</c:formatCode>
                <c:ptCount val="4"/>
                <c:pt idx="0">
                  <c:v>3.9813090869651672E-2</c:v>
                </c:pt>
                <c:pt idx="1">
                  <c:v>0.43166073555857382</c:v>
                </c:pt>
                <c:pt idx="2">
                  <c:v>0.40749911567032188</c:v>
                </c:pt>
                <c:pt idx="3">
                  <c:v>0.44618957319921948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6-4672-8482-A0BB76142D50}"/>
            </c:ext>
          </c:extLst>
        </c:ser>
        <c:ser>
          <c:idx val="1"/>
          <c:order val="1"/>
          <c:tx>
            <c:strRef>
              <c:f>'Selskapet Karsten Moholt AS'!$J$37</c:f>
              <c:strCache>
                <c:ptCount val="1"/>
                <c:pt idx="0">
                  <c:v>GGR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AS'!$K$32:$N$32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'Selskapet Karsten Moholt AS'!$K$37:$N$37</c:f>
              <c:numCache>
                <c:formatCode>0.00</c:formatCode>
                <c:ptCount val="4"/>
                <c:pt idx="0">
                  <c:v>2.3889981833071342E-2</c:v>
                </c:pt>
                <c:pt idx="1">
                  <c:v>2.2188993618327948E-2</c:v>
                </c:pt>
                <c:pt idx="2">
                  <c:v>1.7704206241519676E-2</c:v>
                </c:pt>
                <c:pt idx="3">
                  <c:v>2.6089869240503188E-2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6-4672-8482-A0BB76142D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76342136"/>
        <c:axId val="676342464"/>
      </c:barChart>
      <c:catAx>
        <c:axId val="676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6342464"/>
        <c:crosses val="autoZero"/>
        <c:auto val="1"/>
        <c:lblAlgn val="ctr"/>
        <c:lblOffset val="100"/>
        <c:noMultiLvlLbl val="0"/>
      </c:catAx>
      <c:valAx>
        <c:axId val="6763424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6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Karsten Moholt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'Selskapet Karsten Moholt AS'!$J$17</c:f>
              <c:strCache>
                <c:ptCount val="1"/>
                <c:pt idx="0">
                  <c:v>TKR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AS'!$K$16:$M$16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'Selskapet Karsten Moholt AS'!$K$17:$M$17</c:f>
              <c:numCache>
                <c:formatCode>0%</c:formatCode>
                <c:ptCount val="3"/>
                <c:pt idx="0">
                  <c:v>-0.15711557419988204</c:v>
                </c:pt>
                <c:pt idx="1">
                  <c:v>0.11510881521602918</c:v>
                </c:pt>
                <c:pt idx="2">
                  <c:v>2.7212963362820686E-2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0-4E96-AC32-FCB8BB0EA2E4}"/>
            </c:ext>
          </c:extLst>
        </c:ser>
        <c:ser>
          <c:idx val="1"/>
          <c:order val="1"/>
          <c:tx>
            <c:strRef>
              <c:f>'Selskapet Karsten Moholt AS'!$J$18</c:f>
              <c:strCache>
                <c:ptCount val="1"/>
                <c:pt idx="0">
                  <c:v>EKR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AS'!$K$16:$M$16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'Selskapet Karsten Moholt AS'!$K$18:$M$18</c:f>
              <c:numCache>
                <c:formatCode>0%</c:formatCode>
                <c:ptCount val="3"/>
                <c:pt idx="0">
                  <c:v>-0.67566156556922374</c:v>
                </c:pt>
                <c:pt idx="1">
                  <c:v>0.24786900514765195</c:v>
                </c:pt>
                <c:pt idx="2">
                  <c:v>3.1067325528830417E-2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D0-4E96-AC32-FCB8BB0EA2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488512"/>
        <c:axId val="648488840"/>
      </c:barChart>
      <c:catAx>
        <c:axId val="648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488840"/>
        <c:crosses val="autoZero"/>
        <c:auto val="1"/>
        <c:lblAlgn val="ctr"/>
        <c:lblOffset val="100"/>
        <c:noMultiLvlLbl val="0"/>
      </c:catAx>
      <c:valAx>
        <c:axId val="648488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848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'IKM Elektro AS'!$K$27</c:f>
              <c:strCache>
                <c:ptCount val="1"/>
                <c:pt idx="0">
                  <c:v>LG1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AS'!$L$21:$O$21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'IKM Elektro AS'!$L$27:$O$27</c:f>
              <c:numCache>
                <c:formatCode>0.00</c:formatCode>
                <c:ptCount val="4"/>
                <c:pt idx="0">
                  <c:v>1.0586896960569112</c:v>
                </c:pt>
                <c:pt idx="1">
                  <c:v>1.3718040621266427</c:v>
                </c:pt>
                <c:pt idx="2">
                  <c:v>1.1628278626147837</c:v>
                </c:pt>
                <c:pt idx="3">
                  <c:v>1.2876492537313433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0-4C5E-9B04-EBA20A7F8165}"/>
            </c:ext>
          </c:extLst>
        </c:ser>
        <c:ser>
          <c:idx val="1"/>
          <c:order val="1"/>
          <c:tx>
            <c:strRef>
              <c:f>'IKM Elektro AS'!$K$28</c:f>
              <c:strCache>
                <c:ptCount val="1"/>
                <c:pt idx="0">
                  <c:v>LG2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AS'!$L$21:$O$21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'IKM Elektro AS'!$L$28:$O$28</c:f>
              <c:numCache>
                <c:formatCode>0.00</c:formatCode>
                <c:ptCount val="4"/>
                <c:pt idx="0">
                  <c:v>1.0110714114046753</c:v>
                </c:pt>
                <c:pt idx="1">
                  <c:v>1.3522633744855967</c:v>
                </c:pt>
                <c:pt idx="2">
                  <c:v>1.1476586677489726</c:v>
                </c:pt>
                <c:pt idx="3">
                  <c:v>1.266641791044776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0-4C5E-9B04-EBA20A7F816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488512"/>
        <c:axId val="648488840"/>
      </c:barChart>
      <c:catAx>
        <c:axId val="648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488840"/>
        <c:crosses val="autoZero"/>
        <c:auto val="1"/>
        <c:lblAlgn val="ctr"/>
        <c:lblOffset val="100"/>
        <c:noMultiLvlLbl val="0"/>
      </c:catAx>
      <c:valAx>
        <c:axId val="648488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64848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'IKM Elektro AS'!$K$22</c:f>
              <c:strCache>
                <c:ptCount val="1"/>
                <c:pt idx="0">
                  <c:v>TKR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AS'!$L$21:$O$21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'IKM Elektro AS'!$L$22:$O$22</c:f>
              <c:numCache>
                <c:formatCode>0%</c:formatCode>
                <c:ptCount val="4"/>
                <c:pt idx="0">
                  <c:v>1.9657076163491587E-2</c:v>
                </c:pt>
                <c:pt idx="1">
                  <c:v>0.13098159802133369</c:v>
                </c:pt>
                <c:pt idx="2">
                  <c:v>0.14689240215576646</c:v>
                </c:pt>
                <c:pt idx="3">
                  <c:v>7.9933668724579549E-2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3-49A6-B926-AA25FE8142FD}"/>
            </c:ext>
          </c:extLst>
        </c:ser>
        <c:ser>
          <c:idx val="1"/>
          <c:order val="1"/>
          <c:tx>
            <c:strRef>
              <c:f>'IKM Elektro AS'!$K$23</c:f>
              <c:strCache>
                <c:ptCount val="1"/>
                <c:pt idx="0">
                  <c:v>EKR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'IKM Elektro AS'!$L$21:$O$21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'IKM Elektro AS'!$L$23:$O$23</c:f>
              <c:numCache>
                <c:formatCode>0.0\ %</c:formatCode>
                <c:ptCount val="4"/>
                <c:pt idx="0" formatCode="0%">
                  <c:v>5.6108237166732987E-2</c:v>
                </c:pt>
                <c:pt idx="1">
                  <c:v>0.45609844372059355</c:v>
                </c:pt>
                <c:pt idx="2">
                  <c:v>0.55558450581900298</c:v>
                </c:pt>
                <c:pt idx="3">
                  <c:v>0.29772450929303457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3-49A6-B926-AA25FE8142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1111744"/>
        <c:axId val="641107480"/>
      </c:barChart>
      <c:catAx>
        <c:axId val="6411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1107480"/>
        <c:crosses val="autoZero"/>
        <c:auto val="1"/>
        <c:lblAlgn val="ctr"/>
        <c:lblOffset val="100"/>
        <c:noMultiLvlLbl val="0"/>
      </c:catAx>
      <c:valAx>
        <c:axId val="641107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111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'IKM Elektro AS'!$K$30</c:f>
              <c:strCache>
                <c:ptCount val="1"/>
                <c:pt idx="0">
                  <c:v>EK%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AS'!$L$26:$O$26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'IKM Elektro AS'!$L$30:$O$30</c:f>
              <c:numCache>
                <c:formatCode>0%</c:formatCode>
                <c:ptCount val="4"/>
                <c:pt idx="0">
                  <c:v>0.16913614760972881</c:v>
                </c:pt>
                <c:pt idx="1">
                  <c:v>0.31662312214239058</c:v>
                </c:pt>
                <c:pt idx="2">
                  <c:v>0.20521763674119473</c:v>
                </c:pt>
                <c:pt idx="3">
                  <c:v>0.32407687651331718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8-492B-96F2-A06BD9226D1E}"/>
            </c:ext>
          </c:extLst>
        </c:ser>
        <c:ser>
          <c:idx val="1"/>
          <c:order val="1"/>
          <c:tx>
            <c:strRef>
              <c:f>'IKM Elektro AS'!$K$31</c:f>
              <c:strCache>
                <c:ptCount val="1"/>
                <c:pt idx="0">
                  <c:v>GGR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AS'!$L$26:$O$26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'IKM Elektro AS'!$L$31:$O$31</c:f>
              <c:numCache>
                <c:formatCode>0.00</c:formatCode>
                <c:ptCount val="4"/>
                <c:pt idx="0">
                  <c:v>6.9536795218944772E-3</c:v>
                </c:pt>
                <c:pt idx="1">
                  <c:v>1.4788264967476436E-2</c:v>
                </c:pt>
                <c:pt idx="2">
                  <c:v>4.0079143625386844E-3</c:v>
                </c:pt>
                <c:pt idx="3">
                  <c:v>5.1865671641791048E-3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8-492B-96F2-A06BD9226D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76342136"/>
        <c:axId val="676342464"/>
      </c:barChart>
      <c:catAx>
        <c:axId val="676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6342464"/>
        <c:crosses val="autoZero"/>
        <c:auto val="1"/>
        <c:lblAlgn val="ctr"/>
        <c:lblOffset val="100"/>
        <c:noMultiLvlLbl val="0"/>
      </c:catAx>
      <c:valAx>
        <c:axId val="6763424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6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'IKM Elektro AS'!$K$17</c:f>
              <c:strCache>
                <c:ptCount val="1"/>
                <c:pt idx="0">
                  <c:v>TKR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AS'!$L$16:$N$16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'IKM Elektro AS'!$L$17:$N$17</c:f>
              <c:numCache>
                <c:formatCode>0%</c:formatCode>
                <c:ptCount val="3"/>
                <c:pt idx="0">
                  <c:v>0.10531892838220727</c:v>
                </c:pt>
                <c:pt idx="1">
                  <c:v>0.12519457203701403</c:v>
                </c:pt>
                <c:pt idx="2">
                  <c:v>7.9933668724579549E-2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0F7-AFA3-D90FEDD25008}"/>
            </c:ext>
          </c:extLst>
        </c:ser>
        <c:ser>
          <c:idx val="1"/>
          <c:order val="1"/>
          <c:tx>
            <c:strRef>
              <c:f>'IKM Elektro AS'!$K$18</c:f>
              <c:strCache>
                <c:ptCount val="1"/>
                <c:pt idx="0">
                  <c:v>EKR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AS'!$L$16:$N$16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'IKM Elektro AS'!$L$18:$N$18</c:f>
              <c:numCache>
                <c:formatCode>0%</c:formatCode>
                <c:ptCount val="3"/>
                <c:pt idx="0">
                  <c:v>0.41789361984348056</c:v>
                </c:pt>
                <c:pt idx="1">
                  <c:v>0.46304741223307999</c:v>
                </c:pt>
                <c:pt idx="2">
                  <c:v>0.29772450929303457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0F7-AFA3-D90FEDD250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488512"/>
        <c:axId val="648488840"/>
      </c:barChart>
      <c:catAx>
        <c:axId val="648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488840"/>
        <c:crosses val="autoZero"/>
        <c:auto val="1"/>
        <c:lblAlgn val="ctr"/>
        <c:lblOffset val="100"/>
        <c:noMultiLvlLbl val="0"/>
      </c:catAx>
      <c:valAx>
        <c:axId val="648488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848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IKM Elektro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'IKM Elektro AS'!$K$17</c:f>
              <c:strCache>
                <c:ptCount val="1"/>
                <c:pt idx="0">
                  <c:v>TKR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AS'!$L$16:$N$16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'IKM Elektro AS'!$L$17:$N$17</c:f>
              <c:numCache>
                <c:formatCode>0%</c:formatCode>
                <c:ptCount val="3"/>
                <c:pt idx="0">
                  <c:v>0.10531892838220727</c:v>
                </c:pt>
                <c:pt idx="1">
                  <c:v>0.12519457203701403</c:v>
                </c:pt>
                <c:pt idx="2">
                  <c:v>7.9933668724579549E-2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9-47DD-A93B-2CF9D96F0C6B}"/>
            </c:ext>
          </c:extLst>
        </c:ser>
        <c:ser>
          <c:idx val="1"/>
          <c:order val="1"/>
          <c:tx>
            <c:strRef>
              <c:f>'IKM Elektro AS'!$K$18</c:f>
              <c:strCache>
                <c:ptCount val="1"/>
                <c:pt idx="0">
                  <c:v>EKR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'IKM Elektro AS'!$L$16:$N$16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'IKM Elektro AS'!$L$18:$N$18</c:f>
              <c:numCache>
                <c:formatCode>0%</c:formatCode>
                <c:ptCount val="3"/>
                <c:pt idx="0">
                  <c:v>0.41789361984348056</c:v>
                </c:pt>
                <c:pt idx="1">
                  <c:v>0.46304741223307999</c:v>
                </c:pt>
                <c:pt idx="2">
                  <c:v>0.29772450929303457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9-47DD-A93B-2CF9D96F0C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488512"/>
        <c:axId val="648488840"/>
      </c:barChart>
      <c:catAx>
        <c:axId val="648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488840"/>
        <c:crosses val="autoZero"/>
        <c:auto val="1"/>
        <c:lblAlgn val="ctr"/>
        <c:lblOffset val="100"/>
        <c:noMultiLvlLbl val="0"/>
      </c:catAx>
      <c:valAx>
        <c:axId val="648488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848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Karsten Moholt 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'Selskapet Karsten Moholt AS'!$J$17</c:f>
              <c:strCache>
                <c:ptCount val="1"/>
                <c:pt idx="0">
                  <c:v>TKR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AS'!$K$16:$M$16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'Selskapet Karsten Moholt AS'!$K$17:$M$17</c:f>
              <c:numCache>
                <c:formatCode>0%</c:formatCode>
                <c:ptCount val="3"/>
                <c:pt idx="0">
                  <c:v>-0.15711557419988204</c:v>
                </c:pt>
                <c:pt idx="1">
                  <c:v>0.11510881521602918</c:v>
                </c:pt>
                <c:pt idx="2">
                  <c:v>2.7212963362820686E-2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FD7-95AA-69DCC363438D}"/>
            </c:ext>
          </c:extLst>
        </c:ser>
        <c:ser>
          <c:idx val="1"/>
          <c:order val="1"/>
          <c:tx>
            <c:strRef>
              <c:f>'Selskapet Karsten Moholt AS'!$J$18</c:f>
              <c:strCache>
                <c:ptCount val="1"/>
                <c:pt idx="0">
                  <c:v>EKR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'Selskapet Karsten Moholt AS'!$K$16:$M$16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'Selskapet Karsten Moholt AS'!$K$18:$M$18</c:f>
              <c:numCache>
                <c:formatCode>0%</c:formatCode>
                <c:ptCount val="3"/>
                <c:pt idx="0">
                  <c:v>-0.67566156556922374</c:v>
                </c:pt>
                <c:pt idx="1">
                  <c:v>0.24786900514765195</c:v>
                </c:pt>
                <c:pt idx="2">
                  <c:v>3.1067325528830417E-2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FD7-95AA-69DCC36343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488512"/>
        <c:axId val="648488840"/>
      </c:barChart>
      <c:catAx>
        <c:axId val="648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488840"/>
        <c:crosses val="autoZero"/>
        <c:auto val="1"/>
        <c:lblAlgn val="ctr"/>
        <c:lblOffset val="100"/>
        <c:noMultiLvlLbl val="0"/>
      </c:catAx>
      <c:valAx>
        <c:axId val="648488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848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</xdr:colOff>
      <xdr:row>26</xdr:row>
      <xdr:rowOff>11430</xdr:rowOff>
    </xdr:from>
    <xdr:to>
      <xdr:col>20</xdr:col>
      <xdr:colOff>586740</xdr:colOff>
      <xdr:row>36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D8214D-7414-4FEB-81A5-7351CB01A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40</xdr:row>
      <xdr:rowOff>11430</xdr:rowOff>
    </xdr:from>
    <xdr:to>
      <xdr:col>20</xdr:col>
      <xdr:colOff>586740</xdr:colOff>
      <xdr:row>51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5F5E7E-100E-4243-896C-F40AC164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13</xdr:row>
      <xdr:rowOff>19050</xdr:rowOff>
    </xdr:from>
    <xdr:to>
      <xdr:col>20</xdr:col>
      <xdr:colOff>565785</xdr:colOff>
      <xdr:row>24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8E3B91-656C-41DF-9292-D7A16139C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</xdr:colOff>
      <xdr:row>20</xdr:row>
      <xdr:rowOff>144780</xdr:rowOff>
    </xdr:from>
    <xdr:to>
      <xdr:col>21</xdr:col>
      <xdr:colOff>586740</xdr:colOff>
      <xdr:row>31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F5DF8C-AE92-4AF9-B126-D04015B79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</xdr:colOff>
      <xdr:row>32</xdr:row>
      <xdr:rowOff>11430</xdr:rowOff>
    </xdr:from>
    <xdr:to>
      <xdr:col>21</xdr:col>
      <xdr:colOff>571500</xdr:colOff>
      <xdr:row>45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2B6129-A070-4010-836F-02F1BF3FD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47</xdr:row>
      <xdr:rowOff>11430</xdr:rowOff>
    </xdr:from>
    <xdr:to>
      <xdr:col>21</xdr:col>
      <xdr:colOff>586740</xdr:colOff>
      <xdr:row>58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DAC123-7E7F-470D-AD28-CE23EE78F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9525</xdr:colOff>
      <xdr:row>8</xdr:row>
      <xdr:rowOff>0</xdr:rowOff>
    </xdr:from>
    <xdr:to>
      <xdr:col>21</xdr:col>
      <xdr:colOff>565785</xdr:colOff>
      <xdr:row>18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157E13-240B-4123-A95E-5C7ED0443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175260</xdr:rowOff>
    </xdr:from>
    <xdr:to>
      <xdr:col>17</xdr:col>
      <xdr:colOff>601980</xdr:colOff>
      <xdr:row>10</xdr:row>
      <xdr:rowOff>22860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EB115AE-32C1-458F-9091-51B01E6D50E1}"/>
            </a:ext>
          </a:extLst>
        </xdr:cNvPr>
        <xdr:cNvCxnSpPr/>
      </xdr:nvCxnSpPr>
      <xdr:spPr>
        <a:xfrm flipV="1">
          <a:off x="1828800" y="1303020"/>
          <a:ext cx="1211580" cy="78486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30480</xdr:rowOff>
    </xdr:from>
    <xdr:to>
      <xdr:col>18</xdr:col>
      <xdr:colOff>7620</xdr:colOff>
      <xdr:row>15</xdr:row>
      <xdr:rowOff>22860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8B3F50F-6C09-47BA-8FB9-6E04BD661155}"/>
            </a:ext>
          </a:extLst>
        </xdr:cNvPr>
        <xdr:cNvCxnSpPr/>
      </xdr:nvCxnSpPr>
      <xdr:spPr>
        <a:xfrm>
          <a:off x="1828800" y="2095500"/>
          <a:ext cx="1226820" cy="93726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</xdr:row>
      <xdr:rowOff>15240</xdr:rowOff>
    </xdr:from>
    <xdr:to>
      <xdr:col>22</xdr:col>
      <xdr:colOff>0</xdr:colOff>
      <xdr:row>5</xdr:row>
      <xdr:rowOff>182880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7572D881-7E22-45FA-8C2D-076315AC8C16}"/>
            </a:ext>
          </a:extLst>
        </xdr:cNvPr>
        <xdr:cNvCxnSpPr/>
      </xdr:nvCxnSpPr>
      <xdr:spPr>
        <a:xfrm flipV="1">
          <a:off x="4267200" y="762000"/>
          <a:ext cx="1219200" cy="54864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601980</xdr:colOff>
      <xdr:row>6</xdr:row>
      <xdr:rowOff>7620</xdr:rowOff>
    </xdr:from>
    <xdr:to>
      <xdr:col>21</xdr:col>
      <xdr:colOff>601980</xdr:colOff>
      <xdr:row>9</xdr:row>
      <xdr:rowOff>22860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509373D7-8804-47AD-85CC-2CFFC47477F2}"/>
            </a:ext>
          </a:extLst>
        </xdr:cNvPr>
        <xdr:cNvCxnSpPr/>
      </xdr:nvCxnSpPr>
      <xdr:spPr>
        <a:xfrm>
          <a:off x="4259580" y="1325880"/>
          <a:ext cx="1219200" cy="57912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13</xdr:row>
      <xdr:rowOff>167640</xdr:rowOff>
    </xdr:from>
    <xdr:to>
      <xdr:col>22</xdr:col>
      <xdr:colOff>7620</xdr:colOff>
      <xdr:row>15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462079A-38D1-49F7-8B3C-619EECA54EA9}"/>
            </a:ext>
          </a:extLst>
        </xdr:cNvPr>
        <xdr:cNvCxnSpPr/>
      </xdr:nvCxnSpPr>
      <xdr:spPr>
        <a:xfrm flipV="1">
          <a:off x="4274820" y="2804160"/>
          <a:ext cx="1219200" cy="20574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15</xdr:row>
      <xdr:rowOff>0</xdr:rowOff>
    </xdr:from>
    <xdr:to>
      <xdr:col>22</xdr:col>
      <xdr:colOff>0</xdr:colOff>
      <xdr:row>20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7532736-E9F0-4B6E-B847-9FC8521677B3}"/>
            </a:ext>
          </a:extLst>
        </xdr:cNvPr>
        <xdr:cNvCxnSpPr/>
      </xdr:nvCxnSpPr>
      <xdr:spPr>
        <a:xfrm>
          <a:off x="4274820" y="3009900"/>
          <a:ext cx="1211580" cy="93726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175260</xdr:rowOff>
    </xdr:from>
    <xdr:to>
      <xdr:col>17</xdr:col>
      <xdr:colOff>601980</xdr:colOff>
      <xdr:row>10</xdr:row>
      <xdr:rowOff>22860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F58F7F4-4C52-45AB-9362-1DE16B737CE3}"/>
            </a:ext>
          </a:extLst>
        </xdr:cNvPr>
        <xdr:cNvCxnSpPr/>
      </xdr:nvCxnSpPr>
      <xdr:spPr>
        <a:xfrm flipV="1">
          <a:off x="14356080" y="1127760"/>
          <a:ext cx="1211580" cy="80010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30480</xdr:rowOff>
    </xdr:from>
    <xdr:to>
      <xdr:col>18</xdr:col>
      <xdr:colOff>7620</xdr:colOff>
      <xdr:row>15</xdr:row>
      <xdr:rowOff>22860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AF142DC-DD5B-4D4A-AEF6-89955FBBB108}"/>
            </a:ext>
          </a:extLst>
        </xdr:cNvPr>
        <xdr:cNvCxnSpPr/>
      </xdr:nvCxnSpPr>
      <xdr:spPr>
        <a:xfrm>
          <a:off x="14356080" y="1935480"/>
          <a:ext cx="1226820" cy="94488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</xdr:row>
      <xdr:rowOff>15240</xdr:rowOff>
    </xdr:from>
    <xdr:to>
      <xdr:col>22</xdr:col>
      <xdr:colOff>0</xdr:colOff>
      <xdr:row>5</xdr:row>
      <xdr:rowOff>182880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95D1E17-71DB-40A5-BED4-E9BF06A70532}"/>
            </a:ext>
          </a:extLst>
        </xdr:cNvPr>
        <xdr:cNvCxnSpPr/>
      </xdr:nvCxnSpPr>
      <xdr:spPr>
        <a:xfrm flipV="1">
          <a:off x="16794480" y="586740"/>
          <a:ext cx="1219200" cy="54864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601980</xdr:colOff>
      <xdr:row>6</xdr:row>
      <xdr:rowOff>7620</xdr:rowOff>
    </xdr:from>
    <xdr:to>
      <xdr:col>21</xdr:col>
      <xdr:colOff>601980</xdr:colOff>
      <xdr:row>9</xdr:row>
      <xdr:rowOff>22860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613AB10-66FA-414B-93F8-ED15A31EBC02}"/>
            </a:ext>
          </a:extLst>
        </xdr:cNvPr>
        <xdr:cNvCxnSpPr/>
      </xdr:nvCxnSpPr>
      <xdr:spPr>
        <a:xfrm>
          <a:off x="16786860" y="1150620"/>
          <a:ext cx="1219200" cy="58674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13</xdr:row>
      <xdr:rowOff>167640</xdr:rowOff>
    </xdr:from>
    <xdr:to>
      <xdr:col>22</xdr:col>
      <xdr:colOff>7620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92E293D-7236-4B7A-A6BE-E4E51EADC86E}"/>
            </a:ext>
          </a:extLst>
        </xdr:cNvPr>
        <xdr:cNvCxnSpPr/>
      </xdr:nvCxnSpPr>
      <xdr:spPr>
        <a:xfrm flipV="1">
          <a:off x="16802100" y="2644140"/>
          <a:ext cx="1219200" cy="21336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15</xdr:row>
      <xdr:rowOff>0</xdr:rowOff>
    </xdr:from>
    <xdr:to>
      <xdr:col>22</xdr:col>
      <xdr:colOff>0</xdr:colOff>
      <xdr:row>20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903C4D0-A740-406F-87D0-DDDDCC3AFF16}"/>
            </a:ext>
          </a:extLst>
        </xdr:cNvPr>
        <xdr:cNvCxnSpPr/>
      </xdr:nvCxnSpPr>
      <xdr:spPr>
        <a:xfrm>
          <a:off x="16802100" y="2857500"/>
          <a:ext cx="1211580" cy="94488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175260</xdr:rowOff>
    </xdr:from>
    <xdr:to>
      <xdr:col>17</xdr:col>
      <xdr:colOff>601980</xdr:colOff>
      <xdr:row>10</xdr:row>
      <xdr:rowOff>22860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08AA763-1A15-46B5-B631-7AA434C89B38}"/>
            </a:ext>
          </a:extLst>
        </xdr:cNvPr>
        <xdr:cNvCxnSpPr/>
      </xdr:nvCxnSpPr>
      <xdr:spPr>
        <a:xfrm flipV="1">
          <a:off x="14356080" y="1127760"/>
          <a:ext cx="1211580" cy="80010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30480</xdr:rowOff>
    </xdr:from>
    <xdr:to>
      <xdr:col>18</xdr:col>
      <xdr:colOff>7620</xdr:colOff>
      <xdr:row>15</xdr:row>
      <xdr:rowOff>22860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CB474DA-694D-4EE4-9509-448A1ED68BA3}"/>
            </a:ext>
          </a:extLst>
        </xdr:cNvPr>
        <xdr:cNvCxnSpPr/>
      </xdr:nvCxnSpPr>
      <xdr:spPr>
        <a:xfrm>
          <a:off x="14356080" y="1935480"/>
          <a:ext cx="1226820" cy="94488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</xdr:row>
      <xdr:rowOff>15240</xdr:rowOff>
    </xdr:from>
    <xdr:to>
      <xdr:col>22</xdr:col>
      <xdr:colOff>0</xdr:colOff>
      <xdr:row>5</xdr:row>
      <xdr:rowOff>182880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998F99B-A871-4928-9156-821EB7C693D4}"/>
            </a:ext>
          </a:extLst>
        </xdr:cNvPr>
        <xdr:cNvCxnSpPr/>
      </xdr:nvCxnSpPr>
      <xdr:spPr>
        <a:xfrm flipV="1">
          <a:off x="16794480" y="586740"/>
          <a:ext cx="1219200" cy="54864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601980</xdr:colOff>
      <xdr:row>6</xdr:row>
      <xdr:rowOff>7620</xdr:rowOff>
    </xdr:from>
    <xdr:to>
      <xdr:col>21</xdr:col>
      <xdr:colOff>601980</xdr:colOff>
      <xdr:row>9</xdr:row>
      <xdr:rowOff>22860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91C65EF-6BA0-4EAB-9EDA-3C83400A6996}"/>
            </a:ext>
          </a:extLst>
        </xdr:cNvPr>
        <xdr:cNvCxnSpPr/>
      </xdr:nvCxnSpPr>
      <xdr:spPr>
        <a:xfrm>
          <a:off x="16786860" y="1150620"/>
          <a:ext cx="1219200" cy="58674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13</xdr:row>
      <xdr:rowOff>167640</xdr:rowOff>
    </xdr:from>
    <xdr:to>
      <xdr:col>22</xdr:col>
      <xdr:colOff>7620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5EE2BBD-6469-4E6C-A820-B1FE8B11F500}"/>
            </a:ext>
          </a:extLst>
        </xdr:cNvPr>
        <xdr:cNvCxnSpPr/>
      </xdr:nvCxnSpPr>
      <xdr:spPr>
        <a:xfrm flipV="1">
          <a:off x="16802100" y="2644140"/>
          <a:ext cx="1219200" cy="21336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15</xdr:row>
      <xdr:rowOff>0</xdr:rowOff>
    </xdr:from>
    <xdr:to>
      <xdr:col>22</xdr:col>
      <xdr:colOff>0</xdr:colOff>
      <xdr:row>20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C3C0DD2-C326-4B76-8A6B-FF824FF870F4}"/>
            </a:ext>
          </a:extLst>
        </xdr:cNvPr>
        <xdr:cNvCxnSpPr/>
      </xdr:nvCxnSpPr>
      <xdr:spPr>
        <a:xfrm>
          <a:off x="16802100" y="2857500"/>
          <a:ext cx="1211580" cy="94488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66675</xdr:rowOff>
    </xdr:from>
    <xdr:to>
      <xdr:col>8</xdr:col>
      <xdr:colOff>543652</xdr:colOff>
      <xdr:row>37</xdr:row>
      <xdr:rowOff>105232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5CF699-E590-4E84-8535-0CEC51F72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876675"/>
          <a:ext cx="5210902" cy="3277057"/>
        </a:xfrm>
        <a:prstGeom prst="rect">
          <a:avLst/>
        </a:prstGeom>
      </xdr:spPr>
    </xdr:pic>
    <xdr:clientData/>
  </xdr:twoCellAnchor>
  <xdr:twoCellAnchor>
    <xdr:from>
      <xdr:col>23</xdr:col>
      <xdr:colOff>19050</xdr:colOff>
      <xdr:row>21</xdr:row>
      <xdr:rowOff>123824</xdr:rowOff>
    </xdr:from>
    <xdr:to>
      <xdr:col>30</xdr:col>
      <xdr:colOff>323850</xdr:colOff>
      <xdr:row>35</xdr:row>
      <xdr:rowOff>95249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117ED9B-70F3-4018-96E0-3938558A5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228600</xdr:colOff>
      <xdr:row>1</xdr:row>
      <xdr:rowOff>104775</xdr:rowOff>
    </xdr:from>
    <xdr:to>
      <xdr:col>16</xdr:col>
      <xdr:colOff>9525</xdr:colOff>
      <xdr:row>6</xdr:row>
      <xdr:rowOff>7848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A62FB66-4820-46CF-B94B-9B96FCCF0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0" y="295275"/>
          <a:ext cx="4048125" cy="855573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20</xdr:row>
      <xdr:rowOff>85726</xdr:rowOff>
    </xdr:from>
    <xdr:to>
      <xdr:col>16</xdr:col>
      <xdr:colOff>533400</xdr:colOff>
      <xdr:row>25</xdr:row>
      <xdr:rowOff>22842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5F01C73-0CFB-4A59-B899-060B71C0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05475" y="3895726"/>
          <a:ext cx="4581525" cy="889616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6</xdr:row>
      <xdr:rowOff>95250</xdr:rowOff>
    </xdr:from>
    <xdr:to>
      <xdr:col>20</xdr:col>
      <xdr:colOff>324801</xdr:colOff>
      <xdr:row>9</xdr:row>
      <xdr:rowOff>181067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ADEB033-8CF5-43AE-AEBA-3E4E13204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05475" y="1238250"/>
          <a:ext cx="6811326" cy="657317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25</xdr:row>
      <xdr:rowOff>171450</xdr:rowOff>
    </xdr:from>
    <xdr:to>
      <xdr:col>20</xdr:col>
      <xdr:colOff>114300</xdr:colOff>
      <xdr:row>29</xdr:row>
      <xdr:rowOff>50983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1CF883-01D8-41A8-BCEF-8C5040E5A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86425" y="4933950"/>
          <a:ext cx="6619875" cy="6415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76200</xdr:rowOff>
    </xdr:from>
    <xdr:to>
      <xdr:col>8</xdr:col>
      <xdr:colOff>419100</xdr:colOff>
      <xdr:row>17</xdr:row>
      <xdr:rowOff>24373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317A9A-6E3F-47FC-AD9F-2BF7A396C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575" y="266700"/>
          <a:ext cx="5267325" cy="2996173"/>
        </a:xfrm>
        <a:prstGeom prst="rect">
          <a:avLst/>
        </a:prstGeom>
      </xdr:spPr>
    </xdr:pic>
    <xdr:clientData/>
  </xdr:twoCellAnchor>
  <xdr:twoCellAnchor>
    <xdr:from>
      <xdr:col>23</xdr:col>
      <xdr:colOff>19050</xdr:colOff>
      <xdr:row>3</xdr:row>
      <xdr:rowOff>57150</xdr:rowOff>
    </xdr:from>
    <xdr:to>
      <xdr:col>30</xdr:col>
      <xdr:colOff>190500</xdr:colOff>
      <xdr:row>18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C860561-29B2-4247-B795-B7ED1F536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317501</xdr:colOff>
      <xdr:row>40</xdr:row>
      <xdr:rowOff>51858</xdr:rowOff>
    </xdr:from>
    <xdr:to>
      <xdr:col>25</xdr:col>
      <xdr:colOff>592668</xdr:colOff>
      <xdr:row>54</xdr:row>
      <xdr:rowOff>128058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D71B58-9557-4491-8364-E8B6247B8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</xdr:row>
      <xdr:rowOff>11430</xdr:rowOff>
    </xdr:from>
    <xdr:to>
      <xdr:col>16</xdr:col>
      <xdr:colOff>160020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43BF28-1809-486F-8369-3ED6C2FC2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18</xdr:row>
      <xdr:rowOff>26670</xdr:rowOff>
    </xdr:from>
    <xdr:to>
      <xdr:col>16</xdr:col>
      <xdr:colOff>121920</xdr:colOff>
      <xdr:row>33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ABE99D-F895-4447-9177-CBBD12549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35</xdr:row>
      <xdr:rowOff>19050</xdr:rowOff>
    </xdr:from>
    <xdr:to>
      <xdr:col>16</xdr:col>
      <xdr:colOff>0</xdr:colOff>
      <xdr:row>50</xdr:row>
      <xdr:rowOff>30480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EE93ED-C37D-4FF7-ABED-BA33F07C1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6839-089B-4116-8A67-30629405E823}">
  <dimension ref="A2:AB63"/>
  <sheetViews>
    <sheetView tabSelected="1" zoomScale="80" zoomScaleNormal="80" workbookViewId="0">
      <selection activeCell="A2" sqref="A2"/>
    </sheetView>
  </sheetViews>
  <sheetFormatPr defaultRowHeight="14.4" x14ac:dyDescent="0.3"/>
  <cols>
    <col min="1" max="1" width="30.88671875" customWidth="1"/>
    <col min="2" max="2" width="11.33203125" bestFit="1" customWidth="1"/>
    <col min="3" max="3" width="12.6640625" bestFit="1" customWidth="1"/>
    <col min="4" max="5" width="11.33203125" bestFit="1" customWidth="1"/>
    <col min="6" max="6" width="9.109375" customWidth="1"/>
    <col min="9" max="9" width="22.5546875" customWidth="1"/>
    <col min="10" max="10" width="20.5546875" customWidth="1"/>
    <col min="11" max="14" width="11.44140625" bestFit="1" customWidth="1"/>
  </cols>
  <sheetData>
    <row r="2" spans="9:28" x14ac:dyDescent="0.3">
      <c r="I2" s="68" t="s">
        <v>33</v>
      </c>
      <c r="J2" s="68" t="s">
        <v>35</v>
      </c>
      <c r="K2" s="68">
        <v>2017</v>
      </c>
      <c r="L2" s="68">
        <v>2018</v>
      </c>
      <c r="M2" s="68">
        <v>2019</v>
      </c>
      <c r="N2" s="69">
        <v>2020</v>
      </c>
    </row>
    <row r="3" spans="9:28" x14ac:dyDescent="0.3">
      <c r="I3" s="66" t="s">
        <v>10</v>
      </c>
      <c r="J3" s="66"/>
      <c r="K3" s="67">
        <v>-6436</v>
      </c>
      <c r="L3" s="67">
        <v>-20707</v>
      </c>
      <c r="M3" s="67">
        <v>14903</v>
      </c>
      <c r="N3" s="67">
        <v>1993</v>
      </c>
    </row>
    <row r="4" spans="9:28" x14ac:dyDescent="0.3">
      <c r="I4" s="66" t="s">
        <v>9</v>
      </c>
      <c r="J4" s="66"/>
      <c r="K4" s="67">
        <v>2538</v>
      </c>
      <c r="L4" s="67">
        <v>1662</v>
      </c>
      <c r="M4" s="67">
        <v>1631</v>
      </c>
      <c r="N4" s="67">
        <v>2103</v>
      </c>
    </row>
    <row r="5" spans="9:28" x14ac:dyDescent="0.3">
      <c r="I5" s="66" t="s">
        <v>30</v>
      </c>
      <c r="J5" s="66"/>
      <c r="K5" s="67">
        <v>110642</v>
      </c>
      <c r="L5" s="67">
        <v>131791</v>
      </c>
      <c r="M5" s="67">
        <v>155485</v>
      </c>
      <c r="N5" s="67">
        <v>145548</v>
      </c>
    </row>
    <row r="6" spans="9:28" x14ac:dyDescent="0.3">
      <c r="I6" s="66"/>
      <c r="J6" s="66"/>
      <c r="K6" s="66"/>
      <c r="L6" s="66"/>
      <c r="M6" s="66"/>
      <c r="N6" s="66"/>
    </row>
    <row r="7" spans="9:28" ht="15" thickBot="1" x14ac:dyDescent="0.35">
      <c r="I7" s="70" t="s">
        <v>33</v>
      </c>
      <c r="J7" s="70"/>
      <c r="K7" s="70"/>
      <c r="L7" s="71">
        <f>+(L3+L4)/((K5+L5)/2)</f>
        <v>-0.15711557419988204</v>
      </c>
      <c r="M7" s="71">
        <f t="shared" ref="M7:N7" si="0">+(M3+M4)/((L5+M5)/2)</f>
        <v>0.11510881521602918</v>
      </c>
      <c r="N7" s="71">
        <f t="shared" si="0"/>
        <v>2.7212963362820686E-2</v>
      </c>
    </row>
    <row r="8" spans="9:28" x14ac:dyDescent="0.3">
      <c r="I8" s="66"/>
      <c r="J8" s="66"/>
      <c r="K8" s="66"/>
      <c r="L8" s="66"/>
      <c r="M8" s="66"/>
      <c r="N8" s="66"/>
    </row>
    <row r="9" spans="9:28" x14ac:dyDescent="0.3">
      <c r="I9" s="68" t="s">
        <v>34</v>
      </c>
      <c r="J9" s="68" t="s">
        <v>35</v>
      </c>
      <c r="K9" s="68">
        <v>2017</v>
      </c>
      <c r="L9" s="68">
        <v>2018</v>
      </c>
      <c r="M9" s="68">
        <v>2019</v>
      </c>
      <c r="N9" s="69">
        <v>2020</v>
      </c>
    </row>
    <row r="10" spans="9:28" x14ac:dyDescent="0.3">
      <c r="I10" s="66" t="str">
        <f>+A37</f>
        <v>Ordinært res. før skatt</v>
      </c>
      <c r="J10" s="66"/>
      <c r="K10" s="67">
        <f>+B37</f>
        <v>-6436</v>
      </c>
      <c r="L10" s="67">
        <f t="shared" ref="L10:N10" si="1">+C37</f>
        <v>-20707</v>
      </c>
      <c r="M10" s="67">
        <f t="shared" si="1"/>
        <v>14903</v>
      </c>
      <c r="N10" s="67">
        <f t="shared" si="1"/>
        <v>1993</v>
      </c>
    </row>
    <row r="11" spans="9:28" x14ac:dyDescent="0.3">
      <c r="I11" s="66" t="s">
        <v>21</v>
      </c>
      <c r="J11" s="66"/>
      <c r="K11" s="67">
        <f>+B51</f>
        <v>4405</v>
      </c>
      <c r="L11" s="67">
        <f t="shared" ref="L11:N11" si="2">+C51</f>
        <v>56889</v>
      </c>
      <c r="M11" s="67">
        <f t="shared" si="2"/>
        <v>63360</v>
      </c>
      <c r="N11" s="67">
        <f t="shared" si="2"/>
        <v>64942</v>
      </c>
    </row>
    <row r="12" spans="9:28" x14ac:dyDescent="0.3">
      <c r="I12" s="66"/>
      <c r="J12" s="66"/>
      <c r="K12" s="66"/>
      <c r="L12" s="66"/>
      <c r="M12" s="66"/>
      <c r="N12" s="66"/>
    </row>
    <row r="13" spans="9:28" ht="15" thickBot="1" x14ac:dyDescent="0.35">
      <c r="I13" s="70" t="s">
        <v>34</v>
      </c>
      <c r="J13" s="70"/>
      <c r="K13" s="70"/>
      <c r="L13" s="71">
        <f>+L10/((K11+L11)/2)</f>
        <v>-0.67566156556922374</v>
      </c>
      <c r="M13" s="71">
        <f>+M10/((L11+M11)/2)</f>
        <v>0.24786900514765195</v>
      </c>
      <c r="N13" s="71">
        <f>+N10/((M11+N11)/2)</f>
        <v>3.1067325528830417E-2</v>
      </c>
    </row>
    <row r="14" spans="9:28" x14ac:dyDescent="0.3">
      <c r="I14" s="72"/>
      <c r="J14" s="72"/>
      <c r="K14" s="72"/>
      <c r="L14" s="72"/>
      <c r="M14" s="72"/>
      <c r="N14" s="72"/>
      <c r="V14" s="94" t="s">
        <v>65</v>
      </c>
      <c r="W14" s="95"/>
      <c r="X14" s="95"/>
      <c r="Y14" s="95"/>
      <c r="Z14" s="95"/>
      <c r="AA14" s="95"/>
      <c r="AB14" s="96"/>
    </row>
    <row r="15" spans="9:28" x14ac:dyDescent="0.3">
      <c r="J15" s="72"/>
      <c r="K15" s="72"/>
      <c r="L15" s="72"/>
      <c r="M15" s="72"/>
      <c r="N15" s="72"/>
      <c r="V15" s="97"/>
      <c r="W15" s="98"/>
      <c r="X15" s="98"/>
      <c r="Y15" s="98"/>
      <c r="Z15" s="98"/>
      <c r="AA15" s="98"/>
      <c r="AB15" s="99"/>
    </row>
    <row r="16" spans="9:28" x14ac:dyDescent="0.3">
      <c r="I16" s="76" t="s">
        <v>90</v>
      </c>
      <c r="J16" s="76" t="s">
        <v>35</v>
      </c>
      <c r="K16" s="68">
        <v>2018</v>
      </c>
      <c r="L16" s="68">
        <v>2019</v>
      </c>
      <c r="M16" s="69">
        <v>2020</v>
      </c>
      <c r="N16" s="72"/>
      <c r="V16" s="100"/>
      <c r="W16" s="101"/>
      <c r="X16" s="101"/>
      <c r="Y16" s="101"/>
      <c r="Z16" s="101"/>
      <c r="AA16" s="101"/>
      <c r="AB16" s="102"/>
    </row>
    <row r="17" spans="1:28" x14ac:dyDescent="0.3">
      <c r="I17" s="72" t="s">
        <v>33</v>
      </c>
      <c r="J17" s="74" t="s">
        <v>31</v>
      </c>
      <c r="K17" s="73">
        <f>+L7</f>
        <v>-0.15711557419988204</v>
      </c>
      <c r="L17" s="73">
        <f>+M7</f>
        <v>0.11510881521602918</v>
      </c>
      <c r="M17" s="73">
        <f>+N7</f>
        <v>2.7212963362820686E-2</v>
      </c>
      <c r="N17" s="72"/>
    </row>
    <row r="18" spans="1:28" x14ac:dyDescent="0.3">
      <c r="I18" s="72" t="s">
        <v>34</v>
      </c>
      <c r="J18" s="74" t="s">
        <v>32</v>
      </c>
      <c r="K18" s="73">
        <f>+L13</f>
        <v>-0.67566156556922374</v>
      </c>
      <c r="L18" s="73">
        <f>+M13</f>
        <v>0.24786900514765195</v>
      </c>
      <c r="M18" s="73">
        <f>+N13</f>
        <v>3.1067325528830417E-2</v>
      </c>
      <c r="N18" s="72"/>
    </row>
    <row r="19" spans="1:28" x14ac:dyDescent="0.3">
      <c r="I19" s="75"/>
      <c r="J19" s="75"/>
      <c r="K19" s="75"/>
      <c r="L19" s="75"/>
      <c r="M19" s="75"/>
      <c r="N19" s="75"/>
    </row>
    <row r="22" spans="1:28" x14ac:dyDescent="0.3">
      <c r="A22" s="68" t="s">
        <v>119</v>
      </c>
      <c r="B22" s="68">
        <v>2017</v>
      </c>
      <c r="C22" s="68">
        <v>2018</v>
      </c>
      <c r="D22" s="68">
        <v>2019</v>
      </c>
      <c r="E22" s="69">
        <v>2020</v>
      </c>
      <c r="F22" s="68" t="s">
        <v>108</v>
      </c>
    </row>
    <row r="23" spans="1:28" x14ac:dyDescent="0.3">
      <c r="A23" s="72" t="s">
        <v>106</v>
      </c>
      <c r="B23" s="74"/>
      <c r="C23" s="73">
        <f>+(C28/B28)-1</f>
        <v>-1.1502873374644951E-2</v>
      </c>
      <c r="D23" s="73">
        <f>+(D28/C28)-1</f>
        <v>0.14154701162724526</v>
      </c>
      <c r="E23" s="73">
        <f>+(E28/D28)-1</f>
        <v>-0.15959523789743035</v>
      </c>
      <c r="F23" s="73">
        <f>+(E28/B28)-1^(1/3)</f>
        <v>-5.1673869634101699E-2</v>
      </c>
      <c r="G23" s="65"/>
      <c r="H23" s="65"/>
    </row>
    <row r="24" spans="1:28" x14ac:dyDescent="0.3">
      <c r="A24" s="72" t="s">
        <v>107</v>
      </c>
      <c r="B24" s="74"/>
      <c r="C24" s="73">
        <f>+(C33/B33)-1</f>
        <v>-4.9723583926718384E-2</v>
      </c>
      <c r="D24" s="73">
        <f t="shared" ref="D24:E24" si="3">+(D33/C33)-1</f>
        <v>0.19977972220522555</v>
      </c>
      <c r="E24" s="73">
        <f t="shared" si="3"/>
        <v>-0.20138169663873462</v>
      </c>
      <c r="F24" s="73">
        <f>+(E33/B33)-1^(1/3)</f>
        <v>-8.9477403656922028E-2</v>
      </c>
      <c r="G24" s="65"/>
      <c r="H24" s="65"/>
    </row>
    <row r="26" spans="1:28" ht="15" thickBot="1" x14ac:dyDescent="0.35">
      <c r="A26" t="s">
        <v>26</v>
      </c>
      <c r="C26" s="1"/>
      <c r="D26" s="1"/>
      <c r="E26" s="1"/>
      <c r="I26" s="91"/>
      <c r="J26" s="72"/>
      <c r="K26" s="72"/>
      <c r="L26" s="72"/>
      <c r="M26" s="72"/>
      <c r="N26" s="72"/>
    </row>
    <row r="27" spans="1:28" ht="15" thickBot="1" x14ac:dyDescent="0.35">
      <c r="A27" s="12" t="s">
        <v>0</v>
      </c>
      <c r="B27" s="12">
        <v>2017</v>
      </c>
      <c r="C27" s="12">
        <v>2018</v>
      </c>
      <c r="D27" s="12">
        <v>2019</v>
      </c>
      <c r="E27" s="5">
        <v>2020</v>
      </c>
      <c r="I27" s="72"/>
      <c r="J27" s="72"/>
      <c r="K27" s="92"/>
      <c r="L27" s="92"/>
      <c r="M27" s="92"/>
      <c r="N27" s="93"/>
    </row>
    <row r="28" spans="1:28" x14ac:dyDescent="0.3">
      <c r="A28" s="7" t="s">
        <v>1</v>
      </c>
      <c r="B28" s="9">
        <v>213338</v>
      </c>
      <c r="C28" s="9">
        <v>210884</v>
      </c>
      <c r="D28" s="9">
        <v>240734</v>
      </c>
      <c r="E28" s="9">
        <v>202314</v>
      </c>
      <c r="I28" s="72"/>
      <c r="J28" s="74"/>
      <c r="K28" s="73"/>
      <c r="L28" s="73"/>
      <c r="M28" s="73"/>
      <c r="N28" s="73"/>
      <c r="V28" s="136" t="s">
        <v>66</v>
      </c>
      <c r="W28" s="137"/>
      <c r="X28" s="137"/>
      <c r="Y28" s="137"/>
      <c r="Z28" s="137"/>
      <c r="AA28" s="137"/>
      <c r="AB28" s="138"/>
    </row>
    <row r="29" spans="1:28" x14ac:dyDescent="0.3">
      <c r="A29" s="7" t="s">
        <v>2</v>
      </c>
      <c r="B29" s="10">
        <v>67548</v>
      </c>
      <c r="C29" s="10">
        <v>69639</v>
      </c>
      <c r="D29" s="10">
        <v>70359</v>
      </c>
      <c r="E29" s="10">
        <v>55081</v>
      </c>
      <c r="I29" s="72"/>
      <c r="J29" s="74"/>
      <c r="K29" s="73"/>
      <c r="L29" s="73"/>
      <c r="M29" s="73"/>
      <c r="N29" s="73"/>
      <c r="V29" s="139"/>
      <c r="W29" s="140"/>
      <c r="X29" s="140"/>
      <c r="Y29" s="140"/>
      <c r="Z29" s="140"/>
      <c r="AA29" s="140"/>
      <c r="AB29" s="141"/>
    </row>
    <row r="30" spans="1:28" x14ac:dyDescent="0.3">
      <c r="A30" s="7" t="s">
        <v>3</v>
      </c>
      <c r="B30" s="10">
        <v>107244</v>
      </c>
      <c r="C30" s="10">
        <v>104926</v>
      </c>
      <c r="D30" s="10">
        <v>122306</v>
      </c>
      <c r="E30" s="10">
        <v>106945</v>
      </c>
      <c r="V30" s="142"/>
      <c r="W30" s="143"/>
      <c r="X30" s="143"/>
      <c r="Y30" s="143"/>
      <c r="Z30" s="143"/>
      <c r="AA30" s="143"/>
      <c r="AB30" s="144"/>
    </row>
    <row r="31" spans="1:28" ht="15" thickBot="1" x14ac:dyDescent="0.35">
      <c r="A31" s="7" t="s">
        <v>4</v>
      </c>
      <c r="B31" s="10">
        <v>11120</v>
      </c>
      <c r="C31" s="10">
        <v>5350</v>
      </c>
      <c r="D31" s="10">
        <v>26415</v>
      </c>
      <c r="E31" s="10">
        <v>6634</v>
      </c>
      <c r="I31" s="89"/>
    </row>
    <row r="32" spans="1:28" ht="15" thickBot="1" x14ac:dyDescent="0.35">
      <c r="A32" s="7" t="s">
        <v>5</v>
      </c>
      <c r="B32" s="10">
        <v>37664</v>
      </c>
      <c r="C32" s="10">
        <v>32544</v>
      </c>
      <c r="D32" s="10">
        <v>35824</v>
      </c>
      <c r="E32" s="10">
        <v>34911</v>
      </c>
      <c r="I32" s="25"/>
      <c r="J32" s="24" t="s">
        <v>35</v>
      </c>
      <c r="K32" s="12">
        <v>2017</v>
      </c>
      <c r="L32" s="12">
        <v>2018</v>
      </c>
      <c r="M32" s="12">
        <v>2019</v>
      </c>
      <c r="N32" s="23">
        <v>2020</v>
      </c>
    </row>
    <row r="33" spans="1:28" ht="15" thickBot="1" x14ac:dyDescent="0.35">
      <c r="A33" s="15" t="s">
        <v>6</v>
      </c>
      <c r="B33" s="14">
        <f>SUM(B29:B32)</f>
        <v>223576</v>
      </c>
      <c r="C33" s="14">
        <f>SUM(C29:C32)</f>
        <v>212459</v>
      </c>
      <c r="D33" s="14">
        <f t="shared" ref="D33:E33" si="4">SUM(D29:D32)</f>
        <v>254904</v>
      </c>
      <c r="E33" s="14">
        <f t="shared" si="4"/>
        <v>203571</v>
      </c>
      <c r="I33" s="7" t="s">
        <v>36</v>
      </c>
      <c r="J33" s="20" t="s">
        <v>41</v>
      </c>
      <c r="K33" s="28">
        <f>B49/B55</f>
        <v>0.71365990105876365</v>
      </c>
      <c r="L33" s="28">
        <f t="shared" ref="L33:N33" si="5">C49/C55</f>
        <v>1.1657920862289037</v>
      </c>
      <c r="M33" s="28">
        <f t="shared" si="5"/>
        <v>1.1539620845561989</v>
      </c>
      <c r="N33" s="28">
        <f t="shared" si="5"/>
        <v>1.26383871185982</v>
      </c>
    </row>
    <row r="34" spans="1:28" ht="15" thickBot="1" x14ac:dyDescent="0.35">
      <c r="A34" s="8" t="s">
        <v>7</v>
      </c>
      <c r="B34" s="10">
        <v>-5752</v>
      </c>
      <c r="C34" s="10">
        <v>-22641</v>
      </c>
      <c r="D34" s="10">
        <v>6894</v>
      </c>
      <c r="E34" s="10">
        <v>-5743</v>
      </c>
      <c r="I34" s="7" t="s">
        <v>37</v>
      </c>
      <c r="J34" s="20" t="s">
        <v>42</v>
      </c>
      <c r="K34" s="28">
        <f>(B49-B44)/B55</f>
        <v>0.59001803134680286</v>
      </c>
      <c r="L34" s="28">
        <f t="shared" ref="L34:M34" si="6">(C49-C44)/C55</f>
        <v>0.99866685576513969</v>
      </c>
      <c r="M34" s="28">
        <f t="shared" si="6"/>
        <v>1.026107944565944</v>
      </c>
      <c r="N34" s="28">
        <f>(E49-E44)/E55</f>
        <v>1.1651173804208106</v>
      </c>
    </row>
    <row r="35" spans="1:28" ht="15" thickBot="1" x14ac:dyDescent="0.35">
      <c r="A35" s="7" t="s">
        <v>8</v>
      </c>
      <c r="B35" s="10">
        <v>1854</v>
      </c>
      <c r="C35" s="10">
        <v>3596</v>
      </c>
      <c r="D35" s="10">
        <v>9640</v>
      </c>
      <c r="E35" s="10">
        <v>9839</v>
      </c>
      <c r="I35" s="7" t="s">
        <v>38</v>
      </c>
      <c r="J35" s="27" t="s">
        <v>43</v>
      </c>
      <c r="K35" s="14">
        <f>B49-B55</f>
        <v>-24773</v>
      </c>
      <c r="L35" s="14">
        <f t="shared" ref="L35:N35" si="7">C49-C55</f>
        <v>11690</v>
      </c>
      <c r="M35" s="14">
        <f t="shared" si="7"/>
        <v>13587</v>
      </c>
      <c r="N35" s="14">
        <f t="shared" si="7"/>
        <v>19499</v>
      </c>
    </row>
    <row r="36" spans="1:28" ht="15" thickBot="1" x14ac:dyDescent="0.35">
      <c r="A36" s="7" t="s">
        <v>9</v>
      </c>
      <c r="B36" s="10">
        <v>2538</v>
      </c>
      <c r="C36" s="10">
        <v>1662</v>
      </c>
      <c r="D36" s="10">
        <v>1631</v>
      </c>
      <c r="E36" s="10">
        <v>2103</v>
      </c>
      <c r="I36" s="7" t="s">
        <v>39</v>
      </c>
      <c r="J36" s="20" t="s">
        <v>44</v>
      </c>
      <c r="K36" s="21">
        <f>B51/B57</f>
        <v>3.9813090869651672E-2</v>
      </c>
      <c r="L36" s="21">
        <f>C51/C57</f>
        <v>0.43166073555857382</v>
      </c>
      <c r="M36" s="21">
        <f t="shared" ref="M36:N36" si="8">D51/D57</f>
        <v>0.40749911567032188</v>
      </c>
      <c r="N36" s="21">
        <f t="shared" si="8"/>
        <v>0.44618957319921948</v>
      </c>
    </row>
    <row r="37" spans="1:28" ht="15" thickBot="1" x14ac:dyDescent="0.35">
      <c r="A37" s="16" t="s">
        <v>10</v>
      </c>
      <c r="B37" s="13">
        <f>B34+B35-B36</f>
        <v>-6436</v>
      </c>
      <c r="C37" s="13">
        <f>C34+C35-C36</f>
        <v>-20707</v>
      </c>
      <c r="D37" s="13">
        <f t="shared" ref="D37:E37" si="9">D34+D35-D36</f>
        <v>14903</v>
      </c>
      <c r="E37" s="13">
        <f t="shared" si="9"/>
        <v>1993</v>
      </c>
      <c r="I37" s="26" t="s">
        <v>40</v>
      </c>
      <c r="J37" s="19" t="s">
        <v>45</v>
      </c>
      <c r="K37" s="29">
        <f>B36/(B52+B55)</f>
        <v>2.3889981833071342E-2</v>
      </c>
      <c r="L37" s="29">
        <f t="shared" ref="L37:N37" si="10">C36/(C52+C55)</f>
        <v>2.2188993618327948E-2</v>
      </c>
      <c r="M37" s="29">
        <f>D36/(D52+D55)</f>
        <v>1.7704206241519676E-2</v>
      </c>
      <c r="N37" s="29">
        <f t="shared" si="10"/>
        <v>2.6089869240503188E-2</v>
      </c>
    </row>
    <row r="38" spans="1:28" ht="15" thickBot="1" x14ac:dyDescent="0.35">
      <c r="A38" s="7" t="s">
        <v>11</v>
      </c>
      <c r="B38" s="10">
        <v>-1096</v>
      </c>
      <c r="C38" s="10">
        <v>-4661</v>
      </c>
      <c r="D38" s="10">
        <v>8433</v>
      </c>
      <c r="E38" s="10">
        <v>412</v>
      </c>
    </row>
    <row r="39" spans="1:28" ht="15" thickBot="1" x14ac:dyDescent="0.35">
      <c r="A39" s="15" t="s">
        <v>12</v>
      </c>
      <c r="B39" s="13">
        <f>B37-B38</f>
        <v>-5340</v>
      </c>
      <c r="C39" s="13">
        <f t="shared" ref="C39:E39" si="11">C37-C38</f>
        <v>-16046</v>
      </c>
      <c r="D39" s="13">
        <f t="shared" si="11"/>
        <v>6470</v>
      </c>
      <c r="E39" s="13">
        <f t="shared" si="11"/>
        <v>1581</v>
      </c>
      <c r="I39" s="130" t="s">
        <v>46</v>
      </c>
      <c r="J39" s="133" t="s">
        <v>35</v>
      </c>
      <c r="K39" s="133"/>
      <c r="L39" s="133"/>
      <c r="M39" s="133"/>
      <c r="N39" s="134"/>
    </row>
    <row r="40" spans="1:28" x14ac:dyDescent="0.3">
      <c r="I40" s="131"/>
      <c r="J40" s="135" t="s">
        <v>47</v>
      </c>
      <c r="K40" s="98" t="s">
        <v>48</v>
      </c>
      <c r="L40" s="104" t="s">
        <v>49</v>
      </c>
      <c r="M40" s="105">
        <f>((D44+E44)/2)*365</f>
        <v>3390667.5</v>
      </c>
      <c r="N40" s="107">
        <f>M40/M42</f>
        <v>61.557842087108078</v>
      </c>
    </row>
    <row r="41" spans="1:28" ht="15" thickBot="1" x14ac:dyDescent="0.35">
      <c r="A41" t="s">
        <v>27</v>
      </c>
      <c r="I41" s="131"/>
      <c r="J41" s="135"/>
      <c r="K41" s="98"/>
      <c r="L41" s="98"/>
      <c r="M41" s="106"/>
      <c r="N41" s="108"/>
      <c r="V41" s="94" t="s">
        <v>67</v>
      </c>
      <c r="W41" s="110"/>
      <c r="X41" s="110"/>
      <c r="Y41" s="110"/>
      <c r="Z41" s="110"/>
      <c r="AA41" s="110"/>
      <c r="AB41" s="111"/>
    </row>
    <row r="42" spans="1:28" ht="15" thickBot="1" x14ac:dyDescent="0.35">
      <c r="A42" s="12" t="s">
        <v>28</v>
      </c>
      <c r="B42" s="12">
        <v>2017</v>
      </c>
      <c r="C42" s="12">
        <v>2018</v>
      </c>
      <c r="D42" s="12">
        <v>2019</v>
      </c>
      <c r="E42" s="5">
        <v>2020</v>
      </c>
      <c r="I42" s="131"/>
      <c r="J42" s="118" t="s">
        <v>2</v>
      </c>
      <c r="K42" s="98"/>
      <c r="L42" s="98"/>
      <c r="M42" s="105">
        <f>E29</f>
        <v>55081</v>
      </c>
      <c r="N42" s="108"/>
      <c r="V42" s="112"/>
      <c r="W42" s="113"/>
      <c r="X42" s="113"/>
      <c r="Y42" s="113"/>
      <c r="Z42" s="113"/>
      <c r="AA42" s="113"/>
      <c r="AB42" s="114"/>
    </row>
    <row r="43" spans="1:28" ht="15" thickBot="1" x14ac:dyDescent="0.35">
      <c r="A43" s="7" t="s">
        <v>13</v>
      </c>
      <c r="B43" s="11">
        <v>48899</v>
      </c>
      <c r="C43" s="11">
        <v>49591</v>
      </c>
      <c r="D43" s="11">
        <v>53649</v>
      </c>
      <c r="E43" s="4">
        <v>52144</v>
      </c>
      <c r="I43" s="132"/>
      <c r="J43" s="119"/>
      <c r="K43" s="103"/>
      <c r="L43" s="103"/>
      <c r="M43" s="106"/>
      <c r="N43" s="109"/>
      <c r="V43" s="112"/>
      <c r="W43" s="113"/>
      <c r="X43" s="113"/>
      <c r="Y43" s="113"/>
      <c r="Z43" s="113"/>
      <c r="AA43" s="113"/>
      <c r="AB43" s="114"/>
    </row>
    <row r="44" spans="1:28" x14ac:dyDescent="0.3">
      <c r="A44" s="7" t="s">
        <v>14</v>
      </c>
      <c r="B44" s="11">
        <v>10697</v>
      </c>
      <c r="C44" s="11">
        <v>11784</v>
      </c>
      <c r="D44" s="11">
        <v>11283</v>
      </c>
      <c r="E44" s="4">
        <v>7296</v>
      </c>
      <c r="V44" s="115"/>
      <c r="W44" s="116"/>
      <c r="X44" s="116"/>
      <c r="Y44" s="116"/>
      <c r="Z44" s="116"/>
      <c r="AA44" s="116"/>
      <c r="AB44" s="117"/>
    </row>
    <row r="45" spans="1:28" ht="15" thickBot="1" x14ac:dyDescent="0.35">
      <c r="A45" s="7" t="s">
        <v>15</v>
      </c>
      <c r="B45" s="11">
        <v>45146</v>
      </c>
      <c r="C45" s="11">
        <v>52268</v>
      </c>
      <c r="D45" s="11">
        <v>64496</v>
      </c>
      <c r="E45" s="4">
        <v>35159</v>
      </c>
    </row>
    <row r="46" spans="1:28" ht="15" thickBot="1" x14ac:dyDescent="0.35">
      <c r="A46" s="7" t="s">
        <v>16</v>
      </c>
      <c r="B46" s="11">
        <v>0</v>
      </c>
      <c r="C46" s="11">
        <v>13776</v>
      </c>
      <c r="D46" s="11">
        <v>11399</v>
      </c>
      <c r="E46" s="4">
        <v>9366</v>
      </c>
      <c r="I46" s="130" t="s">
        <v>50</v>
      </c>
      <c r="J46" s="133" t="s">
        <v>35</v>
      </c>
      <c r="K46" s="133"/>
      <c r="L46" s="133"/>
      <c r="M46" s="133"/>
      <c r="N46" s="134"/>
    </row>
    <row r="47" spans="1:28" x14ac:dyDescent="0.3">
      <c r="A47" s="7" t="s">
        <v>17</v>
      </c>
      <c r="B47" s="11">
        <f>SUM(B45:B46)</f>
        <v>45146</v>
      </c>
      <c r="C47" s="11">
        <f t="shared" ref="C47:E47" si="12">SUM(C45:C46)</f>
        <v>66044</v>
      </c>
      <c r="D47" s="11">
        <f t="shared" si="12"/>
        <v>75895</v>
      </c>
      <c r="E47" s="4">
        <f t="shared" si="12"/>
        <v>44525</v>
      </c>
      <c r="I47" s="131"/>
      <c r="J47" s="135" t="s">
        <v>51</v>
      </c>
      <c r="K47" s="98" t="s">
        <v>48</v>
      </c>
      <c r="L47" s="104" t="s">
        <v>49</v>
      </c>
      <c r="M47" s="105">
        <f>((D45+E45)/2)*365</f>
        <v>18187037.5</v>
      </c>
      <c r="N47" s="107">
        <f>M47/M49</f>
        <v>71.916080943483891</v>
      </c>
    </row>
    <row r="48" spans="1:28" ht="15" thickBot="1" x14ac:dyDescent="0.35">
      <c r="A48" s="7" t="s">
        <v>18</v>
      </c>
      <c r="B48" s="11">
        <v>4061</v>
      </c>
      <c r="C48" s="11">
        <v>3293</v>
      </c>
      <c r="D48" s="11">
        <v>9970</v>
      </c>
      <c r="E48" s="4">
        <v>25942</v>
      </c>
      <c r="I48" s="131"/>
      <c r="J48" s="135"/>
      <c r="K48" s="98"/>
      <c r="L48" s="98"/>
      <c r="M48" s="106"/>
      <c r="N48" s="108"/>
    </row>
    <row r="49" spans="1:14" x14ac:dyDescent="0.3">
      <c r="A49" s="7" t="s">
        <v>19</v>
      </c>
      <c r="B49" s="11">
        <v>61743</v>
      </c>
      <c r="C49" s="11">
        <v>82200</v>
      </c>
      <c r="D49" s="11">
        <v>101836</v>
      </c>
      <c r="E49" s="4">
        <v>93404</v>
      </c>
      <c r="I49" s="131"/>
      <c r="J49" s="118" t="s">
        <v>52</v>
      </c>
      <c r="K49" s="98"/>
      <c r="L49" s="98"/>
      <c r="M49" s="105">
        <f>E28*1.25</f>
        <v>252892.5</v>
      </c>
      <c r="N49" s="108"/>
    </row>
    <row r="50" spans="1:14" ht="15" thickBot="1" x14ac:dyDescent="0.35">
      <c r="A50" s="7" t="s">
        <v>20</v>
      </c>
      <c r="B50" s="11">
        <v>110642</v>
      </c>
      <c r="C50" s="11">
        <v>131791</v>
      </c>
      <c r="D50" s="11">
        <v>155485</v>
      </c>
      <c r="E50" s="4">
        <v>145548</v>
      </c>
      <c r="I50" s="132"/>
      <c r="J50" s="119"/>
      <c r="K50" s="103"/>
      <c r="L50" s="103"/>
      <c r="M50" s="106"/>
      <c r="N50" s="109"/>
    </row>
    <row r="51" spans="1:14" ht="15" thickBot="1" x14ac:dyDescent="0.35">
      <c r="A51" s="7" t="s">
        <v>21</v>
      </c>
      <c r="B51" s="11">
        <v>4405</v>
      </c>
      <c r="C51" s="11">
        <v>56889</v>
      </c>
      <c r="D51" s="11">
        <v>63360</v>
      </c>
      <c r="E51" s="4">
        <v>64942</v>
      </c>
    </row>
    <row r="52" spans="1:14" ht="15" thickBot="1" x14ac:dyDescent="0.35">
      <c r="A52" s="7" t="s">
        <v>22</v>
      </c>
      <c r="B52" s="11">
        <v>19721</v>
      </c>
      <c r="C52" s="11">
        <v>4392</v>
      </c>
      <c r="D52" s="11">
        <v>3876</v>
      </c>
      <c r="E52" s="4">
        <v>6701</v>
      </c>
      <c r="I52" s="130" t="s">
        <v>53</v>
      </c>
      <c r="J52" s="133" t="s">
        <v>35</v>
      </c>
      <c r="K52" s="133"/>
      <c r="L52" s="133"/>
      <c r="M52" s="133"/>
      <c r="N52" s="134"/>
    </row>
    <row r="53" spans="1:14" x14ac:dyDescent="0.3">
      <c r="A53" s="7" t="s">
        <v>29</v>
      </c>
      <c r="B53" s="11">
        <v>8586</v>
      </c>
      <c r="C53" s="11">
        <v>8651</v>
      </c>
      <c r="D53" s="11">
        <v>0</v>
      </c>
      <c r="E53" s="4">
        <v>0</v>
      </c>
      <c r="I53" s="131"/>
      <c r="J53" s="135" t="s">
        <v>54</v>
      </c>
      <c r="K53" s="98" t="s">
        <v>48</v>
      </c>
      <c r="L53" s="104" t="s">
        <v>49</v>
      </c>
      <c r="M53" s="105">
        <f>((D54+E54)/2)*365</f>
        <v>5141390</v>
      </c>
      <c r="N53" s="107">
        <f>M53/M55</f>
        <v>80.500880729635568</v>
      </c>
    </row>
    <row r="54" spans="1:14" ht="15" thickBot="1" x14ac:dyDescent="0.35">
      <c r="A54" s="7" t="s">
        <v>23</v>
      </c>
      <c r="B54" s="11">
        <v>6867</v>
      </c>
      <c r="C54" s="11">
        <v>7834</v>
      </c>
      <c r="D54" s="11">
        <v>10133</v>
      </c>
      <c r="E54" s="4">
        <v>18039</v>
      </c>
      <c r="I54" s="131"/>
      <c r="J54" s="135"/>
      <c r="K54" s="98"/>
      <c r="L54" s="98"/>
      <c r="M54" s="106"/>
      <c r="N54" s="108"/>
    </row>
    <row r="55" spans="1:14" x14ac:dyDescent="0.3">
      <c r="A55" s="7" t="s">
        <v>24</v>
      </c>
      <c r="B55" s="11">
        <v>86516</v>
      </c>
      <c r="C55" s="11">
        <v>70510</v>
      </c>
      <c r="D55" s="11">
        <v>88249</v>
      </c>
      <c r="E55" s="4">
        <v>73905</v>
      </c>
      <c r="I55" s="131"/>
      <c r="J55" s="118" t="s">
        <v>55</v>
      </c>
      <c r="K55" s="98"/>
      <c r="L55" s="98"/>
      <c r="M55" s="105">
        <f>(E44-D44+E29)*1.25</f>
        <v>63867.5</v>
      </c>
      <c r="N55" s="108"/>
    </row>
    <row r="56" spans="1:14" ht="15" customHeight="1" thickBot="1" x14ac:dyDescent="0.35">
      <c r="A56" s="7" t="s">
        <v>25</v>
      </c>
      <c r="B56" s="11">
        <v>106237</v>
      </c>
      <c r="C56" s="11">
        <v>74902</v>
      </c>
      <c r="D56" s="11">
        <v>92125</v>
      </c>
      <c r="E56" s="4">
        <v>80606</v>
      </c>
      <c r="I56" s="132"/>
      <c r="J56" s="119"/>
      <c r="K56" s="103"/>
      <c r="L56" s="103"/>
      <c r="M56" s="106"/>
      <c r="N56" s="109"/>
    </row>
    <row r="57" spans="1:14" ht="15" thickBot="1" x14ac:dyDescent="0.35">
      <c r="A57" s="15" t="s">
        <v>30</v>
      </c>
      <c r="B57" s="14">
        <v>110642</v>
      </c>
      <c r="C57" s="14">
        <v>131791</v>
      </c>
      <c r="D57" s="14">
        <v>155485</v>
      </c>
      <c r="E57" s="18">
        <v>145548</v>
      </c>
    </row>
    <row r="58" spans="1:14" ht="15" thickBot="1" x14ac:dyDescent="0.35">
      <c r="I58" s="120" t="s">
        <v>56</v>
      </c>
      <c r="J58" s="122" t="s">
        <v>57</v>
      </c>
      <c r="K58" s="104" t="s">
        <v>49</v>
      </c>
      <c r="L58" s="124">
        <f>N40+N47-N53</f>
        <v>52.973042300956408</v>
      </c>
      <c r="M58" s="125"/>
      <c r="N58" s="126"/>
    </row>
    <row r="59" spans="1:14" ht="15" thickBot="1" x14ac:dyDescent="0.35">
      <c r="B59" s="12">
        <v>2017</v>
      </c>
      <c r="C59" s="12">
        <v>2018</v>
      </c>
      <c r="D59" s="12">
        <v>2019</v>
      </c>
      <c r="E59" s="5">
        <v>2020</v>
      </c>
      <c r="I59" s="121"/>
      <c r="J59" s="123"/>
      <c r="K59" s="103"/>
      <c r="L59" s="127"/>
      <c r="M59" s="128"/>
      <c r="N59" s="129"/>
    </row>
    <row r="60" spans="1:14" x14ac:dyDescent="0.3">
      <c r="A60" t="s">
        <v>97</v>
      </c>
      <c r="B60" s="62">
        <f>+B29/B$33</f>
        <v>0.30212545174795147</v>
      </c>
      <c r="C60" s="62">
        <f t="shared" ref="C60:E60" si="13">+C29/C$33</f>
        <v>0.32777618269877951</v>
      </c>
      <c r="D60" s="62">
        <f t="shared" si="13"/>
        <v>0.27602156105828074</v>
      </c>
      <c r="E60" s="62">
        <f t="shared" si="13"/>
        <v>0.27057390296260275</v>
      </c>
    </row>
    <row r="61" spans="1:14" x14ac:dyDescent="0.3">
      <c r="A61" t="s">
        <v>96</v>
      </c>
      <c r="B61" s="62">
        <f t="shared" ref="B61:D61" si="14">+B30/B$33</f>
        <v>0.47967581493541345</v>
      </c>
      <c r="C61" s="62">
        <f t="shared" si="14"/>
        <v>0.49386469860067117</v>
      </c>
      <c r="D61" s="62">
        <f t="shared" si="14"/>
        <v>0.47981200765778487</v>
      </c>
      <c r="E61" s="62">
        <f>+E30/E$33</f>
        <v>0.52534496563852418</v>
      </c>
    </row>
    <row r="62" spans="1:14" x14ac:dyDescent="0.3">
      <c r="A62" t="s">
        <v>98</v>
      </c>
      <c r="B62" s="62">
        <f t="shared" ref="B62:B63" si="15">+B31/B$33</f>
        <v>4.9737002182702973E-2</v>
      </c>
      <c r="C62" s="62">
        <f t="shared" ref="C62:E62" si="16">+C31/C$33</f>
        <v>2.5181329103497616E-2</v>
      </c>
      <c r="D62" s="62">
        <f t="shared" si="16"/>
        <v>0.10362724790509369</v>
      </c>
      <c r="E62" s="62">
        <f t="shared" si="16"/>
        <v>3.2588138782046562E-2</v>
      </c>
    </row>
    <row r="63" spans="1:14" x14ac:dyDescent="0.3">
      <c r="A63" t="s">
        <v>99</v>
      </c>
      <c r="B63" s="62">
        <f t="shared" si="15"/>
        <v>0.16846173113393209</v>
      </c>
      <c r="C63" s="62">
        <f t="shared" ref="C63:E63" si="17">+C32/C$33</f>
        <v>0.15317778959705167</v>
      </c>
      <c r="D63" s="62">
        <f t="shared" si="17"/>
        <v>0.14053918337884067</v>
      </c>
      <c r="E63" s="62">
        <f t="shared" si="17"/>
        <v>0.17149299261682657</v>
      </c>
    </row>
  </sheetData>
  <mergeCells count="34">
    <mergeCell ref="I39:I43"/>
    <mergeCell ref="J39:N39"/>
    <mergeCell ref="M40:M41"/>
    <mergeCell ref="M42:M43"/>
    <mergeCell ref="V28:AB30"/>
    <mergeCell ref="J40:J41"/>
    <mergeCell ref="J42:J43"/>
    <mergeCell ref="J49:J50"/>
    <mergeCell ref="M49:M50"/>
    <mergeCell ref="L47:L50"/>
    <mergeCell ref="M47:M48"/>
    <mergeCell ref="I46:I50"/>
    <mergeCell ref="J46:N46"/>
    <mergeCell ref="J47:J48"/>
    <mergeCell ref="K47:K50"/>
    <mergeCell ref="J55:J56"/>
    <mergeCell ref="M55:M56"/>
    <mergeCell ref="I58:I59"/>
    <mergeCell ref="J58:J59"/>
    <mergeCell ref="K58:K59"/>
    <mergeCell ref="L58:N59"/>
    <mergeCell ref="I52:I56"/>
    <mergeCell ref="J52:N52"/>
    <mergeCell ref="J53:J54"/>
    <mergeCell ref="V14:AB16"/>
    <mergeCell ref="K53:K56"/>
    <mergeCell ref="L53:L56"/>
    <mergeCell ref="M53:M54"/>
    <mergeCell ref="N53:N56"/>
    <mergeCell ref="N47:N50"/>
    <mergeCell ref="V41:AB44"/>
    <mergeCell ref="K40:K43"/>
    <mergeCell ref="L40:L43"/>
    <mergeCell ref="N40:N43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5436-7CE7-4A65-8A9D-001CFCC05722}">
  <dimension ref="A2:AC57"/>
  <sheetViews>
    <sheetView topLeftCell="A9" zoomScale="80" zoomScaleNormal="80" workbookViewId="0">
      <selection activeCell="Y14" sqref="Y14"/>
    </sheetView>
  </sheetViews>
  <sheetFormatPr defaultRowHeight="14.4" x14ac:dyDescent="0.3"/>
  <cols>
    <col min="1" max="1" width="35" customWidth="1"/>
    <col min="2" max="2" width="11.33203125" bestFit="1" customWidth="1"/>
    <col min="3" max="3" width="12.6640625" bestFit="1" customWidth="1"/>
    <col min="4" max="5" width="11.33203125" bestFit="1" customWidth="1"/>
    <col min="10" max="10" width="19.88671875" bestFit="1" customWidth="1"/>
    <col min="11" max="11" width="16.109375" bestFit="1" customWidth="1"/>
    <col min="12" max="12" width="10.33203125" bestFit="1" customWidth="1"/>
    <col min="13" max="13" width="8.88671875" bestFit="1" customWidth="1"/>
    <col min="14" max="14" width="11.33203125" bestFit="1" customWidth="1"/>
    <col min="15" max="15" width="8.88671875" bestFit="1" customWidth="1"/>
  </cols>
  <sheetData>
    <row r="2" spans="1:15" x14ac:dyDescent="0.3">
      <c r="J2" s="68" t="s">
        <v>33</v>
      </c>
      <c r="K2" s="68" t="s">
        <v>75</v>
      </c>
      <c r="L2" s="68">
        <v>2017</v>
      </c>
      <c r="M2" s="68">
        <v>2018</v>
      </c>
      <c r="N2" s="68">
        <v>2019</v>
      </c>
      <c r="O2" s="69">
        <v>2020</v>
      </c>
    </row>
    <row r="3" spans="1:15" x14ac:dyDescent="0.3">
      <c r="J3" s="66" t="s">
        <v>10</v>
      </c>
      <c r="K3" s="66"/>
      <c r="L3" s="67">
        <v>846</v>
      </c>
      <c r="M3" s="67">
        <v>6301</v>
      </c>
      <c r="N3" s="67">
        <v>6397</v>
      </c>
      <c r="O3" s="67">
        <v>3428</v>
      </c>
    </row>
    <row r="4" spans="1:15" x14ac:dyDescent="0.3">
      <c r="J4" s="66" t="s">
        <v>9</v>
      </c>
      <c r="K4" s="66"/>
      <c r="L4" s="67">
        <v>434</v>
      </c>
      <c r="M4" s="67">
        <v>557</v>
      </c>
      <c r="N4" s="67">
        <v>158</v>
      </c>
      <c r="O4" s="67">
        <v>139</v>
      </c>
    </row>
    <row r="5" spans="1:15" x14ac:dyDescent="0.3">
      <c r="J5" s="66" t="s">
        <v>30</v>
      </c>
      <c r="K5" s="66"/>
      <c r="L5" s="67">
        <v>75117</v>
      </c>
      <c r="M5" s="67">
        <v>55116</v>
      </c>
      <c r="N5" s="67">
        <v>49601</v>
      </c>
      <c r="O5" s="67">
        <v>39648</v>
      </c>
    </row>
    <row r="6" spans="1:15" x14ac:dyDescent="0.3">
      <c r="J6" s="66"/>
      <c r="K6" s="66"/>
      <c r="L6" s="66"/>
      <c r="M6" s="66"/>
      <c r="N6" s="66"/>
      <c r="O6" s="66"/>
    </row>
    <row r="7" spans="1:15" ht="15" thickBot="1" x14ac:dyDescent="0.35">
      <c r="J7" s="70" t="s">
        <v>33</v>
      </c>
      <c r="K7" s="70"/>
      <c r="L7" s="70"/>
      <c r="M7" s="71">
        <f>+(M3+M4)/((L5+M5)/2)</f>
        <v>0.10531892838220727</v>
      </c>
      <c r="N7" s="71">
        <f t="shared" ref="N7:O7" si="0">+(N3+N4)/((M5+N5)/2)</f>
        <v>0.12519457203701403</v>
      </c>
      <c r="O7" s="71">
        <f t="shared" si="0"/>
        <v>7.9933668724579549E-2</v>
      </c>
    </row>
    <row r="8" spans="1:15" x14ac:dyDescent="0.3">
      <c r="J8" s="66"/>
      <c r="K8" s="66"/>
      <c r="L8" s="66"/>
      <c r="M8" s="66"/>
      <c r="N8" s="66"/>
      <c r="O8" s="66"/>
    </row>
    <row r="9" spans="1:15" x14ac:dyDescent="0.3">
      <c r="J9" s="78" t="s">
        <v>34</v>
      </c>
      <c r="K9" s="78" t="s">
        <v>75</v>
      </c>
      <c r="L9" s="79">
        <v>2017</v>
      </c>
      <c r="M9" s="79">
        <v>2018</v>
      </c>
      <c r="N9" s="79">
        <v>2019</v>
      </c>
      <c r="O9" s="80">
        <v>2020</v>
      </c>
    </row>
    <row r="10" spans="1:15" x14ac:dyDescent="0.3">
      <c r="J10" s="81" t="str">
        <f>+A31</f>
        <v>Ordinært res. før skatt</v>
      </c>
      <c r="K10" s="88"/>
      <c r="L10" s="81">
        <f>+B31</f>
        <v>846</v>
      </c>
      <c r="M10" s="81">
        <f t="shared" ref="M10:O10" si="1">+C31</f>
        <v>6301</v>
      </c>
      <c r="N10" s="81">
        <f t="shared" si="1"/>
        <v>6397</v>
      </c>
      <c r="O10" s="81">
        <f t="shared" si="1"/>
        <v>3428</v>
      </c>
    </row>
    <row r="11" spans="1:15" x14ac:dyDescent="0.3">
      <c r="J11" s="78" t="s">
        <v>21</v>
      </c>
      <c r="K11" s="78"/>
      <c r="L11" s="82">
        <v>12705</v>
      </c>
      <c r="M11" s="82">
        <v>17451</v>
      </c>
      <c r="N11" s="82">
        <v>10179</v>
      </c>
      <c r="O11" s="82">
        <v>12849</v>
      </c>
    </row>
    <row r="12" spans="1:15" x14ac:dyDescent="0.3">
      <c r="J12" s="78"/>
      <c r="K12" s="78"/>
      <c r="L12" s="78"/>
      <c r="M12" s="78"/>
      <c r="N12" s="78"/>
      <c r="O12" s="78"/>
    </row>
    <row r="13" spans="1:15" ht="15" thickBot="1" x14ac:dyDescent="0.35">
      <c r="J13" s="83" t="s">
        <v>34</v>
      </c>
      <c r="K13" s="83"/>
      <c r="L13" s="84"/>
      <c r="M13" s="85">
        <f>+M10/((L11+M11)/2)</f>
        <v>0.41789361984348056</v>
      </c>
      <c r="N13" s="85">
        <f>+N10/((M11+N11)/2)</f>
        <v>0.46304741223307999</v>
      </c>
      <c r="O13" s="85">
        <f>+O10/((N11+O11)/2)</f>
        <v>0.29772450929303457</v>
      </c>
    </row>
    <row r="14" spans="1:15" x14ac:dyDescent="0.3">
      <c r="J14" s="72"/>
      <c r="K14" s="72"/>
      <c r="L14" s="72"/>
      <c r="M14" s="72"/>
      <c r="N14" s="72"/>
      <c r="O14" s="72"/>
    </row>
    <row r="15" spans="1:15" x14ac:dyDescent="0.3">
      <c r="K15" s="72"/>
      <c r="L15" s="72"/>
      <c r="M15" s="72"/>
      <c r="N15" s="72"/>
      <c r="O15" s="72"/>
    </row>
    <row r="16" spans="1:15" x14ac:dyDescent="0.3">
      <c r="A16" s="68" t="s">
        <v>119</v>
      </c>
      <c r="B16" s="68">
        <v>2017</v>
      </c>
      <c r="C16" s="68">
        <v>2018</v>
      </c>
      <c r="D16" s="68">
        <v>2019</v>
      </c>
      <c r="E16" s="69">
        <v>2020</v>
      </c>
      <c r="F16" s="68" t="s">
        <v>108</v>
      </c>
      <c r="G16" s="76"/>
      <c r="J16" s="76" t="s">
        <v>90</v>
      </c>
      <c r="K16" s="76" t="s">
        <v>75</v>
      </c>
      <c r="L16" s="68">
        <v>2018</v>
      </c>
      <c r="M16" s="68">
        <v>2019</v>
      </c>
      <c r="N16" s="69">
        <v>2020</v>
      </c>
      <c r="O16" s="72"/>
    </row>
    <row r="17" spans="1:29" x14ac:dyDescent="0.3">
      <c r="A17" s="72" t="s">
        <v>106</v>
      </c>
      <c r="B17" s="74"/>
      <c r="C17" s="73">
        <f>+(C22/B22)-1</f>
        <v>9.9352086474003176E-2</v>
      </c>
      <c r="D17" s="73">
        <f>+(D22/C22)-1</f>
        <v>-8.3042786911552313E-2</v>
      </c>
      <c r="E17" s="73">
        <f>+(E22/D22)-1</f>
        <v>-0.1246092289580234</v>
      </c>
      <c r="F17" s="73">
        <f>+(E22/B22)-1^(1/3)</f>
        <v>-0.11755460756326774</v>
      </c>
      <c r="G17" s="74"/>
      <c r="H17" s="65"/>
      <c r="I17" s="65"/>
      <c r="J17" s="72" t="s">
        <v>33</v>
      </c>
      <c r="K17" s="74" t="s">
        <v>31</v>
      </c>
      <c r="L17" s="73">
        <f>+M7</f>
        <v>0.10531892838220727</v>
      </c>
      <c r="M17" s="73">
        <f t="shared" ref="M17:N17" si="2">+N7</f>
        <v>0.12519457203701403</v>
      </c>
      <c r="N17" s="73">
        <f t="shared" si="2"/>
        <v>7.9933668724579549E-2</v>
      </c>
      <c r="O17" s="72"/>
    </row>
    <row r="18" spans="1:29" x14ac:dyDescent="0.3">
      <c r="A18" s="72" t="s">
        <v>107</v>
      </c>
      <c r="B18" s="74"/>
      <c r="C18" s="73">
        <f>+(C27/B27)-1</f>
        <v>5.4910815447865025E-2</v>
      </c>
      <c r="D18" s="73">
        <f t="shared" ref="D18:E18" si="3">+(D27/C27)-1</f>
        <v>-8.5086958856607997E-2</v>
      </c>
      <c r="E18" s="73">
        <f t="shared" si="3"/>
        <v>-0.1066343557664895</v>
      </c>
      <c r="F18" s="73">
        <f>+(E27/B27)-1^(1/3)</f>
        <v>-0.13776666342947785</v>
      </c>
      <c r="G18" s="74"/>
      <c r="H18" s="65"/>
      <c r="I18" s="65"/>
      <c r="J18" s="72" t="s">
        <v>34</v>
      </c>
      <c r="K18" s="74" t="s">
        <v>32</v>
      </c>
      <c r="L18" s="73">
        <f>+M13</f>
        <v>0.41789361984348056</v>
      </c>
      <c r="M18" s="73">
        <f>+N13</f>
        <v>0.46304741223307999</v>
      </c>
      <c r="N18" s="73">
        <f>+O13</f>
        <v>0.29772450929303457</v>
      </c>
      <c r="O18" s="72"/>
    </row>
    <row r="19" spans="1:29" x14ac:dyDescent="0.3">
      <c r="F19" s="62"/>
    </row>
    <row r="20" spans="1:29" ht="15" thickBot="1" x14ac:dyDescent="0.35">
      <c r="A20" t="s">
        <v>26</v>
      </c>
      <c r="C20" s="1"/>
      <c r="D20" s="1"/>
      <c r="E20" s="1"/>
    </row>
    <row r="21" spans="1:29" ht="15" thickBot="1" x14ac:dyDescent="0.35">
      <c r="A21" s="12" t="s">
        <v>0</v>
      </c>
      <c r="B21" s="12">
        <v>2017</v>
      </c>
      <c r="C21" s="12">
        <v>2018</v>
      </c>
      <c r="D21" s="12">
        <v>2019</v>
      </c>
      <c r="E21" s="5">
        <v>2020</v>
      </c>
      <c r="J21" s="2"/>
      <c r="K21" s="6" t="s">
        <v>75</v>
      </c>
      <c r="L21" s="12">
        <v>2017</v>
      </c>
      <c r="M21" s="12">
        <v>2018</v>
      </c>
      <c r="N21" s="12">
        <v>2019</v>
      </c>
      <c r="O21" s="23">
        <v>2020</v>
      </c>
    </row>
    <row r="22" spans="1:29" ht="15" thickBot="1" x14ac:dyDescent="0.35">
      <c r="A22" s="7" t="s">
        <v>1</v>
      </c>
      <c r="B22" s="9">
        <v>124708</v>
      </c>
      <c r="C22" s="9">
        <v>137098</v>
      </c>
      <c r="D22" s="9">
        <v>125713</v>
      </c>
      <c r="E22" s="9">
        <v>110048</v>
      </c>
      <c r="J22" s="3" t="s">
        <v>33</v>
      </c>
      <c r="K22" s="20" t="s">
        <v>31</v>
      </c>
      <c r="L22" s="21">
        <f>(B31+B30)/((B51+C51)/2)</f>
        <v>1.9657076163491587E-2</v>
      </c>
      <c r="M22" s="21">
        <f>(C31+C30)/((C51+D51)/2)</f>
        <v>0.13098159802133369</v>
      </c>
      <c r="N22" s="21">
        <f>(D31+D30)/((D51+E51)/2)</f>
        <v>0.14689240215576646</v>
      </c>
      <c r="O22" s="30">
        <f>(E31+E30)/((E51+D51)/2)</f>
        <v>7.9933668724579549E-2</v>
      </c>
      <c r="W22" s="136" t="s">
        <v>66</v>
      </c>
      <c r="X22" s="137"/>
      <c r="Y22" s="137"/>
      <c r="Z22" s="137"/>
      <c r="AA22" s="137"/>
      <c r="AB22" s="137"/>
      <c r="AC22" s="138"/>
    </row>
    <row r="23" spans="1:29" ht="15" thickBot="1" x14ac:dyDescent="0.35">
      <c r="A23" s="7" t="s">
        <v>2</v>
      </c>
      <c r="B23" s="10">
        <v>54074</v>
      </c>
      <c r="C23" s="10">
        <v>54415</v>
      </c>
      <c r="D23" s="10">
        <v>23626</v>
      </c>
      <c r="E23" s="10">
        <v>21674</v>
      </c>
      <c r="J23" s="17" t="s">
        <v>34</v>
      </c>
      <c r="K23" s="19" t="s">
        <v>32</v>
      </c>
      <c r="L23" s="22">
        <f>B31/((B45+C45)/2)</f>
        <v>5.6108237166732987E-2</v>
      </c>
      <c r="M23" s="86">
        <f>C31/((C45+D45)/2)</f>
        <v>0.45609844372059355</v>
      </c>
      <c r="N23" s="86">
        <f>D31/((D45+E45)/2)</f>
        <v>0.55558450581900298</v>
      </c>
      <c r="O23" s="87">
        <f>E31/((E45+D45)/2)</f>
        <v>0.29772450929303457</v>
      </c>
      <c r="W23" s="139"/>
      <c r="X23" s="140"/>
      <c r="Y23" s="140"/>
      <c r="Z23" s="140"/>
      <c r="AA23" s="140"/>
      <c r="AB23" s="140"/>
      <c r="AC23" s="141"/>
    </row>
    <row r="24" spans="1:29" x14ac:dyDescent="0.3">
      <c r="A24" s="7" t="s">
        <v>3</v>
      </c>
      <c r="B24" s="10">
        <v>55200</v>
      </c>
      <c r="C24" s="10">
        <v>61303</v>
      </c>
      <c r="D24" s="10">
        <v>83001</v>
      </c>
      <c r="E24" s="10">
        <v>72953</v>
      </c>
      <c r="W24" s="142"/>
      <c r="X24" s="143"/>
      <c r="Y24" s="143"/>
      <c r="Z24" s="143"/>
      <c r="AA24" s="143"/>
      <c r="AB24" s="143"/>
      <c r="AC24" s="144"/>
    </row>
    <row r="25" spans="1:29" ht="15" thickBot="1" x14ac:dyDescent="0.35">
      <c r="A25" s="7" t="s">
        <v>4</v>
      </c>
      <c r="B25" s="10">
        <f>825+318</f>
        <v>1143</v>
      </c>
      <c r="C25" s="10">
        <f>546+3376</f>
        <v>3922</v>
      </c>
      <c r="D25" s="10">
        <v>277</v>
      </c>
      <c r="E25" s="10">
        <v>635</v>
      </c>
    </row>
    <row r="26" spans="1:29" ht="15" thickBot="1" x14ac:dyDescent="0.35">
      <c r="A26" s="7" t="s">
        <v>5</v>
      </c>
      <c r="B26" s="10">
        <v>13147</v>
      </c>
      <c r="C26" s="10">
        <v>10709</v>
      </c>
      <c r="D26" s="10">
        <v>12354</v>
      </c>
      <c r="E26" s="10">
        <v>11279</v>
      </c>
      <c r="J26" s="25"/>
      <c r="K26" s="24" t="s">
        <v>75</v>
      </c>
      <c r="L26" s="12">
        <v>2017</v>
      </c>
      <c r="M26" s="12">
        <v>2018</v>
      </c>
      <c r="N26" s="12">
        <v>2019</v>
      </c>
      <c r="O26" s="23">
        <v>2020</v>
      </c>
    </row>
    <row r="27" spans="1:29" ht="15" thickBot="1" x14ac:dyDescent="0.35">
      <c r="A27" s="15" t="s">
        <v>6</v>
      </c>
      <c r="B27" s="14">
        <f>SUM(B23:B26)</f>
        <v>123564</v>
      </c>
      <c r="C27" s="14">
        <f>SUM(C23:C26)</f>
        <v>130349</v>
      </c>
      <c r="D27" s="14">
        <f t="shared" ref="D27:E27" si="4">SUM(D23:D26)</f>
        <v>119258</v>
      </c>
      <c r="E27" s="14">
        <f t="shared" si="4"/>
        <v>106541</v>
      </c>
      <c r="J27" s="7" t="s">
        <v>36</v>
      </c>
      <c r="K27" s="20" t="s">
        <v>41</v>
      </c>
      <c r="L27" s="28">
        <f>B43/B49</f>
        <v>1.0586896960569112</v>
      </c>
      <c r="M27" s="28">
        <f>C43/C49</f>
        <v>1.3718040621266427</v>
      </c>
      <c r="N27" s="28">
        <f>D43/D49</f>
        <v>1.1628278626147837</v>
      </c>
      <c r="O27" s="28">
        <f>E43/E49</f>
        <v>1.2876492537313433</v>
      </c>
    </row>
    <row r="28" spans="1:29" ht="15" thickBot="1" x14ac:dyDescent="0.35">
      <c r="A28" s="8" t="s">
        <v>7</v>
      </c>
      <c r="B28" s="10">
        <v>1144</v>
      </c>
      <c r="C28" s="10">
        <v>6748</v>
      </c>
      <c r="D28" s="10">
        <v>6455</v>
      </c>
      <c r="E28" s="10">
        <v>3507</v>
      </c>
      <c r="J28" s="7" t="s">
        <v>37</v>
      </c>
      <c r="K28" s="20" t="s">
        <v>42</v>
      </c>
      <c r="L28" s="28">
        <f>(B43-B38)/B49</f>
        <v>1.0110714114046753</v>
      </c>
      <c r="M28" s="28">
        <f>(C43-C38)/C49</f>
        <v>1.3522633744855967</v>
      </c>
      <c r="N28" s="28">
        <f>(D43-D38)/D49</f>
        <v>1.1476586677489726</v>
      </c>
      <c r="O28" s="28">
        <f>(E43-E38)/E49</f>
        <v>1.266641791044776</v>
      </c>
    </row>
    <row r="29" spans="1:29" ht="15" thickBot="1" x14ac:dyDescent="0.35">
      <c r="A29" s="7" t="s">
        <v>8</v>
      </c>
      <c r="B29" s="10">
        <v>136</v>
      </c>
      <c r="C29" s="10">
        <v>110</v>
      </c>
      <c r="D29" s="10">
        <v>100</v>
      </c>
      <c r="E29" s="10">
        <v>60</v>
      </c>
      <c r="J29" s="7" t="s">
        <v>38</v>
      </c>
      <c r="K29" s="27" t="s">
        <v>43</v>
      </c>
      <c r="L29" s="14">
        <f>B43-B49</f>
        <v>3663</v>
      </c>
      <c r="M29" s="14">
        <f>C43-C49</f>
        <v>14004</v>
      </c>
      <c r="N29" s="14">
        <f>D43-D49</f>
        <v>6419</v>
      </c>
      <c r="O29" s="14">
        <f>E43-E49</f>
        <v>7709</v>
      </c>
    </row>
    <row r="30" spans="1:29" ht="15" thickBot="1" x14ac:dyDescent="0.35">
      <c r="A30" s="7" t="s">
        <v>9</v>
      </c>
      <c r="B30" s="10">
        <v>434</v>
      </c>
      <c r="C30" s="10">
        <v>557</v>
      </c>
      <c r="D30" s="10">
        <v>158</v>
      </c>
      <c r="E30" s="10">
        <v>139</v>
      </c>
      <c r="J30" s="7" t="s">
        <v>39</v>
      </c>
      <c r="K30" s="20" t="s">
        <v>44</v>
      </c>
      <c r="L30" s="21">
        <f>B45/B51</f>
        <v>0.16913614760972881</v>
      </c>
      <c r="M30" s="21">
        <f>C45/C51</f>
        <v>0.31662312214239058</v>
      </c>
      <c r="N30" s="21">
        <f>D45/D51</f>
        <v>0.20521763674119473</v>
      </c>
      <c r="O30" s="21">
        <f>E45/E51</f>
        <v>0.32407687651331718</v>
      </c>
    </row>
    <row r="31" spans="1:29" ht="15" thickBot="1" x14ac:dyDescent="0.35">
      <c r="A31" s="16" t="s">
        <v>10</v>
      </c>
      <c r="B31" s="13">
        <f>B28+B29-B30</f>
        <v>846</v>
      </c>
      <c r="C31" s="13">
        <f>C28+C29-C30</f>
        <v>6301</v>
      </c>
      <c r="D31" s="13">
        <f t="shared" ref="D31:E31" si="5">D28+D29-D30</f>
        <v>6397</v>
      </c>
      <c r="E31" s="13">
        <f t="shared" si="5"/>
        <v>3428</v>
      </c>
      <c r="J31" s="26" t="s">
        <v>40</v>
      </c>
      <c r="K31" s="19" t="s">
        <v>45</v>
      </c>
      <c r="L31" s="29">
        <f>B30/(B46+B49)</f>
        <v>6.9536795218944772E-3</v>
      </c>
      <c r="M31" s="29">
        <f>C30/(C46+C49)</f>
        <v>1.4788264967476436E-2</v>
      </c>
      <c r="N31" s="29">
        <f>D30/(D46+D49)</f>
        <v>4.0079143625386844E-3</v>
      </c>
      <c r="O31" s="29">
        <f>E30/(E46+E49)</f>
        <v>5.1865671641791048E-3</v>
      </c>
    </row>
    <row r="32" spans="1:29" ht="15" thickBot="1" x14ac:dyDescent="0.35">
      <c r="A32" s="7" t="s">
        <v>11</v>
      </c>
      <c r="B32" s="10">
        <v>199</v>
      </c>
      <c r="C32" s="10">
        <v>1555</v>
      </c>
      <c r="D32" s="10">
        <v>1413</v>
      </c>
      <c r="E32" s="10">
        <v>759</v>
      </c>
    </row>
    <row r="33" spans="1:29" ht="15" thickBot="1" x14ac:dyDescent="0.35">
      <c r="A33" s="15" t="s">
        <v>12</v>
      </c>
      <c r="B33" s="13">
        <f>B31-B32</f>
        <v>647</v>
      </c>
      <c r="C33" s="13">
        <f t="shared" ref="C33:E33" si="6">C31-C32</f>
        <v>4746</v>
      </c>
      <c r="D33" s="13">
        <f t="shared" si="6"/>
        <v>4984</v>
      </c>
      <c r="E33" s="13">
        <f t="shared" si="6"/>
        <v>2669</v>
      </c>
      <c r="J33" s="130" t="s">
        <v>46</v>
      </c>
      <c r="K33" s="133" t="s">
        <v>75</v>
      </c>
      <c r="L33" s="133"/>
      <c r="M33" s="133"/>
      <c r="N33" s="133"/>
      <c r="O33" s="134"/>
    </row>
    <row r="34" spans="1:29" x14ac:dyDescent="0.3">
      <c r="J34" s="131"/>
      <c r="K34" s="135" t="s">
        <v>47</v>
      </c>
      <c r="L34" s="98" t="s">
        <v>48</v>
      </c>
      <c r="M34" s="104" t="s">
        <v>49</v>
      </c>
      <c r="N34" s="105">
        <f>((D38+E38)/2)*365</f>
        <v>211882.5</v>
      </c>
      <c r="O34" s="107">
        <f>N34/N36</f>
        <v>9.7758835471071333</v>
      </c>
      <c r="W34" s="94" t="s">
        <v>65</v>
      </c>
      <c r="X34" s="95"/>
      <c r="Y34" s="95"/>
      <c r="Z34" s="95"/>
      <c r="AA34" s="95"/>
      <c r="AB34" s="95"/>
      <c r="AC34" s="96"/>
    </row>
    <row r="35" spans="1:29" ht="15" thickBot="1" x14ac:dyDescent="0.35">
      <c r="A35" t="s">
        <v>27</v>
      </c>
      <c r="B35" t="s">
        <v>71</v>
      </c>
      <c r="C35" t="s">
        <v>72</v>
      </c>
      <c r="D35" t="s">
        <v>73</v>
      </c>
      <c r="E35" t="s">
        <v>74</v>
      </c>
      <c r="J35" s="131"/>
      <c r="K35" s="135"/>
      <c r="L35" s="98"/>
      <c r="M35" s="98"/>
      <c r="N35" s="106"/>
      <c r="O35" s="108"/>
      <c r="W35" s="97"/>
      <c r="X35" s="98"/>
      <c r="Y35" s="98"/>
      <c r="Z35" s="98"/>
      <c r="AA35" s="98"/>
      <c r="AB35" s="98"/>
      <c r="AC35" s="99"/>
    </row>
    <row r="36" spans="1:29" ht="15" thickBot="1" x14ac:dyDescent="0.35">
      <c r="A36" s="12" t="s">
        <v>28</v>
      </c>
      <c r="B36" s="12">
        <v>2017</v>
      </c>
      <c r="C36" s="12">
        <v>2018</v>
      </c>
      <c r="D36" s="12">
        <v>2019</v>
      </c>
      <c r="E36" s="5">
        <v>2020</v>
      </c>
      <c r="J36" s="131"/>
      <c r="K36" s="118" t="s">
        <v>2</v>
      </c>
      <c r="L36" s="98"/>
      <c r="M36" s="98"/>
      <c r="N36" s="105">
        <f>E23</f>
        <v>21674</v>
      </c>
      <c r="O36" s="108"/>
      <c r="W36" s="100"/>
      <c r="X36" s="101"/>
      <c r="Y36" s="101"/>
      <c r="Z36" s="101"/>
      <c r="AA36" s="101"/>
      <c r="AB36" s="101"/>
      <c r="AC36" s="102"/>
    </row>
    <row r="37" spans="1:29" ht="15" thickBot="1" x14ac:dyDescent="0.35">
      <c r="A37" s="7" t="s">
        <v>13</v>
      </c>
      <c r="B37" s="11">
        <v>9041</v>
      </c>
      <c r="C37" s="11">
        <v>3448</v>
      </c>
      <c r="D37" s="11">
        <v>3760</v>
      </c>
      <c r="E37" s="4">
        <v>5139</v>
      </c>
      <c r="J37" s="132"/>
      <c r="K37" s="119"/>
      <c r="L37" s="103"/>
      <c r="M37" s="103"/>
      <c r="N37" s="106"/>
      <c r="O37" s="109"/>
    </row>
    <row r="38" spans="1:29" x14ac:dyDescent="0.3">
      <c r="A38" s="7" t="s">
        <v>14</v>
      </c>
      <c r="B38" s="11">
        <v>2972</v>
      </c>
      <c r="C38" s="11">
        <v>736</v>
      </c>
      <c r="D38" s="11">
        <v>598</v>
      </c>
      <c r="E38" s="4">
        <v>563</v>
      </c>
    </row>
    <row r="39" spans="1:29" ht="15" thickBot="1" x14ac:dyDescent="0.35">
      <c r="A39" s="7" t="s">
        <v>15</v>
      </c>
      <c r="B39" s="11">
        <v>51123</v>
      </c>
      <c r="C39" s="11">
        <v>25523</v>
      </c>
      <c r="D39" s="11">
        <v>25307</v>
      </c>
      <c r="E39" s="4">
        <v>14088</v>
      </c>
    </row>
    <row r="40" spans="1:29" ht="15" thickBot="1" x14ac:dyDescent="0.35">
      <c r="A40" s="7" t="s">
        <v>16</v>
      </c>
      <c r="B40" s="11">
        <v>808</v>
      </c>
      <c r="C40" s="11">
        <v>13758</v>
      </c>
      <c r="D40" s="11">
        <v>11379</v>
      </c>
      <c r="E40" s="4">
        <v>13572</v>
      </c>
      <c r="J40" s="130" t="s">
        <v>50</v>
      </c>
      <c r="K40" s="133" t="s">
        <v>75</v>
      </c>
      <c r="L40" s="133"/>
      <c r="M40" s="133"/>
      <c r="N40" s="133"/>
      <c r="O40" s="134"/>
    </row>
    <row r="41" spans="1:29" x14ac:dyDescent="0.3">
      <c r="A41" s="7" t="s">
        <v>17</v>
      </c>
      <c r="B41" s="11">
        <f>SUM(B39:B40)</f>
        <v>51931</v>
      </c>
      <c r="C41" s="11">
        <f t="shared" ref="C41:E41" si="7">SUM(C39:C40)</f>
        <v>39281</v>
      </c>
      <c r="D41" s="11">
        <f t="shared" si="7"/>
        <v>36686</v>
      </c>
      <c r="E41" s="4">
        <f t="shared" si="7"/>
        <v>27660</v>
      </c>
      <c r="J41" s="131"/>
      <c r="K41" s="135" t="s">
        <v>51</v>
      </c>
      <c r="L41" s="98" t="s">
        <v>48</v>
      </c>
      <c r="M41" s="104" t="s">
        <v>49</v>
      </c>
      <c r="N41" s="105">
        <f>((D39+E39)/2)*365</f>
        <v>7189587.5</v>
      </c>
      <c r="O41" s="107">
        <f>N41/N43</f>
        <v>52.265102500726954</v>
      </c>
    </row>
    <row r="42" spans="1:29" ht="15" thickBot="1" x14ac:dyDescent="0.35">
      <c r="A42" s="7" t="s">
        <v>18</v>
      </c>
      <c r="B42" s="11">
        <v>658</v>
      </c>
      <c r="C42" s="11">
        <v>66</v>
      </c>
      <c r="D42" s="11">
        <v>0</v>
      </c>
      <c r="E42" s="4">
        <v>0</v>
      </c>
      <c r="J42" s="131"/>
      <c r="K42" s="135"/>
      <c r="L42" s="98"/>
      <c r="M42" s="98"/>
      <c r="N42" s="106"/>
      <c r="O42" s="108"/>
    </row>
    <row r="43" spans="1:29" x14ac:dyDescent="0.3">
      <c r="A43" s="7" t="s">
        <v>19</v>
      </c>
      <c r="B43" s="11">
        <v>66076</v>
      </c>
      <c r="C43" s="11">
        <v>51669</v>
      </c>
      <c r="D43" s="11">
        <v>45841</v>
      </c>
      <c r="E43" s="4">
        <v>34509</v>
      </c>
      <c r="J43" s="131"/>
      <c r="K43" s="118" t="s">
        <v>52</v>
      </c>
      <c r="L43" s="98"/>
      <c r="M43" s="98"/>
      <c r="N43" s="105">
        <f>E22*1.25</f>
        <v>137560</v>
      </c>
      <c r="O43" s="108"/>
    </row>
    <row r="44" spans="1:29" ht="15" thickBot="1" x14ac:dyDescent="0.35">
      <c r="A44" s="7" t="s">
        <v>20</v>
      </c>
      <c r="B44" s="11">
        <v>75117</v>
      </c>
      <c r="C44" s="11">
        <v>55116</v>
      </c>
      <c r="D44" s="11">
        <v>49601</v>
      </c>
      <c r="E44" s="4">
        <v>39648</v>
      </c>
      <c r="J44" s="132"/>
      <c r="K44" s="119"/>
      <c r="L44" s="103"/>
      <c r="M44" s="103"/>
      <c r="N44" s="106"/>
      <c r="O44" s="109"/>
    </row>
    <row r="45" spans="1:29" ht="15" thickBot="1" x14ac:dyDescent="0.35">
      <c r="A45" s="7" t="s">
        <v>21</v>
      </c>
      <c r="B45" s="11">
        <v>12705</v>
      </c>
      <c r="C45" s="11">
        <v>17451</v>
      </c>
      <c r="D45" s="11">
        <v>10179</v>
      </c>
      <c r="E45" s="4">
        <v>12849</v>
      </c>
    </row>
    <row r="46" spans="1:29" ht="15" thickBot="1" x14ac:dyDescent="0.35">
      <c r="A46" s="7" t="s">
        <v>22</v>
      </c>
      <c r="B46" s="11">
        <v>0</v>
      </c>
      <c r="C46" s="11">
        <v>0</v>
      </c>
      <c r="D46" s="11">
        <v>0</v>
      </c>
      <c r="E46" s="4">
        <v>0</v>
      </c>
      <c r="J46" s="130" t="s">
        <v>53</v>
      </c>
      <c r="K46" s="133" t="s">
        <v>75</v>
      </c>
      <c r="L46" s="133"/>
      <c r="M46" s="133"/>
      <c r="N46" s="133"/>
      <c r="O46" s="134"/>
    </row>
    <row r="47" spans="1:29" x14ac:dyDescent="0.3">
      <c r="A47" s="7" t="s">
        <v>29</v>
      </c>
      <c r="B47" s="11">
        <v>0</v>
      </c>
      <c r="C47" s="11">
        <v>0</v>
      </c>
      <c r="D47" s="11">
        <v>0</v>
      </c>
      <c r="E47" s="4">
        <v>0</v>
      </c>
      <c r="J47" s="131"/>
      <c r="K47" s="135" t="s">
        <v>54</v>
      </c>
      <c r="L47" s="98" t="s">
        <v>48</v>
      </c>
      <c r="M47" s="104" t="s">
        <v>49</v>
      </c>
      <c r="N47" s="105">
        <f>((D48+E48)/2)*365</f>
        <v>1775542.5</v>
      </c>
      <c r="O47" s="107">
        <f>N47/N49</f>
        <v>65.64231249133509</v>
      </c>
    </row>
    <row r="48" spans="1:29" ht="15" thickBot="1" x14ac:dyDescent="0.35">
      <c r="A48" s="7" t="s">
        <v>23</v>
      </c>
      <c r="B48" s="11">
        <v>20771</v>
      </c>
      <c r="C48" s="11">
        <v>7957</v>
      </c>
      <c r="D48" s="11">
        <v>4443</v>
      </c>
      <c r="E48" s="4">
        <v>5286</v>
      </c>
      <c r="J48" s="131"/>
      <c r="K48" s="135"/>
      <c r="L48" s="98"/>
      <c r="M48" s="98"/>
      <c r="N48" s="106"/>
      <c r="O48" s="108"/>
    </row>
    <row r="49" spans="1:29" x14ac:dyDescent="0.3">
      <c r="A49" s="7" t="s">
        <v>24</v>
      </c>
      <c r="B49" s="11">
        <v>62413</v>
      </c>
      <c r="C49" s="11">
        <v>37665</v>
      </c>
      <c r="D49" s="11">
        <v>39422</v>
      </c>
      <c r="E49" s="4">
        <v>26800</v>
      </c>
      <c r="J49" s="131"/>
      <c r="K49" s="118" t="s">
        <v>55</v>
      </c>
      <c r="L49" s="98"/>
      <c r="M49" s="98"/>
      <c r="N49" s="105">
        <f>(E38-D38+E23)*1.25</f>
        <v>27048.75</v>
      </c>
      <c r="O49" s="108"/>
    </row>
    <row r="50" spans="1:29" ht="15" customHeight="1" thickBot="1" x14ac:dyDescent="0.35">
      <c r="A50" s="7" t="s">
        <v>25</v>
      </c>
      <c r="B50" s="11">
        <v>62413</v>
      </c>
      <c r="C50" s="11">
        <v>37665</v>
      </c>
      <c r="D50" s="11">
        <v>39422</v>
      </c>
      <c r="E50" s="4">
        <v>26800</v>
      </c>
      <c r="J50" s="132"/>
      <c r="K50" s="119"/>
      <c r="L50" s="103"/>
      <c r="M50" s="103"/>
      <c r="N50" s="106"/>
      <c r="O50" s="109"/>
      <c r="W50" s="94" t="s">
        <v>67</v>
      </c>
      <c r="X50" s="110"/>
      <c r="Y50" s="110"/>
      <c r="Z50" s="110"/>
      <c r="AA50" s="110"/>
      <c r="AB50" s="110"/>
      <c r="AC50" s="111"/>
    </row>
    <row r="51" spans="1:29" ht="15" thickBot="1" x14ac:dyDescent="0.35">
      <c r="A51" s="15" t="s">
        <v>30</v>
      </c>
      <c r="B51" s="14">
        <v>75117</v>
      </c>
      <c r="C51" s="14">
        <v>55116</v>
      </c>
      <c r="D51" s="14">
        <v>49601</v>
      </c>
      <c r="E51" s="18">
        <v>39648</v>
      </c>
      <c r="W51" s="112"/>
      <c r="X51" s="113"/>
      <c r="Y51" s="113"/>
      <c r="Z51" s="113"/>
      <c r="AA51" s="113"/>
      <c r="AB51" s="113"/>
      <c r="AC51" s="114"/>
    </row>
    <row r="52" spans="1:29" ht="15" thickBot="1" x14ac:dyDescent="0.35">
      <c r="J52" s="120" t="s">
        <v>56</v>
      </c>
      <c r="K52" s="122" t="s">
        <v>57</v>
      </c>
      <c r="L52" s="104" t="s">
        <v>49</v>
      </c>
      <c r="M52" s="124">
        <f>O34+O41-O47</f>
        <v>-3.6013264435010015</v>
      </c>
      <c r="N52" s="125"/>
      <c r="O52" s="126"/>
      <c r="W52" s="112"/>
      <c r="X52" s="113"/>
      <c r="Y52" s="113"/>
      <c r="Z52" s="113"/>
      <c r="AA52" s="113"/>
      <c r="AB52" s="113"/>
      <c r="AC52" s="114"/>
    </row>
    <row r="53" spans="1:29" ht="15" thickBot="1" x14ac:dyDescent="0.35">
      <c r="B53" s="12">
        <v>2017</v>
      </c>
      <c r="C53" s="12">
        <v>2018</v>
      </c>
      <c r="D53" s="12">
        <v>2019</v>
      </c>
      <c r="E53" s="5">
        <v>2020</v>
      </c>
      <c r="J53" s="121"/>
      <c r="K53" s="123"/>
      <c r="L53" s="103"/>
      <c r="M53" s="127"/>
      <c r="N53" s="128"/>
      <c r="O53" s="129"/>
      <c r="W53" s="115"/>
      <c r="X53" s="116"/>
      <c r="Y53" s="116"/>
      <c r="Z53" s="116"/>
      <c r="AA53" s="116"/>
      <c r="AB53" s="116"/>
      <c r="AC53" s="117"/>
    </row>
    <row r="54" spans="1:29" x14ac:dyDescent="0.3">
      <c r="A54" t="s">
        <v>97</v>
      </c>
      <c r="B54" s="62">
        <f>+B23/B$27</f>
        <v>0.43761937133793016</v>
      </c>
      <c r="C54" s="62">
        <f t="shared" ref="C54:E54" si="8">+C23/C$27</f>
        <v>0.41745621370321212</v>
      </c>
      <c r="D54" s="62">
        <f t="shared" si="8"/>
        <v>0.19810830300692617</v>
      </c>
      <c r="E54" s="62">
        <f t="shared" si="8"/>
        <v>0.20343341999793507</v>
      </c>
    </row>
    <row r="55" spans="1:29" x14ac:dyDescent="0.3">
      <c r="A55" t="s">
        <v>96</v>
      </c>
      <c r="B55" s="62">
        <f t="shared" ref="B55:E55" si="9">+B24/B$27</f>
        <v>0.44673205788093617</v>
      </c>
      <c r="C55" s="62">
        <f t="shared" si="9"/>
        <v>0.47029896662038068</v>
      </c>
      <c r="D55" s="62">
        <f t="shared" si="9"/>
        <v>0.69597846685337672</v>
      </c>
      <c r="E55" s="62">
        <f t="shared" si="9"/>
        <v>0.68474108559146241</v>
      </c>
    </row>
    <row r="56" spans="1:29" x14ac:dyDescent="0.3">
      <c r="A56" t="s">
        <v>98</v>
      </c>
      <c r="B56" s="62">
        <f t="shared" ref="B56:E56" si="10">+B25/B$27</f>
        <v>9.2502670680780809E-3</v>
      </c>
      <c r="C56" s="62">
        <f t="shared" si="10"/>
        <v>3.0088454840466745E-2</v>
      </c>
      <c r="D56" s="62">
        <f t="shared" si="10"/>
        <v>2.3226953328078621E-3</v>
      </c>
      <c r="E56" s="62">
        <f t="shared" si="10"/>
        <v>5.9601467979463309E-3</v>
      </c>
    </row>
    <row r="57" spans="1:29" x14ac:dyDescent="0.3">
      <c r="A57" t="s">
        <v>99</v>
      </c>
      <c r="B57" s="62">
        <f t="shared" ref="B57:E57" si="11">+B26/B$27</f>
        <v>0.10639830371305559</v>
      </c>
      <c r="C57" s="62">
        <f t="shared" si="11"/>
        <v>8.2156364835940437E-2</v>
      </c>
      <c r="D57" s="62">
        <f t="shared" si="11"/>
        <v>0.10359053480688926</v>
      </c>
      <c r="E57" s="62">
        <f t="shared" si="11"/>
        <v>0.10586534761265616</v>
      </c>
    </row>
  </sheetData>
  <mergeCells count="34">
    <mergeCell ref="W50:AC53"/>
    <mergeCell ref="J52:J53"/>
    <mergeCell ref="K52:K53"/>
    <mergeCell ref="L52:L53"/>
    <mergeCell ref="M52:O53"/>
    <mergeCell ref="J46:J50"/>
    <mergeCell ref="K46:O46"/>
    <mergeCell ref="K47:K48"/>
    <mergeCell ref="L47:L50"/>
    <mergeCell ref="M47:M50"/>
    <mergeCell ref="N47:N48"/>
    <mergeCell ref="O47:O50"/>
    <mergeCell ref="K49:K50"/>
    <mergeCell ref="N49:N50"/>
    <mergeCell ref="J40:J44"/>
    <mergeCell ref="K40:O40"/>
    <mergeCell ref="K41:K42"/>
    <mergeCell ref="L41:L44"/>
    <mergeCell ref="M41:M44"/>
    <mergeCell ref="N41:N42"/>
    <mergeCell ref="O41:O44"/>
    <mergeCell ref="K43:K44"/>
    <mergeCell ref="N43:N44"/>
    <mergeCell ref="W22:AC24"/>
    <mergeCell ref="J33:J37"/>
    <mergeCell ref="K33:O33"/>
    <mergeCell ref="K34:K35"/>
    <mergeCell ref="L34:L37"/>
    <mergeCell ref="M34:M37"/>
    <mergeCell ref="N34:N35"/>
    <mergeCell ref="O34:O37"/>
    <mergeCell ref="W34:AC36"/>
    <mergeCell ref="K36:K37"/>
    <mergeCell ref="N36:N37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9E20-3273-4F1E-8359-3BFFBE1B8DC1}">
  <dimension ref="A1:X34"/>
  <sheetViews>
    <sheetView zoomScale="90" zoomScaleNormal="90" workbookViewId="0">
      <selection activeCell="Q16" sqref="Q16"/>
    </sheetView>
  </sheetViews>
  <sheetFormatPr defaultColWidth="8.88671875" defaultRowHeight="14.4" x14ac:dyDescent="0.3"/>
  <cols>
    <col min="1" max="1" width="26.6640625" style="31" bestFit="1" customWidth="1"/>
    <col min="2" max="2" width="11.33203125" style="31" bestFit="1" customWidth="1"/>
    <col min="3" max="3" width="12.6640625" style="31" bestFit="1" customWidth="1"/>
    <col min="4" max="5" width="11.33203125" style="31" bestFit="1" customWidth="1"/>
    <col min="6" max="6" width="8.88671875" style="31"/>
    <col min="7" max="7" width="36.109375" style="31" bestFit="1" customWidth="1"/>
    <col min="8" max="8" width="16.109375" style="31" bestFit="1" customWidth="1"/>
    <col min="9" max="9" width="10.33203125" style="31" bestFit="1" customWidth="1"/>
    <col min="10" max="10" width="8.33203125" style="31" bestFit="1" customWidth="1"/>
    <col min="11" max="11" width="12.33203125" style="31" bestFit="1" customWidth="1"/>
    <col min="12" max="12" width="8.33203125" style="31" bestFit="1" customWidth="1"/>
    <col min="13" max="16384" width="8.88671875" style="31"/>
  </cols>
  <sheetData>
    <row r="1" spans="1:24" ht="15" thickBot="1" x14ac:dyDescent="0.35">
      <c r="A1" s="31" t="s">
        <v>26</v>
      </c>
      <c r="C1" s="32"/>
      <c r="D1" s="32"/>
      <c r="E1" s="32"/>
      <c r="W1" s="33"/>
      <c r="X1" s="33"/>
    </row>
    <row r="2" spans="1:24" ht="15" thickBot="1" x14ac:dyDescent="0.35">
      <c r="A2" s="34" t="s">
        <v>0</v>
      </c>
      <c r="B2" s="34">
        <v>2017</v>
      </c>
      <c r="C2" s="34">
        <v>2018</v>
      </c>
      <c r="D2" s="34">
        <v>2019</v>
      </c>
      <c r="E2" s="35">
        <v>2020</v>
      </c>
      <c r="G2" s="36"/>
      <c r="H2" s="37" t="s">
        <v>35</v>
      </c>
      <c r="I2" s="34">
        <v>2017</v>
      </c>
      <c r="J2" s="34">
        <v>2018</v>
      </c>
      <c r="K2" s="34">
        <v>2019</v>
      </c>
      <c r="L2" s="38">
        <v>2020</v>
      </c>
      <c r="O2" s="145" t="s">
        <v>120</v>
      </c>
      <c r="P2" s="146"/>
      <c r="Q2" s="147"/>
      <c r="W2" s="165" t="s">
        <v>61</v>
      </c>
      <c r="X2" s="166"/>
    </row>
    <row r="3" spans="1:24" ht="15" customHeight="1" thickBot="1" x14ac:dyDescent="0.35">
      <c r="A3" s="39" t="s">
        <v>1</v>
      </c>
      <c r="B3" s="40">
        <v>213338</v>
      </c>
      <c r="C3" s="40">
        <v>210884</v>
      </c>
      <c r="D3" s="40">
        <v>240734</v>
      </c>
      <c r="E3" s="40">
        <v>202314</v>
      </c>
      <c r="G3" s="41" t="s">
        <v>33</v>
      </c>
      <c r="H3" s="42" t="s">
        <v>31</v>
      </c>
      <c r="I3" s="43">
        <f>(B12+B11)/((B32+C32)/2)</f>
        <v>-3.2157338316153326E-2</v>
      </c>
      <c r="J3" s="43">
        <f>(C12+C11)/((C32+D32)/2)</f>
        <v>-0.13259026162993079</v>
      </c>
      <c r="K3" s="43">
        <f>(D12+D11)/((D32+E32)/2)</f>
        <v>0.10984842193380792</v>
      </c>
      <c r="L3" s="43">
        <f>(E12+E11)/((E32+D32)/2)</f>
        <v>2.7212963362820686E-2</v>
      </c>
      <c r="O3" s="148"/>
      <c r="P3" s="149"/>
      <c r="Q3" s="150"/>
      <c r="W3" s="167"/>
      <c r="X3" s="168"/>
    </row>
    <row r="4" spans="1:24" ht="15" thickBot="1" x14ac:dyDescent="0.35">
      <c r="A4" s="39" t="s">
        <v>2</v>
      </c>
      <c r="B4" s="44">
        <v>67548</v>
      </c>
      <c r="C4" s="44">
        <v>69639</v>
      </c>
      <c r="D4" s="44">
        <v>70359</v>
      </c>
      <c r="E4" s="44">
        <v>55081</v>
      </c>
      <c r="G4" s="45" t="s">
        <v>34</v>
      </c>
      <c r="H4" s="46" t="s">
        <v>32</v>
      </c>
      <c r="I4" s="47">
        <f>B12/((B26+C26)/2)</f>
        <v>-0.21000424185075212</v>
      </c>
      <c r="J4" s="47">
        <f t="shared" ref="J4:K4" si="0">C12/((C26+D26)/2)</f>
        <v>-0.34440203244933432</v>
      </c>
      <c r="K4" s="47">
        <f t="shared" si="0"/>
        <v>0.23231126560770682</v>
      </c>
      <c r="L4" s="47">
        <f>E12/((E26+D26)/2)</f>
        <v>3.1067325528830417E-2</v>
      </c>
      <c r="O4" s="148"/>
      <c r="P4" s="149"/>
      <c r="Q4" s="150"/>
      <c r="W4" s="160">
        <f>E3</f>
        <v>202314</v>
      </c>
      <c r="X4" s="161"/>
    </row>
    <row r="5" spans="1:24" ht="15" customHeight="1" thickBot="1" x14ac:dyDescent="0.35">
      <c r="A5" s="39" t="s">
        <v>3</v>
      </c>
      <c r="B5" s="44">
        <v>107244</v>
      </c>
      <c r="C5" s="44">
        <v>104926</v>
      </c>
      <c r="D5" s="44">
        <v>122306</v>
      </c>
      <c r="E5" s="44">
        <v>106945</v>
      </c>
      <c r="O5" s="148"/>
      <c r="P5" s="149"/>
      <c r="Q5" s="150"/>
      <c r="S5" s="165" t="s">
        <v>58</v>
      </c>
      <c r="T5" s="166"/>
      <c r="W5" s="162"/>
      <c r="X5" s="163"/>
    </row>
    <row r="6" spans="1:24" ht="15" thickBot="1" x14ac:dyDescent="0.35">
      <c r="A6" s="39" t="s">
        <v>4</v>
      </c>
      <c r="B6" s="44">
        <v>11120</v>
      </c>
      <c r="C6" s="44">
        <v>5350</v>
      </c>
      <c r="D6" s="44">
        <v>26415</v>
      </c>
      <c r="E6" s="44">
        <v>6634</v>
      </c>
      <c r="O6" s="151"/>
      <c r="P6" s="152"/>
      <c r="Q6" s="153"/>
      <c r="S6" s="167"/>
      <c r="T6" s="168"/>
    </row>
    <row r="7" spans="1:24" ht="15" thickBot="1" x14ac:dyDescent="0.35">
      <c r="A7" s="39" t="s">
        <v>5</v>
      </c>
      <c r="B7" s="44">
        <v>37664</v>
      </c>
      <c r="C7" s="44">
        <v>32544</v>
      </c>
      <c r="D7" s="44">
        <v>35824</v>
      </c>
      <c r="E7" s="44">
        <v>34911</v>
      </c>
      <c r="G7" s="48"/>
      <c r="H7" s="49" t="s">
        <v>35</v>
      </c>
      <c r="I7" s="34">
        <v>2017</v>
      </c>
      <c r="J7" s="34">
        <v>2018</v>
      </c>
      <c r="K7" s="34">
        <v>2019</v>
      </c>
      <c r="L7" s="38">
        <v>2020</v>
      </c>
      <c r="S7" s="169">
        <f>W4/W10</f>
        <v>1.3441317064906506</v>
      </c>
      <c r="T7" s="170"/>
      <c r="W7" s="50"/>
      <c r="X7" s="50"/>
    </row>
    <row r="8" spans="1:24" ht="15" thickBot="1" x14ac:dyDescent="0.35">
      <c r="A8" s="34" t="s">
        <v>6</v>
      </c>
      <c r="B8" s="51">
        <f>SUM(B4:B7)</f>
        <v>223576</v>
      </c>
      <c r="C8" s="51">
        <f>SUM(C4:C7)</f>
        <v>212459</v>
      </c>
      <c r="D8" s="51">
        <f t="shared" ref="D8:E8" si="1">SUM(D4:D7)</f>
        <v>254904</v>
      </c>
      <c r="E8" s="51">
        <f t="shared" si="1"/>
        <v>203571</v>
      </c>
      <c r="G8" s="39" t="s">
        <v>36</v>
      </c>
      <c r="H8" s="42" t="s">
        <v>41</v>
      </c>
      <c r="I8" s="52">
        <f>B24/B30</f>
        <v>0.71365990105876365</v>
      </c>
      <c r="J8" s="52">
        <f t="shared" ref="J8:L8" si="2">C24/C30</f>
        <v>1.1657920862289037</v>
      </c>
      <c r="K8" s="52">
        <f t="shared" si="2"/>
        <v>1.1539620845561989</v>
      </c>
      <c r="L8" s="52">
        <f t="shared" si="2"/>
        <v>1.26383871185982</v>
      </c>
      <c r="S8" s="171"/>
      <c r="T8" s="172"/>
      <c r="W8" s="165" t="s">
        <v>60</v>
      </c>
      <c r="X8" s="166"/>
    </row>
    <row r="9" spans="1:24" ht="15" customHeight="1" thickBot="1" x14ac:dyDescent="0.35">
      <c r="A9" s="53" t="s">
        <v>7</v>
      </c>
      <c r="B9" s="44">
        <v>-5752</v>
      </c>
      <c r="C9" s="44">
        <v>-22641</v>
      </c>
      <c r="D9" s="44">
        <v>6894</v>
      </c>
      <c r="E9" s="44">
        <v>-5743</v>
      </c>
      <c r="G9" s="39" t="s">
        <v>37</v>
      </c>
      <c r="H9" s="42" t="s">
        <v>42</v>
      </c>
      <c r="I9" s="52">
        <f>(B24-B19)/B30</f>
        <v>0.59001803134680286</v>
      </c>
      <c r="J9" s="52">
        <f t="shared" ref="J9:L9" si="3">(C24-C19)/C30</f>
        <v>0.99866685576513969</v>
      </c>
      <c r="K9" s="52">
        <f t="shared" si="3"/>
        <v>1.026107944565944</v>
      </c>
      <c r="L9" s="52">
        <f t="shared" si="3"/>
        <v>1.1651173804208106</v>
      </c>
      <c r="O9" s="154" t="s">
        <v>31</v>
      </c>
      <c r="P9" s="155"/>
      <c r="W9" s="167"/>
      <c r="X9" s="168"/>
    </row>
    <row r="10" spans="1:24" ht="15" thickBot="1" x14ac:dyDescent="0.35">
      <c r="A10" s="39" t="s">
        <v>8</v>
      </c>
      <c r="B10" s="44">
        <v>1854</v>
      </c>
      <c r="C10" s="44">
        <v>3596</v>
      </c>
      <c r="D10" s="44">
        <v>9640</v>
      </c>
      <c r="E10" s="44">
        <v>9839</v>
      </c>
      <c r="G10" s="39" t="s">
        <v>38</v>
      </c>
      <c r="H10" s="42" t="s">
        <v>43</v>
      </c>
      <c r="I10" s="51">
        <f>B24-B30</f>
        <v>-24773</v>
      </c>
      <c r="J10" s="51">
        <f t="shared" ref="J10:L10" si="4">C24-C30</f>
        <v>11690</v>
      </c>
      <c r="K10" s="51">
        <f t="shared" si="4"/>
        <v>13587</v>
      </c>
      <c r="L10" s="51">
        <f t="shared" si="4"/>
        <v>19499</v>
      </c>
      <c r="O10" s="156">
        <f>S7*S16</f>
        <v>2.721296336282069E-2</v>
      </c>
      <c r="P10" s="157"/>
      <c r="W10" s="160">
        <f>((E32+D32)/2)</f>
        <v>150516.5</v>
      </c>
      <c r="X10" s="161"/>
    </row>
    <row r="11" spans="1:24" ht="15" thickBot="1" x14ac:dyDescent="0.35">
      <c r="A11" s="39" t="s">
        <v>9</v>
      </c>
      <c r="B11" s="44">
        <v>2538</v>
      </c>
      <c r="C11" s="44">
        <v>1662</v>
      </c>
      <c r="D11" s="44">
        <v>1631</v>
      </c>
      <c r="E11" s="44">
        <v>2103</v>
      </c>
      <c r="G11" s="39" t="s">
        <v>39</v>
      </c>
      <c r="H11" s="42" t="s">
        <v>44</v>
      </c>
      <c r="I11" s="43">
        <f>B26/B32</f>
        <v>3.9813090869651672E-2</v>
      </c>
      <c r="J11" s="43">
        <f t="shared" ref="J11:L11" si="5">C26/C32</f>
        <v>0.43166073555857382</v>
      </c>
      <c r="K11" s="43">
        <f t="shared" si="5"/>
        <v>0.40749911567032188</v>
      </c>
      <c r="L11" s="43">
        <f t="shared" si="5"/>
        <v>0.44618957319921948</v>
      </c>
      <c r="O11" s="156"/>
      <c r="P11" s="157"/>
      <c r="S11" s="164" t="s">
        <v>62</v>
      </c>
      <c r="T11" s="164"/>
      <c r="W11" s="162"/>
      <c r="X11" s="163"/>
    </row>
    <row r="12" spans="1:24" ht="15" customHeight="1" thickBot="1" x14ac:dyDescent="0.35">
      <c r="A12" s="34" t="s">
        <v>10</v>
      </c>
      <c r="B12" s="54">
        <f>B9+B10-B11</f>
        <v>-6436</v>
      </c>
      <c r="C12" s="54">
        <f>C9+C10-C11</f>
        <v>-20707</v>
      </c>
      <c r="D12" s="54">
        <f t="shared" ref="D12:E12" si="6">D9+D10-D11</f>
        <v>14903</v>
      </c>
      <c r="E12" s="54">
        <f t="shared" si="6"/>
        <v>1993</v>
      </c>
      <c r="G12" s="55" t="s">
        <v>40</v>
      </c>
      <c r="H12" s="46" t="s">
        <v>45</v>
      </c>
      <c r="I12" s="56">
        <f>B11/(B27+B30)</f>
        <v>2.3889981833071342E-2</v>
      </c>
      <c r="J12" s="56">
        <f t="shared" ref="J12:L12" si="7">C11/(C27+C30)</f>
        <v>2.2188993618327948E-2</v>
      </c>
      <c r="K12" s="56">
        <f t="shared" si="7"/>
        <v>1.7704206241519676E-2</v>
      </c>
      <c r="L12" s="56">
        <f t="shared" si="7"/>
        <v>2.6089869240503188E-2</v>
      </c>
      <c r="O12" s="158"/>
      <c r="P12" s="159"/>
      <c r="W12" s="57"/>
      <c r="X12" s="57"/>
    </row>
    <row r="13" spans="1:24" ht="15" thickBot="1" x14ac:dyDescent="0.35">
      <c r="A13" s="39" t="s">
        <v>11</v>
      </c>
      <c r="B13" s="44">
        <v>-1096</v>
      </c>
      <c r="C13" s="44">
        <v>-4661</v>
      </c>
      <c r="D13" s="44">
        <v>8433</v>
      </c>
      <c r="E13" s="44">
        <v>412</v>
      </c>
      <c r="W13" s="165" t="s">
        <v>63</v>
      </c>
      <c r="X13" s="166"/>
    </row>
    <row r="14" spans="1:24" ht="15" thickBot="1" x14ac:dyDescent="0.35">
      <c r="A14" s="34" t="s">
        <v>12</v>
      </c>
      <c r="B14" s="54">
        <f>B12-B13</f>
        <v>-5340</v>
      </c>
      <c r="C14" s="54">
        <f t="shared" ref="C14:E14" si="8">C12-C13</f>
        <v>-16046</v>
      </c>
      <c r="D14" s="54">
        <f t="shared" si="8"/>
        <v>6470</v>
      </c>
      <c r="E14" s="54">
        <f t="shared" si="8"/>
        <v>1581</v>
      </c>
      <c r="G14" s="189" t="s">
        <v>69</v>
      </c>
      <c r="H14" s="192" t="s">
        <v>35</v>
      </c>
      <c r="I14" s="192"/>
      <c r="J14" s="192"/>
      <c r="K14" s="192"/>
      <c r="L14" s="193"/>
      <c r="S14" s="165" t="s">
        <v>59</v>
      </c>
      <c r="T14" s="166"/>
      <c r="W14" s="167"/>
      <c r="X14" s="168"/>
    </row>
    <row r="15" spans="1:24" ht="15" customHeight="1" thickBot="1" x14ac:dyDescent="0.35">
      <c r="G15" s="190"/>
      <c r="H15" s="194" t="s">
        <v>47</v>
      </c>
      <c r="I15" s="195" t="s">
        <v>48</v>
      </c>
      <c r="J15" s="181" t="s">
        <v>49</v>
      </c>
      <c r="K15" s="196">
        <f>(((D19+E19)/2)*365)*0.8</f>
        <v>2712534</v>
      </c>
      <c r="L15" s="198">
        <f>K15/K17</f>
        <v>49.24627366968646</v>
      </c>
      <c r="S15" s="167"/>
      <c r="T15" s="168"/>
      <c r="W15" s="160">
        <f>E12+E11</f>
        <v>4096</v>
      </c>
      <c r="X15" s="161"/>
    </row>
    <row r="16" spans="1:24" ht="15" thickBot="1" x14ac:dyDescent="0.35">
      <c r="A16" s="31" t="s">
        <v>27</v>
      </c>
      <c r="G16" s="190"/>
      <c r="H16" s="194"/>
      <c r="I16" s="195"/>
      <c r="J16" s="195"/>
      <c r="K16" s="197"/>
      <c r="L16" s="174"/>
      <c r="S16" s="156">
        <f>W15/W21</f>
        <v>2.0245756596182173E-2</v>
      </c>
      <c r="T16" s="157"/>
      <c r="W16" s="162"/>
      <c r="X16" s="163"/>
    </row>
    <row r="17" spans="1:24" ht="15" thickBot="1" x14ac:dyDescent="0.35">
      <c r="A17" s="34" t="s">
        <v>28</v>
      </c>
      <c r="B17" s="34">
        <v>2017</v>
      </c>
      <c r="C17" s="34">
        <v>2018</v>
      </c>
      <c r="D17" s="34">
        <v>2019</v>
      </c>
      <c r="E17" s="35">
        <v>2020</v>
      </c>
      <c r="G17" s="190"/>
      <c r="H17" s="199" t="s">
        <v>2</v>
      </c>
      <c r="I17" s="195"/>
      <c r="J17" s="195"/>
      <c r="K17" s="196">
        <f>E4</f>
        <v>55081</v>
      </c>
      <c r="L17" s="174"/>
      <c r="S17" s="158"/>
      <c r="T17" s="159"/>
      <c r="W17" s="33"/>
      <c r="X17" s="33"/>
    </row>
    <row r="18" spans="1:24" ht="15" thickBot="1" x14ac:dyDescent="0.35">
      <c r="A18" s="39" t="s">
        <v>13</v>
      </c>
      <c r="B18" s="58">
        <v>48899</v>
      </c>
      <c r="C18" s="58">
        <v>49591</v>
      </c>
      <c r="D18" s="58">
        <v>53649</v>
      </c>
      <c r="E18" s="59">
        <v>52144</v>
      </c>
      <c r="G18" s="191"/>
      <c r="H18" s="200"/>
      <c r="I18" s="182"/>
      <c r="J18" s="182"/>
      <c r="K18" s="197"/>
      <c r="L18" s="176"/>
      <c r="W18" s="60"/>
      <c r="X18" s="60"/>
    </row>
    <row r="19" spans="1:24" x14ac:dyDescent="0.3">
      <c r="A19" s="39" t="s">
        <v>14</v>
      </c>
      <c r="B19" s="58">
        <v>10697</v>
      </c>
      <c r="C19" s="58">
        <v>11784</v>
      </c>
      <c r="D19" s="58">
        <v>11283</v>
      </c>
      <c r="E19" s="59">
        <v>7296</v>
      </c>
      <c r="W19" s="165" t="s">
        <v>64</v>
      </c>
      <c r="X19" s="166"/>
    </row>
    <row r="20" spans="1:24" ht="15" customHeight="1" thickBot="1" x14ac:dyDescent="0.35">
      <c r="A20" s="39" t="s">
        <v>15</v>
      </c>
      <c r="B20" s="58">
        <v>45146</v>
      </c>
      <c r="C20" s="58">
        <v>52268</v>
      </c>
      <c r="D20" s="58">
        <v>64496</v>
      </c>
      <c r="E20" s="59">
        <v>35159</v>
      </c>
      <c r="W20" s="167"/>
      <c r="X20" s="168"/>
    </row>
    <row r="21" spans="1:24" ht="15" customHeight="1" thickBot="1" x14ac:dyDescent="0.35">
      <c r="A21" s="39" t="s">
        <v>16</v>
      </c>
      <c r="B21" s="58">
        <v>0</v>
      </c>
      <c r="C21" s="58">
        <v>13776</v>
      </c>
      <c r="D21" s="58">
        <v>11399</v>
      </c>
      <c r="E21" s="59">
        <v>9366</v>
      </c>
      <c r="G21" s="189" t="s">
        <v>70</v>
      </c>
      <c r="H21" s="192" t="s">
        <v>35</v>
      </c>
      <c r="I21" s="192"/>
      <c r="J21" s="192"/>
      <c r="K21" s="192"/>
      <c r="L21" s="193"/>
      <c r="W21" s="173">
        <f>E3</f>
        <v>202314</v>
      </c>
      <c r="X21" s="174"/>
    </row>
    <row r="22" spans="1:24" ht="15" thickBot="1" x14ac:dyDescent="0.35">
      <c r="A22" s="39" t="s">
        <v>17</v>
      </c>
      <c r="B22" s="58">
        <f>SUM(B20:B21)</f>
        <v>45146</v>
      </c>
      <c r="C22" s="58">
        <f t="shared" ref="C22:E22" si="9">SUM(C20:C21)</f>
        <v>66044</v>
      </c>
      <c r="D22" s="58">
        <f t="shared" si="9"/>
        <v>75895</v>
      </c>
      <c r="E22" s="59">
        <f t="shared" si="9"/>
        <v>44525</v>
      </c>
      <c r="G22" s="190"/>
      <c r="H22" s="194" t="s">
        <v>51</v>
      </c>
      <c r="I22" s="195" t="s">
        <v>48</v>
      </c>
      <c r="J22" s="181" t="s">
        <v>49</v>
      </c>
      <c r="K22" s="196">
        <f>(((D20+E20)/2)*365)*0.7</f>
        <v>12730926.25</v>
      </c>
      <c r="L22" s="198">
        <f>K22/K24</f>
        <v>50.341256660438724</v>
      </c>
      <c r="W22" s="175"/>
      <c r="X22" s="176"/>
    </row>
    <row r="23" spans="1:24" ht="15" thickBot="1" x14ac:dyDescent="0.35">
      <c r="A23" s="39" t="s">
        <v>18</v>
      </c>
      <c r="B23" s="58">
        <v>4061</v>
      </c>
      <c r="C23" s="58">
        <v>3293</v>
      </c>
      <c r="D23" s="58">
        <v>9970</v>
      </c>
      <c r="E23" s="59">
        <v>25942</v>
      </c>
      <c r="G23" s="190"/>
      <c r="H23" s="194"/>
      <c r="I23" s="195"/>
      <c r="J23" s="195"/>
      <c r="K23" s="197"/>
      <c r="L23" s="174"/>
    </row>
    <row r="24" spans="1:24" x14ac:dyDescent="0.3">
      <c r="A24" s="39" t="s">
        <v>19</v>
      </c>
      <c r="B24" s="58">
        <v>61743</v>
      </c>
      <c r="C24" s="58">
        <v>82200</v>
      </c>
      <c r="D24" s="58">
        <v>101836</v>
      </c>
      <c r="E24" s="59">
        <v>93404</v>
      </c>
      <c r="G24" s="190"/>
      <c r="H24" s="199" t="s">
        <v>52</v>
      </c>
      <c r="I24" s="195"/>
      <c r="J24" s="195"/>
      <c r="K24" s="196">
        <f>E3*1.25</f>
        <v>252892.5</v>
      </c>
      <c r="L24" s="174"/>
    </row>
    <row r="25" spans="1:24" ht="15" thickBot="1" x14ac:dyDescent="0.35">
      <c r="A25" s="39" t="s">
        <v>20</v>
      </c>
      <c r="B25" s="58">
        <v>110642</v>
      </c>
      <c r="C25" s="58">
        <v>131791</v>
      </c>
      <c r="D25" s="58">
        <v>155485</v>
      </c>
      <c r="E25" s="59">
        <v>145548</v>
      </c>
      <c r="G25" s="191"/>
      <c r="H25" s="200"/>
      <c r="I25" s="182"/>
      <c r="J25" s="182"/>
      <c r="K25" s="197"/>
      <c r="L25" s="176"/>
    </row>
    <row r="26" spans="1:24" ht="15" customHeight="1" thickBot="1" x14ac:dyDescent="0.35">
      <c r="A26" s="39" t="s">
        <v>21</v>
      </c>
      <c r="B26" s="58">
        <v>4405</v>
      </c>
      <c r="C26" s="58">
        <v>56889</v>
      </c>
      <c r="D26" s="58">
        <v>63360</v>
      </c>
      <c r="E26" s="59">
        <v>64942</v>
      </c>
    </row>
    <row r="27" spans="1:24" ht="15" thickBot="1" x14ac:dyDescent="0.35">
      <c r="A27" s="39" t="s">
        <v>22</v>
      </c>
      <c r="B27" s="58">
        <v>19721</v>
      </c>
      <c r="C27" s="58">
        <v>4392</v>
      </c>
      <c r="D27" s="58">
        <v>3876</v>
      </c>
      <c r="E27" s="59">
        <v>6701</v>
      </c>
      <c r="G27" s="189" t="s">
        <v>53</v>
      </c>
      <c r="H27" s="192" t="s">
        <v>35</v>
      </c>
      <c r="I27" s="192"/>
      <c r="J27" s="192"/>
      <c r="K27" s="192"/>
      <c r="L27" s="193"/>
    </row>
    <row r="28" spans="1:24" x14ac:dyDescent="0.3">
      <c r="A28" s="39" t="s">
        <v>29</v>
      </c>
      <c r="B28" s="58">
        <v>8586</v>
      </c>
      <c r="C28" s="58">
        <v>8651</v>
      </c>
      <c r="D28" s="58">
        <v>0</v>
      </c>
      <c r="E28" s="59">
        <v>0</v>
      </c>
      <c r="G28" s="190"/>
      <c r="H28" s="194" t="s">
        <v>54</v>
      </c>
      <c r="I28" s="195" t="s">
        <v>48</v>
      </c>
      <c r="J28" s="181" t="s">
        <v>49</v>
      </c>
      <c r="K28" s="196">
        <f>(((D29+E29)/2)*365)</f>
        <v>5141390</v>
      </c>
      <c r="L28" s="198">
        <f>K28/K30</f>
        <v>80.500880729635568</v>
      </c>
    </row>
    <row r="29" spans="1:24" ht="15" thickBot="1" x14ac:dyDescent="0.35">
      <c r="A29" s="39" t="s">
        <v>23</v>
      </c>
      <c r="B29" s="58">
        <v>6867</v>
      </c>
      <c r="C29" s="58">
        <v>7834</v>
      </c>
      <c r="D29" s="58">
        <v>10133</v>
      </c>
      <c r="E29" s="59">
        <v>18039</v>
      </c>
      <c r="G29" s="190"/>
      <c r="H29" s="194"/>
      <c r="I29" s="195"/>
      <c r="J29" s="195"/>
      <c r="K29" s="197"/>
      <c r="L29" s="174"/>
    </row>
    <row r="30" spans="1:24" x14ac:dyDescent="0.3">
      <c r="A30" s="39" t="s">
        <v>24</v>
      </c>
      <c r="B30" s="58">
        <v>86516</v>
      </c>
      <c r="C30" s="58">
        <v>70510</v>
      </c>
      <c r="D30" s="58">
        <v>88249</v>
      </c>
      <c r="E30" s="59">
        <v>73905</v>
      </c>
      <c r="G30" s="190"/>
      <c r="H30" s="199" t="s">
        <v>55</v>
      </c>
      <c r="I30" s="195"/>
      <c r="J30" s="195"/>
      <c r="K30" s="196">
        <f>(E19-D19+E4)*1.25</f>
        <v>63867.5</v>
      </c>
      <c r="L30" s="174"/>
    </row>
    <row r="31" spans="1:24" ht="15" thickBot="1" x14ac:dyDescent="0.35">
      <c r="A31" s="39" t="s">
        <v>25</v>
      </c>
      <c r="B31" s="58">
        <v>106237</v>
      </c>
      <c r="C31" s="58">
        <v>74902</v>
      </c>
      <c r="D31" s="58">
        <v>92125</v>
      </c>
      <c r="E31" s="59">
        <v>80606</v>
      </c>
      <c r="G31" s="191"/>
      <c r="H31" s="200"/>
      <c r="I31" s="182"/>
      <c r="J31" s="182"/>
      <c r="K31" s="197"/>
      <c r="L31" s="176"/>
    </row>
    <row r="32" spans="1:24" ht="15" thickBot="1" x14ac:dyDescent="0.35">
      <c r="A32" s="34" t="s">
        <v>30</v>
      </c>
      <c r="B32" s="51">
        <v>110642</v>
      </c>
      <c r="C32" s="51">
        <v>131791</v>
      </c>
      <c r="D32" s="51">
        <v>155485</v>
      </c>
      <c r="E32" s="61">
        <v>145548</v>
      </c>
    </row>
    <row r="33" spans="7:12" x14ac:dyDescent="0.3">
      <c r="G33" s="177" t="s">
        <v>56</v>
      </c>
      <c r="H33" s="179" t="s">
        <v>57</v>
      </c>
      <c r="I33" s="181" t="s">
        <v>49</v>
      </c>
      <c r="J33" s="183">
        <f>L15+L22-L28</f>
        <v>19.086649600489622</v>
      </c>
      <c r="K33" s="184"/>
      <c r="L33" s="185"/>
    </row>
    <row r="34" spans="7:12" ht="15" thickBot="1" x14ac:dyDescent="0.35">
      <c r="G34" s="178"/>
      <c r="H34" s="180"/>
      <c r="I34" s="182"/>
      <c r="J34" s="186"/>
      <c r="K34" s="187"/>
      <c r="L34" s="188"/>
    </row>
  </sheetData>
  <mergeCells count="47">
    <mergeCell ref="G14:G18"/>
    <mergeCell ref="H14:L14"/>
    <mergeCell ref="H15:H16"/>
    <mergeCell ref="I15:I18"/>
    <mergeCell ref="J15:J18"/>
    <mergeCell ref="K15:K16"/>
    <mergeCell ref="L15:L18"/>
    <mergeCell ref="H17:H18"/>
    <mergeCell ref="K17:K18"/>
    <mergeCell ref="H21:L21"/>
    <mergeCell ref="H22:H23"/>
    <mergeCell ref="I22:I25"/>
    <mergeCell ref="J22:J25"/>
    <mergeCell ref="K22:K23"/>
    <mergeCell ref="L22:L25"/>
    <mergeCell ref="H24:H25"/>
    <mergeCell ref="K24:K25"/>
    <mergeCell ref="W19:X20"/>
    <mergeCell ref="W21:X22"/>
    <mergeCell ref="G33:G34"/>
    <mergeCell ref="H33:H34"/>
    <mergeCell ref="I33:I34"/>
    <mergeCell ref="J33:L34"/>
    <mergeCell ref="G27:G31"/>
    <mergeCell ref="H27:L27"/>
    <mergeCell ref="H28:H29"/>
    <mergeCell ref="I28:I31"/>
    <mergeCell ref="J28:J31"/>
    <mergeCell ref="K28:K29"/>
    <mergeCell ref="L28:L31"/>
    <mergeCell ref="H30:H31"/>
    <mergeCell ref="K30:K31"/>
    <mergeCell ref="G21:G25"/>
    <mergeCell ref="W13:X14"/>
    <mergeCell ref="S16:T17"/>
    <mergeCell ref="W2:X3"/>
    <mergeCell ref="W4:X5"/>
    <mergeCell ref="S5:T6"/>
    <mergeCell ref="S7:T8"/>
    <mergeCell ref="W8:X9"/>
    <mergeCell ref="S14:T15"/>
    <mergeCell ref="W15:X16"/>
    <mergeCell ref="O2:Q6"/>
    <mergeCell ref="O9:P9"/>
    <mergeCell ref="O10:P12"/>
    <mergeCell ref="W10:X11"/>
    <mergeCell ref="S11:T11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D744-1A93-47A5-84EA-5B6BA8320AB6}">
  <dimension ref="A1:X34"/>
  <sheetViews>
    <sheetView zoomScale="90" zoomScaleNormal="90" workbookViewId="0">
      <selection activeCell="O27" sqref="O27"/>
    </sheetView>
  </sheetViews>
  <sheetFormatPr defaultColWidth="8.88671875" defaultRowHeight="14.4" x14ac:dyDescent="0.3"/>
  <cols>
    <col min="1" max="1" width="26.6640625" style="31" bestFit="1" customWidth="1"/>
    <col min="2" max="2" width="11.33203125" style="31" bestFit="1" customWidth="1"/>
    <col min="3" max="3" width="12.6640625" style="31" bestFit="1" customWidth="1"/>
    <col min="4" max="5" width="11.33203125" style="31" bestFit="1" customWidth="1"/>
    <col min="6" max="6" width="8.88671875" style="31"/>
    <col min="7" max="7" width="36.109375" style="31" bestFit="1" customWidth="1"/>
    <col min="8" max="8" width="16.109375" style="31" bestFit="1" customWidth="1"/>
    <col min="9" max="9" width="10.33203125" style="31" bestFit="1" customWidth="1"/>
    <col min="10" max="10" width="8.33203125" style="31" bestFit="1" customWidth="1"/>
    <col min="11" max="11" width="12.33203125" style="31" bestFit="1" customWidth="1"/>
    <col min="12" max="12" width="8.33203125" style="31" bestFit="1" customWidth="1"/>
    <col min="13" max="16384" width="8.88671875" style="31"/>
  </cols>
  <sheetData>
    <row r="1" spans="1:24" ht="15" thickBot="1" x14ac:dyDescent="0.35">
      <c r="A1" s="31" t="s">
        <v>26</v>
      </c>
      <c r="C1" s="32"/>
      <c r="D1" s="32"/>
      <c r="E1" s="32"/>
      <c r="W1" s="33"/>
      <c r="X1" s="33"/>
    </row>
    <row r="2" spans="1:24" ht="15" thickBot="1" x14ac:dyDescent="0.35">
      <c r="A2" s="34" t="s">
        <v>0</v>
      </c>
      <c r="B2" s="34">
        <v>2017</v>
      </c>
      <c r="C2" s="34">
        <v>2018</v>
      </c>
      <c r="D2" s="34">
        <v>2019</v>
      </c>
      <c r="E2" s="35">
        <v>2020</v>
      </c>
      <c r="G2" s="36"/>
      <c r="H2" s="37" t="s">
        <v>35</v>
      </c>
      <c r="I2" s="34">
        <v>2017</v>
      </c>
      <c r="J2" s="34">
        <v>2018</v>
      </c>
      <c r="K2" s="34">
        <v>2019</v>
      </c>
      <c r="L2" s="38">
        <v>2020</v>
      </c>
      <c r="O2" s="145" t="s">
        <v>121</v>
      </c>
      <c r="P2" s="146"/>
      <c r="Q2" s="147"/>
      <c r="W2" s="165" t="s">
        <v>61</v>
      </c>
      <c r="X2" s="166"/>
    </row>
    <row r="3" spans="1:24" ht="15" customHeight="1" thickBot="1" x14ac:dyDescent="0.35">
      <c r="A3" s="39" t="s">
        <v>1</v>
      </c>
      <c r="B3" s="40">
        <v>213338</v>
      </c>
      <c r="C3" s="40">
        <v>210884</v>
      </c>
      <c r="D3" s="40">
        <v>240734</v>
      </c>
      <c r="E3" s="40">
        <v>202314</v>
      </c>
      <c r="G3" s="41" t="s">
        <v>33</v>
      </c>
      <c r="H3" s="42" t="s">
        <v>31</v>
      </c>
      <c r="I3" s="43">
        <f>(B12+B11)/((B32+C32)/2)</f>
        <v>-3.2157338316153326E-2</v>
      </c>
      <c r="J3" s="43">
        <f>(C12+C11)/((C32+D32)/2)</f>
        <v>-0.13259026162993079</v>
      </c>
      <c r="K3" s="43">
        <f>(D12+D11)/((D32+E32)/2)</f>
        <v>0.10984842193380792</v>
      </c>
      <c r="L3" s="43">
        <f>(E12+E11)/((E32+D32)/2)</f>
        <v>2.7212963362820686E-2</v>
      </c>
      <c r="O3" s="148"/>
      <c r="P3" s="149"/>
      <c r="Q3" s="150"/>
      <c r="W3" s="167"/>
      <c r="X3" s="168"/>
    </row>
    <row r="4" spans="1:24" ht="15" thickBot="1" x14ac:dyDescent="0.35">
      <c r="A4" s="39" t="s">
        <v>2</v>
      </c>
      <c r="B4" s="44">
        <v>67548</v>
      </c>
      <c r="C4" s="44">
        <v>69639</v>
      </c>
      <c r="D4" s="44">
        <v>70359</v>
      </c>
      <c r="E4" s="44">
        <v>55081</v>
      </c>
      <c r="G4" s="45" t="s">
        <v>34</v>
      </c>
      <c r="H4" s="46" t="s">
        <v>32</v>
      </c>
      <c r="I4" s="47">
        <f>B12/((B26+C26)/2)</f>
        <v>-0.21000424185075212</v>
      </c>
      <c r="J4" s="47">
        <f t="shared" ref="J4:K4" si="0">C12/((C26+D26)/2)</f>
        <v>-0.34440203244933432</v>
      </c>
      <c r="K4" s="47">
        <f t="shared" si="0"/>
        <v>0.23231126560770682</v>
      </c>
      <c r="L4" s="47">
        <f>E12/((E26+D26)/2)</f>
        <v>3.1067325528830417E-2</v>
      </c>
      <c r="O4" s="148"/>
      <c r="P4" s="149"/>
      <c r="Q4" s="150"/>
      <c r="W4" s="160">
        <f>E3</f>
        <v>202314</v>
      </c>
      <c r="X4" s="161"/>
    </row>
    <row r="5" spans="1:24" ht="15" customHeight="1" thickBot="1" x14ac:dyDescent="0.35">
      <c r="A5" s="39" t="s">
        <v>3</v>
      </c>
      <c r="B5" s="44">
        <v>107244</v>
      </c>
      <c r="C5" s="44">
        <v>104926</v>
      </c>
      <c r="D5" s="44">
        <v>122306</v>
      </c>
      <c r="E5" s="44">
        <v>106945</v>
      </c>
      <c r="O5" s="148"/>
      <c r="P5" s="149"/>
      <c r="Q5" s="150"/>
      <c r="S5" s="165" t="s">
        <v>58</v>
      </c>
      <c r="T5" s="166"/>
      <c r="W5" s="162"/>
      <c r="X5" s="163"/>
    </row>
    <row r="6" spans="1:24" ht="15" thickBot="1" x14ac:dyDescent="0.35">
      <c r="A6" s="39" t="s">
        <v>4</v>
      </c>
      <c r="B6" s="44">
        <v>11120</v>
      </c>
      <c r="C6" s="44">
        <v>5350</v>
      </c>
      <c r="D6" s="44">
        <v>26415</v>
      </c>
      <c r="E6" s="44">
        <v>6634</v>
      </c>
      <c r="O6" s="151"/>
      <c r="P6" s="152"/>
      <c r="Q6" s="153"/>
      <c r="S6" s="167"/>
      <c r="T6" s="168"/>
    </row>
    <row r="7" spans="1:24" ht="15" thickBot="1" x14ac:dyDescent="0.35">
      <c r="A7" s="39" t="s">
        <v>5</v>
      </c>
      <c r="B7" s="44">
        <v>37664</v>
      </c>
      <c r="C7" s="44">
        <v>32544</v>
      </c>
      <c r="D7" s="44">
        <v>35824</v>
      </c>
      <c r="E7" s="44">
        <v>34911</v>
      </c>
      <c r="G7" s="48"/>
      <c r="H7" s="49" t="s">
        <v>35</v>
      </c>
      <c r="I7" s="34">
        <v>2017</v>
      </c>
      <c r="J7" s="34">
        <v>2018</v>
      </c>
      <c r="K7" s="34">
        <v>2019</v>
      </c>
      <c r="L7" s="38">
        <v>2020</v>
      </c>
      <c r="S7" s="201">
        <f>W4/W10</f>
        <v>2.2402195108177509</v>
      </c>
      <c r="T7" s="202"/>
      <c r="W7" s="50"/>
      <c r="X7" s="50"/>
    </row>
    <row r="8" spans="1:24" ht="15" thickBot="1" x14ac:dyDescent="0.35">
      <c r="A8" s="34" t="s">
        <v>6</v>
      </c>
      <c r="B8" s="51">
        <f>SUM(B4:B7)</f>
        <v>223576</v>
      </c>
      <c r="C8" s="51">
        <f>SUM(C4:C7)</f>
        <v>212459</v>
      </c>
      <c r="D8" s="51">
        <f t="shared" ref="D8:E8" si="1">SUM(D4:D7)</f>
        <v>254904</v>
      </c>
      <c r="E8" s="51">
        <f t="shared" si="1"/>
        <v>203571</v>
      </c>
      <c r="G8" s="39" t="s">
        <v>36</v>
      </c>
      <c r="H8" s="42" t="s">
        <v>41</v>
      </c>
      <c r="I8" s="52">
        <f>B24/B30</f>
        <v>0.71365990105876365</v>
      </c>
      <c r="J8" s="52">
        <f t="shared" ref="J8:L8" si="2">C24/C30</f>
        <v>1.1657920862289037</v>
      </c>
      <c r="K8" s="52">
        <f t="shared" si="2"/>
        <v>1.1539620845561989</v>
      </c>
      <c r="L8" s="52">
        <f t="shared" si="2"/>
        <v>1.26383871185982</v>
      </c>
      <c r="S8" s="203"/>
      <c r="T8" s="204"/>
      <c r="W8" s="165" t="s">
        <v>60</v>
      </c>
      <c r="X8" s="166"/>
    </row>
    <row r="9" spans="1:24" ht="15" customHeight="1" thickBot="1" x14ac:dyDescent="0.35">
      <c r="A9" s="53" t="s">
        <v>7</v>
      </c>
      <c r="B9" s="44">
        <v>-5752</v>
      </c>
      <c r="C9" s="44">
        <v>-22641</v>
      </c>
      <c r="D9" s="44">
        <v>6894</v>
      </c>
      <c r="E9" s="44">
        <v>-5743</v>
      </c>
      <c r="G9" s="39" t="s">
        <v>37</v>
      </c>
      <c r="H9" s="42" t="s">
        <v>42</v>
      </c>
      <c r="I9" s="52">
        <f>(B24-B19)/B30</f>
        <v>0.59001803134680286</v>
      </c>
      <c r="J9" s="52">
        <f t="shared" ref="J9:L9" si="3">(C24-C19)/C30</f>
        <v>0.99866685576513969</v>
      </c>
      <c r="K9" s="52">
        <f t="shared" si="3"/>
        <v>1.026107944565944</v>
      </c>
      <c r="L9" s="52">
        <f t="shared" si="3"/>
        <v>1.1651173804208106</v>
      </c>
      <c r="O9" s="154" t="s">
        <v>31</v>
      </c>
      <c r="P9" s="155"/>
      <c r="W9" s="167"/>
      <c r="X9" s="168"/>
    </row>
    <row r="10" spans="1:24" ht="15" thickBot="1" x14ac:dyDescent="0.35">
      <c r="A10" s="39" t="s">
        <v>8</v>
      </c>
      <c r="B10" s="44">
        <v>1854</v>
      </c>
      <c r="C10" s="44">
        <v>3596</v>
      </c>
      <c r="D10" s="44">
        <v>9640</v>
      </c>
      <c r="E10" s="44">
        <v>9839</v>
      </c>
      <c r="G10" s="39" t="s">
        <v>38</v>
      </c>
      <c r="H10" s="42" t="s">
        <v>43</v>
      </c>
      <c r="I10" s="51">
        <f>B24-B30</f>
        <v>-24773</v>
      </c>
      <c r="J10" s="51">
        <f t="shared" ref="J10:L10" si="4">C24-C30</f>
        <v>11690</v>
      </c>
      <c r="K10" s="51">
        <f t="shared" si="4"/>
        <v>13587</v>
      </c>
      <c r="L10" s="51">
        <f t="shared" si="4"/>
        <v>19499</v>
      </c>
      <c r="O10" s="156">
        <f>S7*S16</f>
        <v>4.5354938938034481E-2</v>
      </c>
      <c r="P10" s="157"/>
      <c r="W10" s="160">
        <f>((E32+D32)/2)*0.6</f>
        <v>90309.9</v>
      </c>
      <c r="X10" s="161"/>
    </row>
    <row r="11" spans="1:24" ht="15" thickBot="1" x14ac:dyDescent="0.35">
      <c r="A11" s="39" t="s">
        <v>9</v>
      </c>
      <c r="B11" s="44">
        <v>2538</v>
      </c>
      <c r="C11" s="44">
        <v>1662</v>
      </c>
      <c r="D11" s="44">
        <v>1631</v>
      </c>
      <c r="E11" s="44">
        <v>2103</v>
      </c>
      <c r="G11" s="39" t="s">
        <v>39</v>
      </c>
      <c r="H11" s="42" t="s">
        <v>44</v>
      </c>
      <c r="I11" s="43">
        <f>B26/B32</f>
        <v>3.9813090869651672E-2</v>
      </c>
      <c r="J11" s="43">
        <f t="shared" ref="J11:L11" si="5">C26/C32</f>
        <v>0.43166073555857382</v>
      </c>
      <c r="K11" s="43">
        <f t="shared" si="5"/>
        <v>0.40749911567032188</v>
      </c>
      <c r="L11" s="43">
        <f t="shared" si="5"/>
        <v>0.44618957319921948</v>
      </c>
      <c r="O11" s="156"/>
      <c r="P11" s="157"/>
      <c r="S11" s="164" t="s">
        <v>62</v>
      </c>
      <c r="T11" s="164"/>
      <c r="W11" s="162"/>
      <c r="X11" s="163"/>
    </row>
    <row r="12" spans="1:24" ht="15" customHeight="1" thickBot="1" x14ac:dyDescent="0.35">
      <c r="A12" s="34" t="s">
        <v>10</v>
      </c>
      <c r="B12" s="54">
        <f>B9+B10-B11</f>
        <v>-6436</v>
      </c>
      <c r="C12" s="54">
        <f>C9+C10-C11</f>
        <v>-20707</v>
      </c>
      <c r="D12" s="54">
        <f t="shared" ref="D12:E12" si="6">D9+D10-D11</f>
        <v>14903</v>
      </c>
      <c r="E12" s="54">
        <f t="shared" si="6"/>
        <v>1993</v>
      </c>
      <c r="G12" s="55" t="s">
        <v>40</v>
      </c>
      <c r="H12" s="46" t="s">
        <v>45</v>
      </c>
      <c r="I12" s="56">
        <f>B11/(B27+B30)</f>
        <v>2.3889981833071342E-2</v>
      </c>
      <c r="J12" s="56">
        <f t="shared" ref="J12:L12" si="7">C11/(C27+C30)</f>
        <v>2.2188993618327948E-2</v>
      </c>
      <c r="K12" s="56">
        <f t="shared" si="7"/>
        <v>1.7704206241519676E-2</v>
      </c>
      <c r="L12" s="56">
        <f t="shared" si="7"/>
        <v>2.6089869240503188E-2</v>
      </c>
      <c r="O12" s="158"/>
      <c r="P12" s="159"/>
      <c r="W12" s="57"/>
      <c r="X12" s="57"/>
    </row>
    <row r="13" spans="1:24" ht="15" thickBot="1" x14ac:dyDescent="0.35">
      <c r="A13" s="39" t="s">
        <v>11</v>
      </c>
      <c r="B13" s="44">
        <v>-1096</v>
      </c>
      <c r="C13" s="44">
        <v>-4661</v>
      </c>
      <c r="D13" s="44">
        <v>8433</v>
      </c>
      <c r="E13" s="44">
        <v>412</v>
      </c>
      <c r="W13" s="165" t="s">
        <v>63</v>
      </c>
      <c r="X13" s="166"/>
    </row>
    <row r="14" spans="1:24" ht="15" thickBot="1" x14ac:dyDescent="0.35">
      <c r="A14" s="34" t="s">
        <v>12</v>
      </c>
      <c r="B14" s="54">
        <f>B12-B13</f>
        <v>-5340</v>
      </c>
      <c r="C14" s="54">
        <f t="shared" ref="C14:E14" si="8">C12-C13</f>
        <v>-16046</v>
      </c>
      <c r="D14" s="54">
        <f t="shared" si="8"/>
        <v>6470</v>
      </c>
      <c r="E14" s="54">
        <f t="shared" si="8"/>
        <v>1581</v>
      </c>
      <c r="G14" s="189" t="s">
        <v>69</v>
      </c>
      <c r="H14" s="192" t="s">
        <v>35</v>
      </c>
      <c r="I14" s="192"/>
      <c r="J14" s="192"/>
      <c r="K14" s="192"/>
      <c r="L14" s="193"/>
      <c r="S14" s="165" t="s">
        <v>59</v>
      </c>
      <c r="T14" s="166"/>
      <c r="W14" s="167"/>
      <c r="X14" s="168"/>
    </row>
    <row r="15" spans="1:24" ht="15" customHeight="1" thickBot="1" x14ac:dyDescent="0.35">
      <c r="G15" s="190"/>
      <c r="H15" s="194" t="s">
        <v>47</v>
      </c>
      <c r="I15" s="195" t="s">
        <v>48</v>
      </c>
      <c r="J15" s="181" t="s">
        <v>49</v>
      </c>
      <c r="K15" s="196">
        <f>(((D19+E19)/2)*365)*0.8</f>
        <v>2712534</v>
      </c>
      <c r="L15" s="198">
        <f>K15/K17</f>
        <v>49.24627366968646</v>
      </c>
      <c r="S15" s="167"/>
      <c r="T15" s="168"/>
      <c r="W15" s="160">
        <f>E12+E11</f>
        <v>4096</v>
      </c>
      <c r="X15" s="161"/>
    </row>
    <row r="16" spans="1:24" ht="15" thickBot="1" x14ac:dyDescent="0.35">
      <c r="A16" s="31" t="s">
        <v>27</v>
      </c>
      <c r="G16" s="190"/>
      <c r="H16" s="194"/>
      <c r="I16" s="195"/>
      <c r="J16" s="195"/>
      <c r="K16" s="197"/>
      <c r="L16" s="174"/>
      <c r="S16" s="156">
        <f>W15/W21</f>
        <v>2.0245756596182173E-2</v>
      </c>
      <c r="T16" s="157"/>
      <c r="W16" s="162"/>
      <c r="X16" s="163"/>
    </row>
    <row r="17" spans="1:24" ht="15" thickBot="1" x14ac:dyDescent="0.35">
      <c r="A17" s="34" t="s">
        <v>28</v>
      </c>
      <c r="B17" s="34">
        <v>2017</v>
      </c>
      <c r="C17" s="34">
        <v>2018</v>
      </c>
      <c r="D17" s="34">
        <v>2019</v>
      </c>
      <c r="E17" s="35">
        <v>2020</v>
      </c>
      <c r="G17" s="190"/>
      <c r="H17" s="199" t="s">
        <v>2</v>
      </c>
      <c r="I17" s="195"/>
      <c r="J17" s="195"/>
      <c r="K17" s="196">
        <f>E4</f>
        <v>55081</v>
      </c>
      <c r="L17" s="174"/>
      <c r="S17" s="158"/>
      <c r="T17" s="159"/>
      <c r="W17" s="33"/>
      <c r="X17" s="33"/>
    </row>
    <row r="18" spans="1:24" ht="15" thickBot="1" x14ac:dyDescent="0.35">
      <c r="A18" s="39" t="s">
        <v>13</v>
      </c>
      <c r="B18" s="58">
        <v>48899</v>
      </c>
      <c r="C18" s="58">
        <v>49591</v>
      </c>
      <c r="D18" s="58">
        <v>53649</v>
      </c>
      <c r="E18" s="59">
        <v>52144</v>
      </c>
      <c r="G18" s="191"/>
      <c r="H18" s="200"/>
      <c r="I18" s="182"/>
      <c r="J18" s="182"/>
      <c r="K18" s="197"/>
      <c r="L18" s="176"/>
      <c r="W18" s="60"/>
      <c r="X18" s="60"/>
    </row>
    <row r="19" spans="1:24" x14ac:dyDescent="0.3">
      <c r="A19" s="39" t="s">
        <v>14</v>
      </c>
      <c r="B19" s="58">
        <v>10697</v>
      </c>
      <c r="C19" s="58">
        <v>11784</v>
      </c>
      <c r="D19" s="58">
        <v>11283</v>
      </c>
      <c r="E19" s="59">
        <v>7296</v>
      </c>
      <c r="W19" s="165" t="s">
        <v>64</v>
      </c>
      <c r="X19" s="166"/>
    </row>
    <row r="20" spans="1:24" ht="15" customHeight="1" thickBot="1" x14ac:dyDescent="0.35">
      <c r="A20" s="39" t="s">
        <v>15</v>
      </c>
      <c r="B20" s="58">
        <v>45146</v>
      </c>
      <c r="C20" s="58">
        <v>52268</v>
      </c>
      <c r="D20" s="58">
        <v>64496</v>
      </c>
      <c r="E20" s="59">
        <v>35159</v>
      </c>
      <c r="W20" s="167"/>
      <c r="X20" s="168"/>
    </row>
    <row r="21" spans="1:24" ht="15" customHeight="1" thickBot="1" x14ac:dyDescent="0.35">
      <c r="A21" s="39" t="s">
        <v>16</v>
      </c>
      <c r="B21" s="58">
        <v>0</v>
      </c>
      <c r="C21" s="58">
        <v>13776</v>
      </c>
      <c r="D21" s="58">
        <v>11399</v>
      </c>
      <c r="E21" s="59">
        <v>9366</v>
      </c>
      <c r="G21" s="189" t="s">
        <v>70</v>
      </c>
      <c r="H21" s="192" t="s">
        <v>35</v>
      </c>
      <c r="I21" s="192"/>
      <c r="J21" s="192"/>
      <c r="K21" s="192"/>
      <c r="L21" s="193"/>
      <c r="W21" s="173">
        <f>E3</f>
        <v>202314</v>
      </c>
      <c r="X21" s="174"/>
    </row>
    <row r="22" spans="1:24" ht="15" thickBot="1" x14ac:dyDescent="0.35">
      <c r="A22" s="39" t="s">
        <v>17</v>
      </c>
      <c r="B22" s="58">
        <f>SUM(B20:B21)</f>
        <v>45146</v>
      </c>
      <c r="C22" s="58">
        <f t="shared" ref="C22:E22" si="9">SUM(C20:C21)</f>
        <v>66044</v>
      </c>
      <c r="D22" s="58">
        <f t="shared" si="9"/>
        <v>75895</v>
      </c>
      <c r="E22" s="59">
        <f t="shared" si="9"/>
        <v>44525</v>
      </c>
      <c r="G22" s="190"/>
      <c r="H22" s="194" t="s">
        <v>51</v>
      </c>
      <c r="I22" s="195" t="s">
        <v>48</v>
      </c>
      <c r="J22" s="181" t="s">
        <v>49</v>
      </c>
      <c r="K22" s="196">
        <f>(((D20+E20)/2)*365)*0.7</f>
        <v>12730926.25</v>
      </c>
      <c r="L22" s="198">
        <f>K22/K24</f>
        <v>50.341256660438724</v>
      </c>
      <c r="W22" s="175"/>
      <c r="X22" s="176"/>
    </row>
    <row r="23" spans="1:24" ht="15" thickBot="1" x14ac:dyDescent="0.35">
      <c r="A23" s="39" t="s">
        <v>18</v>
      </c>
      <c r="B23" s="58">
        <v>4061</v>
      </c>
      <c r="C23" s="58">
        <v>3293</v>
      </c>
      <c r="D23" s="58">
        <v>9970</v>
      </c>
      <c r="E23" s="59">
        <v>25942</v>
      </c>
      <c r="G23" s="190"/>
      <c r="H23" s="194"/>
      <c r="I23" s="195"/>
      <c r="J23" s="195"/>
      <c r="K23" s="197"/>
      <c r="L23" s="174"/>
    </row>
    <row r="24" spans="1:24" x14ac:dyDescent="0.3">
      <c r="A24" s="39" t="s">
        <v>19</v>
      </c>
      <c r="B24" s="58">
        <v>61743</v>
      </c>
      <c r="C24" s="58">
        <v>82200</v>
      </c>
      <c r="D24" s="58">
        <v>101836</v>
      </c>
      <c r="E24" s="59">
        <v>93404</v>
      </c>
      <c r="G24" s="190"/>
      <c r="H24" s="199" t="s">
        <v>52</v>
      </c>
      <c r="I24" s="195"/>
      <c r="J24" s="195"/>
      <c r="K24" s="196">
        <f>E3*1.25</f>
        <v>252892.5</v>
      </c>
      <c r="L24" s="174"/>
    </row>
    <row r="25" spans="1:24" ht="15" thickBot="1" x14ac:dyDescent="0.35">
      <c r="A25" s="39" t="s">
        <v>20</v>
      </c>
      <c r="B25" s="58">
        <v>110642</v>
      </c>
      <c r="C25" s="58">
        <v>131791</v>
      </c>
      <c r="D25" s="58">
        <v>155485</v>
      </c>
      <c r="E25" s="59">
        <v>145548</v>
      </c>
      <c r="G25" s="191"/>
      <c r="H25" s="200"/>
      <c r="I25" s="182"/>
      <c r="J25" s="182"/>
      <c r="K25" s="197"/>
      <c r="L25" s="176"/>
    </row>
    <row r="26" spans="1:24" ht="15" customHeight="1" thickBot="1" x14ac:dyDescent="0.35">
      <c r="A26" s="39" t="s">
        <v>21</v>
      </c>
      <c r="B26" s="58">
        <v>4405</v>
      </c>
      <c r="C26" s="58">
        <v>56889</v>
      </c>
      <c r="D26" s="58">
        <v>63360</v>
      </c>
      <c r="E26" s="59">
        <v>64942</v>
      </c>
    </row>
    <row r="27" spans="1:24" ht="15" thickBot="1" x14ac:dyDescent="0.35">
      <c r="A27" s="39" t="s">
        <v>22</v>
      </c>
      <c r="B27" s="58">
        <v>19721</v>
      </c>
      <c r="C27" s="58">
        <v>4392</v>
      </c>
      <c r="D27" s="58">
        <v>3876</v>
      </c>
      <c r="E27" s="59">
        <v>6701</v>
      </c>
      <c r="G27" s="189" t="s">
        <v>53</v>
      </c>
      <c r="H27" s="192" t="s">
        <v>35</v>
      </c>
      <c r="I27" s="192"/>
      <c r="J27" s="192"/>
      <c r="K27" s="192"/>
      <c r="L27" s="193"/>
    </row>
    <row r="28" spans="1:24" x14ac:dyDescent="0.3">
      <c r="A28" s="39" t="s">
        <v>29</v>
      </c>
      <c r="B28" s="58">
        <v>8586</v>
      </c>
      <c r="C28" s="58">
        <v>8651</v>
      </c>
      <c r="D28" s="58">
        <v>0</v>
      </c>
      <c r="E28" s="59">
        <v>0</v>
      </c>
      <c r="G28" s="190"/>
      <c r="H28" s="194" t="s">
        <v>54</v>
      </c>
      <c r="I28" s="195" t="s">
        <v>48</v>
      </c>
      <c r="J28" s="181" t="s">
        <v>49</v>
      </c>
      <c r="K28" s="196">
        <f>(((D29+E29)/2)*365)</f>
        <v>5141390</v>
      </c>
      <c r="L28" s="198">
        <f>K28/K30</f>
        <v>80.500880729635568</v>
      </c>
    </row>
    <row r="29" spans="1:24" ht="15" thickBot="1" x14ac:dyDescent="0.35">
      <c r="A29" s="39" t="s">
        <v>23</v>
      </c>
      <c r="B29" s="58">
        <v>6867</v>
      </c>
      <c r="C29" s="58">
        <v>7834</v>
      </c>
      <c r="D29" s="58">
        <v>10133</v>
      </c>
      <c r="E29" s="59">
        <v>18039</v>
      </c>
      <c r="G29" s="190"/>
      <c r="H29" s="194"/>
      <c r="I29" s="195"/>
      <c r="J29" s="195"/>
      <c r="K29" s="197"/>
      <c r="L29" s="174"/>
    </row>
    <row r="30" spans="1:24" x14ac:dyDescent="0.3">
      <c r="A30" s="39" t="s">
        <v>24</v>
      </c>
      <c r="B30" s="58">
        <v>86516</v>
      </c>
      <c r="C30" s="58">
        <v>70510</v>
      </c>
      <c r="D30" s="58">
        <v>88249</v>
      </c>
      <c r="E30" s="59">
        <v>73905</v>
      </c>
      <c r="G30" s="190"/>
      <c r="H30" s="199" t="s">
        <v>55</v>
      </c>
      <c r="I30" s="195"/>
      <c r="J30" s="195"/>
      <c r="K30" s="196">
        <f>(E19-D19+E4)*1.25</f>
        <v>63867.5</v>
      </c>
      <c r="L30" s="174"/>
    </row>
    <row r="31" spans="1:24" ht="15" thickBot="1" x14ac:dyDescent="0.35">
      <c r="A31" s="39" t="s">
        <v>25</v>
      </c>
      <c r="B31" s="58">
        <v>106237</v>
      </c>
      <c r="C31" s="58">
        <v>74902</v>
      </c>
      <c r="D31" s="58">
        <v>92125</v>
      </c>
      <c r="E31" s="59">
        <v>80606</v>
      </c>
      <c r="G31" s="191"/>
      <c r="H31" s="200"/>
      <c r="I31" s="182"/>
      <c r="J31" s="182"/>
      <c r="K31" s="197"/>
      <c r="L31" s="176"/>
    </row>
    <row r="32" spans="1:24" ht="15" thickBot="1" x14ac:dyDescent="0.35">
      <c r="A32" s="34" t="s">
        <v>30</v>
      </c>
      <c r="B32" s="51">
        <v>110642</v>
      </c>
      <c r="C32" s="51">
        <v>131791</v>
      </c>
      <c r="D32" s="51">
        <v>155485</v>
      </c>
      <c r="E32" s="61">
        <v>145548</v>
      </c>
    </row>
    <row r="33" spans="7:12" x14ac:dyDescent="0.3">
      <c r="G33" s="177" t="s">
        <v>56</v>
      </c>
      <c r="H33" s="179" t="s">
        <v>57</v>
      </c>
      <c r="I33" s="181" t="s">
        <v>49</v>
      </c>
      <c r="J33" s="183">
        <f>L15+L22-L28</f>
        <v>19.086649600489622</v>
      </c>
      <c r="K33" s="184"/>
      <c r="L33" s="185"/>
    </row>
    <row r="34" spans="7:12" ht="15" thickBot="1" x14ac:dyDescent="0.35">
      <c r="G34" s="178"/>
      <c r="H34" s="180"/>
      <c r="I34" s="182"/>
      <c r="J34" s="186"/>
      <c r="K34" s="187"/>
      <c r="L34" s="188"/>
    </row>
  </sheetData>
  <mergeCells count="47">
    <mergeCell ref="G33:G34"/>
    <mergeCell ref="H33:H34"/>
    <mergeCell ref="I33:I34"/>
    <mergeCell ref="J33:L34"/>
    <mergeCell ref="K24:K25"/>
    <mergeCell ref="G27:G31"/>
    <mergeCell ref="H27:L27"/>
    <mergeCell ref="H28:H29"/>
    <mergeCell ref="I28:I31"/>
    <mergeCell ref="J28:J31"/>
    <mergeCell ref="K28:K29"/>
    <mergeCell ref="L28:L31"/>
    <mergeCell ref="H30:H31"/>
    <mergeCell ref="K30:K31"/>
    <mergeCell ref="W19:X20"/>
    <mergeCell ref="G21:G25"/>
    <mergeCell ref="H21:L21"/>
    <mergeCell ref="W21:X22"/>
    <mergeCell ref="H22:H23"/>
    <mergeCell ref="I22:I25"/>
    <mergeCell ref="J22:J25"/>
    <mergeCell ref="K22:K23"/>
    <mergeCell ref="L22:L25"/>
    <mergeCell ref="H24:H25"/>
    <mergeCell ref="O10:P12"/>
    <mergeCell ref="W10:X11"/>
    <mergeCell ref="S11:T11"/>
    <mergeCell ref="W13:X14"/>
    <mergeCell ref="G14:G18"/>
    <mergeCell ref="H14:L14"/>
    <mergeCell ref="S14:T15"/>
    <mergeCell ref="H15:H16"/>
    <mergeCell ref="I15:I18"/>
    <mergeCell ref="J15:J18"/>
    <mergeCell ref="K15:K16"/>
    <mergeCell ref="L15:L18"/>
    <mergeCell ref="W15:X16"/>
    <mergeCell ref="S16:T17"/>
    <mergeCell ref="H17:H18"/>
    <mergeCell ref="K17:K18"/>
    <mergeCell ref="O2:Q6"/>
    <mergeCell ref="W2:X3"/>
    <mergeCell ref="W4:X5"/>
    <mergeCell ref="S5:T6"/>
    <mergeCell ref="S7:T8"/>
    <mergeCell ref="W8:X9"/>
    <mergeCell ref="O9:P9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CD03D-3906-41AD-AE07-2D2DE7023B9F}">
  <dimension ref="A1:X34"/>
  <sheetViews>
    <sheetView topLeftCell="B3" zoomScale="90" zoomScaleNormal="90" workbookViewId="0">
      <selection activeCell="P28" sqref="P28"/>
    </sheetView>
  </sheetViews>
  <sheetFormatPr defaultColWidth="8.88671875" defaultRowHeight="14.4" x14ac:dyDescent="0.3"/>
  <cols>
    <col min="1" max="1" width="26.6640625" style="31" bestFit="1" customWidth="1"/>
    <col min="2" max="2" width="11.33203125" style="31" bestFit="1" customWidth="1"/>
    <col min="3" max="3" width="12.6640625" style="31" bestFit="1" customWidth="1"/>
    <col min="4" max="5" width="11.33203125" style="31" bestFit="1" customWidth="1"/>
    <col min="6" max="6" width="8.88671875" style="31"/>
    <col min="7" max="7" width="36.109375" style="31" bestFit="1" customWidth="1"/>
    <col min="8" max="8" width="16.109375" style="31" bestFit="1" customWidth="1"/>
    <col min="9" max="9" width="10.33203125" style="31" bestFit="1" customWidth="1"/>
    <col min="10" max="10" width="8.33203125" style="31" bestFit="1" customWidth="1"/>
    <col min="11" max="11" width="12.33203125" style="31" bestFit="1" customWidth="1"/>
    <col min="12" max="12" width="8.33203125" style="31" bestFit="1" customWidth="1"/>
    <col min="13" max="16384" width="8.88671875" style="31"/>
  </cols>
  <sheetData>
    <row r="1" spans="1:24" ht="15" thickBot="1" x14ac:dyDescent="0.35">
      <c r="A1" s="31" t="s">
        <v>26</v>
      </c>
      <c r="C1" s="32"/>
      <c r="D1" s="32"/>
      <c r="E1" s="32"/>
      <c r="W1" s="33"/>
      <c r="X1" s="33"/>
    </row>
    <row r="2" spans="1:24" ht="15" thickBot="1" x14ac:dyDescent="0.35">
      <c r="A2" s="34" t="s">
        <v>0</v>
      </c>
      <c r="B2" s="34">
        <v>2017</v>
      </c>
      <c r="C2" s="34">
        <v>2018</v>
      </c>
      <c r="D2" s="34">
        <v>2019</v>
      </c>
      <c r="E2" s="35">
        <v>2020</v>
      </c>
      <c r="G2" s="36"/>
      <c r="H2" s="37" t="s">
        <v>35</v>
      </c>
      <c r="I2" s="34">
        <v>2017</v>
      </c>
      <c r="J2" s="34">
        <v>2018</v>
      </c>
      <c r="K2" s="34">
        <v>2019</v>
      </c>
      <c r="L2" s="38">
        <v>2020</v>
      </c>
      <c r="O2" s="145" t="s">
        <v>68</v>
      </c>
      <c r="P2" s="146"/>
      <c r="Q2" s="147"/>
      <c r="W2" s="165" t="s">
        <v>61</v>
      </c>
      <c r="X2" s="166"/>
    </row>
    <row r="3" spans="1:24" ht="15" customHeight="1" thickBot="1" x14ac:dyDescent="0.35">
      <c r="A3" s="39" t="s">
        <v>1</v>
      </c>
      <c r="B3" s="40">
        <v>213338</v>
      </c>
      <c r="C3" s="40">
        <v>210884</v>
      </c>
      <c r="D3" s="40">
        <v>240734</v>
      </c>
      <c r="E3" s="40">
        <v>202314</v>
      </c>
      <c r="G3" s="41" t="s">
        <v>33</v>
      </c>
      <c r="H3" s="42" t="s">
        <v>31</v>
      </c>
      <c r="I3" s="43">
        <f>(B12+B11)/((B32+C32)/2)</f>
        <v>-3.2157338316153326E-2</v>
      </c>
      <c r="J3" s="43">
        <f>(C12+C11)/((C32+D32)/2)</f>
        <v>-0.13259026162993079</v>
      </c>
      <c r="K3" s="43">
        <f>(D12+D11)/((D32+E32)/2)</f>
        <v>0.10984842193380792</v>
      </c>
      <c r="L3" s="43">
        <f>(E12+E11)/((E32+D32)/2)</f>
        <v>2.7212963362820686E-2</v>
      </c>
      <c r="O3" s="148"/>
      <c r="P3" s="149"/>
      <c r="Q3" s="150"/>
      <c r="W3" s="167"/>
      <c r="X3" s="168"/>
    </row>
    <row r="4" spans="1:24" ht="15" thickBot="1" x14ac:dyDescent="0.35">
      <c r="A4" s="39" t="s">
        <v>2</v>
      </c>
      <c r="B4" s="44">
        <v>67548</v>
      </c>
      <c r="C4" s="44">
        <v>69639</v>
      </c>
      <c r="D4" s="44">
        <v>70359</v>
      </c>
      <c r="E4" s="44">
        <v>55081</v>
      </c>
      <c r="G4" s="45" t="s">
        <v>34</v>
      </c>
      <c r="H4" s="46" t="s">
        <v>32</v>
      </c>
      <c r="I4" s="47">
        <f>B12/((B26+C26)/2)</f>
        <v>-0.21000424185075212</v>
      </c>
      <c r="J4" s="47">
        <f t="shared" ref="J4:K4" si="0">C12/((C26+D26)/2)</f>
        <v>-0.34440203244933432</v>
      </c>
      <c r="K4" s="47">
        <f t="shared" si="0"/>
        <v>0.23231126560770682</v>
      </c>
      <c r="L4" s="47">
        <f>E12/((E26+D26)/2)</f>
        <v>3.1067325528830417E-2</v>
      </c>
      <c r="O4" s="148"/>
      <c r="P4" s="149"/>
      <c r="Q4" s="150"/>
      <c r="W4" s="160">
        <f>E3*1.25</f>
        <v>252892.5</v>
      </c>
      <c r="X4" s="161"/>
    </row>
    <row r="5" spans="1:24" ht="15" customHeight="1" thickBot="1" x14ac:dyDescent="0.35">
      <c r="A5" s="39" t="s">
        <v>3</v>
      </c>
      <c r="B5" s="44">
        <v>107244</v>
      </c>
      <c r="C5" s="44">
        <v>104926</v>
      </c>
      <c r="D5" s="44">
        <v>122306</v>
      </c>
      <c r="E5" s="44">
        <v>106945</v>
      </c>
      <c r="O5" s="148"/>
      <c r="P5" s="149"/>
      <c r="Q5" s="150"/>
      <c r="S5" s="165" t="s">
        <v>58</v>
      </c>
      <c r="T5" s="166"/>
      <c r="W5" s="162"/>
      <c r="X5" s="163"/>
    </row>
    <row r="6" spans="1:24" ht="15" thickBot="1" x14ac:dyDescent="0.35">
      <c r="A6" s="39" t="s">
        <v>4</v>
      </c>
      <c r="B6" s="44">
        <v>11120</v>
      </c>
      <c r="C6" s="44">
        <v>5350</v>
      </c>
      <c r="D6" s="44">
        <v>26415</v>
      </c>
      <c r="E6" s="44">
        <v>6634</v>
      </c>
      <c r="O6" s="151"/>
      <c r="P6" s="152"/>
      <c r="Q6" s="153"/>
      <c r="S6" s="167"/>
      <c r="T6" s="168"/>
    </row>
    <row r="7" spans="1:24" ht="15" thickBot="1" x14ac:dyDescent="0.35">
      <c r="A7" s="39" t="s">
        <v>5</v>
      </c>
      <c r="B7" s="44">
        <v>37664</v>
      </c>
      <c r="C7" s="44">
        <v>32544</v>
      </c>
      <c r="D7" s="44">
        <v>35824</v>
      </c>
      <c r="E7" s="44">
        <v>34911</v>
      </c>
      <c r="G7" s="48"/>
      <c r="H7" s="49" t="s">
        <v>35</v>
      </c>
      <c r="I7" s="34">
        <v>2017</v>
      </c>
      <c r="J7" s="34">
        <v>2018</v>
      </c>
      <c r="K7" s="34">
        <v>2019</v>
      </c>
      <c r="L7" s="38">
        <v>2020</v>
      </c>
      <c r="S7" s="201">
        <f>W4/W10</f>
        <v>2.8002743885221886</v>
      </c>
      <c r="T7" s="202"/>
      <c r="W7" s="50"/>
      <c r="X7" s="50"/>
    </row>
    <row r="8" spans="1:24" ht="15" thickBot="1" x14ac:dyDescent="0.35">
      <c r="A8" s="34" t="s">
        <v>6</v>
      </c>
      <c r="B8" s="51">
        <f>SUM(B4:B7)</f>
        <v>223576</v>
      </c>
      <c r="C8" s="51">
        <f>SUM(C4:C7)</f>
        <v>212459</v>
      </c>
      <c r="D8" s="51">
        <f t="shared" ref="D8:E8" si="1">SUM(D4:D7)</f>
        <v>254904</v>
      </c>
      <c r="E8" s="51">
        <f t="shared" si="1"/>
        <v>203571</v>
      </c>
      <c r="G8" s="39" t="s">
        <v>36</v>
      </c>
      <c r="H8" s="42" t="s">
        <v>41</v>
      </c>
      <c r="I8" s="52">
        <f>B24/B30</f>
        <v>0.71365990105876365</v>
      </c>
      <c r="J8" s="52">
        <f t="shared" ref="J8:L8" si="2">C24/C30</f>
        <v>1.1657920862289037</v>
      </c>
      <c r="K8" s="52">
        <f t="shared" si="2"/>
        <v>1.1539620845561989</v>
      </c>
      <c r="L8" s="52">
        <f t="shared" si="2"/>
        <v>1.26383871185982</v>
      </c>
      <c r="S8" s="203"/>
      <c r="T8" s="204"/>
      <c r="W8" s="165" t="s">
        <v>60</v>
      </c>
      <c r="X8" s="166"/>
    </row>
    <row r="9" spans="1:24" ht="15" customHeight="1" thickBot="1" x14ac:dyDescent="0.35">
      <c r="A9" s="53" t="s">
        <v>7</v>
      </c>
      <c r="B9" s="44">
        <v>-5752</v>
      </c>
      <c r="C9" s="44">
        <v>-22641</v>
      </c>
      <c r="D9" s="44">
        <v>6894</v>
      </c>
      <c r="E9" s="44">
        <v>-5743</v>
      </c>
      <c r="G9" s="39" t="s">
        <v>37</v>
      </c>
      <c r="H9" s="42" t="s">
        <v>42</v>
      </c>
      <c r="I9" s="52">
        <f>(B24-B19)/B30</f>
        <v>0.59001803134680286</v>
      </c>
      <c r="J9" s="52">
        <f t="shared" ref="J9:L9" si="3">(C24-C19)/C30</f>
        <v>0.99866685576513969</v>
      </c>
      <c r="K9" s="52">
        <f t="shared" si="3"/>
        <v>1.026107944565944</v>
      </c>
      <c r="L9" s="52">
        <f t="shared" si="3"/>
        <v>1.1651173804208106</v>
      </c>
      <c r="O9" s="154" t="s">
        <v>31</v>
      </c>
      <c r="P9" s="155"/>
      <c r="W9" s="167"/>
      <c r="X9" s="168"/>
    </row>
    <row r="10" spans="1:24" ht="15" thickBot="1" x14ac:dyDescent="0.35">
      <c r="A10" s="39" t="s">
        <v>8</v>
      </c>
      <c r="B10" s="44">
        <v>1854</v>
      </c>
      <c r="C10" s="44">
        <v>3596</v>
      </c>
      <c r="D10" s="44">
        <v>9640</v>
      </c>
      <c r="E10" s="44">
        <v>9839</v>
      </c>
      <c r="G10" s="39" t="s">
        <v>38</v>
      </c>
      <c r="H10" s="42" t="s">
        <v>43</v>
      </c>
      <c r="I10" s="51">
        <f>B24-B30</f>
        <v>-24773</v>
      </c>
      <c r="J10" s="51">
        <f t="shared" ref="J10:L10" si="4">C24-C30</f>
        <v>11690</v>
      </c>
      <c r="K10" s="51">
        <f t="shared" si="4"/>
        <v>13587</v>
      </c>
      <c r="L10" s="51">
        <f t="shared" si="4"/>
        <v>19499</v>
      </c>
      <c r="O10" s="156">
        <f>S7*S16</f>
        <v>5.6693673672543105E-2</v>
      </c>
      <c r="P10" s="157"/>
      <c r="W10" s="160">
        <f>((E32+D32)/2)*0.6</f>
        <v>90309.9</v>
      </c>
      <c r="X10" s="161"/>
    </row>
    <row r="11" spans="1:24" ht="15" thickBot="1" x14ac:dyDescent="0.35">
      <c r="A11" s="39" t="s">
        <v>9</v>
      </c>
      <c r="B11" s="44">
        <v>2538</v>
      </c>
      <c r="C11" s="44">
        <v>1662</v>
      </c>
      <c r="D11" s="44">
        <v>1631</v>
      </c>
      <c r="E11" s="44">
        <v>2103</v>
      </c>
      <c r="G11" s="39" t="s">
        <v>39</v>
      </c>
      <c r="H11" s="42" t="s">
        <v>44</v>
      </c>
      <c r="I11" s="43">
        <f>B26/B32</f>
        <v>3.9813090869651672E-2</v>
      </c>
      <c r="J11" s="43">
        <f t="shared" ref="J11:L11" si="5">C26/C32</f>
        <v>0.43166073555857382</v>
      </c>
      <c r="K11" s="43">
        <f t="shared" si="5"/>
        <v>0.40749911567032188</v>
      </c>
      <c r="L11" s="43">
        <f t="shared" si="5"/>
        <v>0.44618957319921948</v>
      </c>
      <c r="O11" s="156"/>
      <c r="P11" s="157"/>
      <c r="S11" s="164" t="s">
        <v>62</v>
      </c>
      <c r="T11" s="164"/>
      <c r="W11" s="162"/>
      <c r="X11" s="163"/>
    </row>
    <row r="12" spans="1:24" ht="15" customHeight="1" thickBot="1" x14ac:dyDescent="0.35">
      <c r="A12" s="34" t="s">
        <v>10</v>
      </c>
      <c r="B12" s="54">
        <f>B9+B10-B11</f>
        <v>-6436</v>
      </c>
      <c r="C12" s="54">
        <f>C9+C10-C11</f>
        <v>-20707</v>
      </c>
      <c r="D12" s="54">
        <f t="shared" ref="D12:E12" si="6">D9+D10-D11</f>
        <v>14903</v>
      </c>
      <c r="E12" s="54">
        <f t="shared" si="6"/>
        <v>1993</v>
      </c>
      <c r="G12" s="55" t="s">
        <v>40</v>
      </c>
      <c r="H12" s="46" t="s">
        <v>45</v>
      </c>
      <c r="I12" s="56">
        <f>B11/(B27+B30)</f>
        <v>2.3889981833071342E-2</v>
      </c>
      <c r="J12" s="56">
        <f t="shared" ref="J12:L12" si="7">C11/(C27+C30)</f>
        <v>2.2188993618327948E-2</v>
      </c>
      <c r="K12" s="56">
        <f t="shared" si="7"/>
        <v>1.7704206241519676E-2</v>
      </c>
      <c r="L12" s="56">
        <f t="shared" si="7"/>
        <v>2.6089869240503188E-2</v>
      </c>
      <c r="O12" s="158"/>
      <c r="P12" s="159"/>
      <c r="W12" s="57"/>
      <c r="X12" s="57"/>
    </row>
    <row r="13" spans="1:24" ht="15" thickBot="1" x14ac:dyDescent="0.35">
      <c r="A13" s="39" t="s">
        <v>11</v>
      </c>
      <c r="B13" s="44">
        <v>-1096</v>
      </c>
      <c r="C13" s="44">
        <v>-4661</v>
      </c>
      <c r="D13" s="44">
        <v>8433</v>
      </c>
      <c r="E13" s="44">
        <v>412</v>
      </c>
      <c r="W13" s="165" t="s">
        <v>63</v>
      </c>
      <c r="X13" s="166"/>
    </row>
    <row r="14" spans="1:24" ht="15" thickBot="1" x14ac:dyDescent="0.35">
      <c r="A14" s="34" t="s">
        <v>12</v>
      </c>
      <c r="B14" s="54">
        <f>B12-B13</f>
        <v>-5340</v>
      </c>
      <c r="C14" s="54">
        <f t="shared" ref="C14:E14" si="8">C12-C13</f>
        <v>-16046</v>
      </c>
      <c r="D14" s="54">
        <f t="shared" si="8"/>
        <v>6470</v>
      </c>
      <c r="E14" s="54">
        <f t="shared" si="8"/>
        <v>1581</v>
      </c>
      <c r="G14" s="189" t="s">
        <v>69</v>
      </c>
      <c r="H14" s="192" t="s">
        <v>35</v>
      </c>
      <c r="I14" s="192"/>
      <c r="J14" s="192"/>
      <c r="K14" s="192"/>
      <c r="L14" s="193"/>
      <c r="S14" s="165" t="s">
        <v>59</v>
      </c>
      <c r="T14" s="166"/>
      <c r="W14" s="167"/>
      <c r="X14" s="168"/>
    </row>
    <row r="15" spans="1:24" ht="15" customHeight="1" thickBot="1" x14ac:dyDescent="0.35">
      <c r="G15" s="190"/>
      <c r="H15" s="194" t="s">
        <v>47</v>
      </c>
      <c r="I15" s="195" t="s">
        <v>48</v>
      </c>
      <c r="J15" s="181" t="s">
        <v>49</v>
      </c>
      <c r="K15" s="196">
        <f>(((D19+E19)/2)*365)*0.8</f>
        <v>2712534</v>
      </c>
      <c r="L15" s="198">
        <f>K15/K17</f>
        <v>49.24627366968646</v>
      </c>
      <c r="S15" s="167"/>
      <c r="T15" s="168"/>
      <c r="W15" s="160">
        <f>E12+E11</f>
        <v>4096</v>
      </c>
      <c r="X15" s="161"/>
    </row>
    <row r="16" spans="1:24" ht="15" thickBot="1" x14ac:dyDescent="0.35">
      <c r="A16" s="31" t="s">
        <v>27</v>
      </c>
      <c r="G16" s="190"/>
      <c r="H16" s="194"/>
      <c r="I16" s="195"/>
      <c r="J16" s="195"/>
      <c r="K16" s="197"/>
      <c r="L16" s="174"/>
      <c r="S16" s="156">
        <f>W15/W21</f>
        <v>2.0245756596182173E-2</v>
      </c>
      <c r="T16" s="157"/>
      <c r="W16" s="162"/>
      <c r="X16" s="163"/>
    </row>
    <row r="17" spans="1:24" ht="15" thickBot="1" x14ac:dyDescent="0.35">
      <c r="A17" s="34" t="s">
        <v>28</v>
      </c>
      <c r="B17" s="34">
        <v>2017</v>
      </c>
      <c r="C17" s="34">
        <v>2018</v>
      </c>
      <c r="D17" s="34">
        <v>2019</v>
      </c>
      <c r="E17" s="35">
        <v>2020</v>
      </c>
      <c r="G17" s="190"/>
      <c r="H17" s="199" t="s">
        <v>2</v>
      </c>
      <c r="I17" s="195"/>
      <c r="J17" s="195"/>
      <c r="K17" s="196">
        <f>E4</f>
        <v>55081</v>
      </c>
      <c r="L17" s="174"/>
      <c r="S17" s="158"/>
      <c r="T17" s="159"/>
      <c r="W17" s="33"/>
      <c r="X17" s="33"/>
    </row>
    <row r="18" spans="1:24" ht="15" thickBot="1" x14ac:dyDescent="0.35">
      <c r="A18" s="39" t="s">
        <v>13</v>
      </c>
      <c r="B18" s="58">
        <v>48899</v>
      </c>
      <c r="C18" s="58">
        <v>49591</v>
      </c>
      <c r="D18" s="58">
        <v>53649</v>
      </c>
      <c r="E18" s="59">
        <v>52144</v>
      </c>
      <c r="G18" s="191"/>
      <c r="H18" s="200"/>
      <c r="I18" s="182"/>
      <c r="J18" s="182"/>
      <c r="K18" s="197"/>
      <c r="L18" s="176"/>
      <c r="W18" s="60"/>
      <c r="X18" s="60"/>
    </row>
    <row r="19" spans="1:24" x14ac:dyDescent="0.3">
      <c r="A19" s="39" t="s">
        <v>14</v>
      </c>
      <c r="B19" s="58">
        <v>10697</v>
      </c>
      <c r="C19" s="58">
        <v>11784</v>
      </c>
      <c r="D19" s="58">
        <v>11283</v>
      </c>
      <c r="E19" s="59">
        <v>7296</v>
      </c>
      <c r="W19" s="165" t="s">
        <v>64</v>
      </c>
      <c r="X19" s="166"/>
    </row>
    <row r="20" spans="1:24" ht="15" customHeight="1" thickBot="1" x14ac:dyDescent="0.35">
      <c r="A20" s="39" t="s">
        <v>15</v>
      </c>
      <c r="B20" s="58">
        <v>45146</v>
      </c>
      <c r="C20" s="58">
        <v>52268</v>
      </c>
      <c r="D20" s="58">
        <v>64496</v>
      </c>
      <c r="E20" s="59">
        <v>35159</v>
      </c>
      <c r="W20" s="167"/>
      <c r="X20" s="168"/>
    </row>
    <row r="21" spans="1:24" ht="15" customHeight="1" thickBot="1" x14ac:dyDescent="0.35">
      <c r="A21" s="39" t="s">
        <v>16</v>
      </c>
      <c r="B21" s="58">
        <v>0</v>
      </c>
      <c r="C21" s="58">
        <v>13776</v>
      </c>
      <c r="D21" s="58">
        <v>11399</v>
      </c>
      <c r="E21" s="59">
        <v>9366</v>
      </c>
      <c r="G21" s="189" t="s">
        <v>70</v>
      </c>
      <c r="H21" s="192" t="s">
        <v>35</v>
      </c>
      <c r="I21" s="192"/>
      <c r="J21" s="192"/>
      <c r="K21" s="192"/>
      <c r="L21" s="193"/>
      <c r="W21" s="173">
        <f>E3</f>
        <v>202314</v>
      </c>
      <c r="X21" s="174"/>
    </row>
    <row r="22" spans="1:24" ht="15" thickBot="1" x14ac:dyDescent="0.35">
      <c r="A22" s="39" t="s">
        <v>17</v>
      </c>
      <c r="B22" s="58">
        <f>SUM(B20:B21)</f>
        <v>45146</v>
      </c>
      <c r="C22" s="58">
        <f t="shared" ref="C22:E22" si="9">SUM(C20:C21)</f>
        <v>66044</v>
      </c>
      <c r="D22" s="58">
        <f t="shared" si="9"/>
        <v>75895</v>
      </c>
      <c r="E22" s="59">
        <f t="shared" si="9"/>
        <v>44525</v>
      </c>
      <c r="G22" s="190"/>
      <c r="H22" s="194" t="s">
        <v>51</v>
      </c>
      <c r="I22" s="195" t="s">
        <v>48</v>
      </c>
      <c r="J22" s="181" t="s">
        <v>49</v>
      </c>
      <c r="K22" s="196">
        <f>(((D20+E20)/2)*365)*0.7</f>
        <v>12730926.25</v>
      </c>
      <c r="L22" s="198">
        <f>K22/K24</f>
        <v>50.341256660438724</v>
      </c>
      <c r="W22" s="175"/>
      <c r="X22" s="176"/>
    </row>
    <row r="23" spans="1:24" ht="15" thickBot="1" x14ac:dyDescent="0.35">
      <c r="A23" s="39" t="s">
        <v>18</v>
      </c>
      <c r="B23" s="58">
        <v>4061</v>
      </c>
      <c r="C23" s="58">
        <v>3293</v>
      </c>
      <c r="D23" s="58">
        <v>9970</v>
      </c>
      <c r="E23" s="59">
        <v>25942</v>
      </c>
      <c r="G23" s="190"/>
      <c r="H23" s="194"/>
      <c r="I23" s="195"/>
      <c r="J23" s="195"/>
      <c r="K23" s="197"/>
      <c r="L23" s="174"/>
    </row>
    <row r="24" spans="1:24" x14ac:dyDescent="0.3">
      <c r="A24" s="39" t="s">
        <v>19</v>
      </c>
      <c r="B24" s="58">
        <v>61743</v>
      </c>
      <c r="C24" s="58">
        <v>82200</v>
      </c>
      <c r="D24" s="58">
        <v>101836</v>
      </c>
      <c r="E24" s="59">
        <v>93404</v>
      </c>
      <c r="G24" s="190"/>
      <c r="H24" s="199" t="s">
        <v>52</v>
      </c>
      <c r="I24" s="195"/>
      <c r="J24" s="195"/>
      <c r="K24" s="196">
        <f>E3*1.25</f>
        <v>252892.5</v>
      </c>
      <c r="L24" s="174"/>
    </row>
    <row r="25" spans="1:24" ht="15" thickBot="1" x14ac:dyDescent="0.35">
      <c r="A25" s="39" t="s">
        <v>20</v>
      </c>
      <c r="B25" s="58">
        <v>110642</v>
      </c>
      <c r="C25" s="58">
        <v>131791</v>
      </c>
      <c r="D25" s="58">
        <v>155485</v>
      </c>
      <c r="E25" s="59">
        <v>145548</v>
      </c>
      <c r="G25" s="191"/>
      <c r="H25" s="200"/>
      <c r="I25" s="182"/>
      <c r="J25" s="182"/>
      <c r="K25" s="197"/>
      <c r="L25" s="176"/>
    </row>
    <row r="26" spans="1:24" ht="15" customHeight="1" thickBot="1" x14ac:dyDescent="0.35">
      <c r="A26" s="39" t="s">
        <v>21</v>
      </c>
      <c r="B26" s="58">
        <v>4405</v>
      </c>
      <c r="C26" s="58">
        <v>56889</v>
      </c>
      <c r="D26" s="58">
        <v>63360</v>
      </c>
      <c r="E26" s="59">
        <v>64942</v>
      </c>
    </row>
    <row r="27" spans="1:24" ht="15" thickBot="1" x14ac:dyDescent="0.35">
      <c r="A27" s="39" t="s">
        <v>22</v>
      </c>
      <c r="B27" s="58">
        <v>19721</v>
      </c>
      <c r="C27" s="58">
        <v>4392</v>
      </c>
      <c r="D27" s="58">
        <v>3876</v>
      </c>
      <c r="E27" s="59">
        <v>6701</v>
      </c>
      <c r="G27" s="189" t="s">
        <v>53</v>
      </c>
      <c r="H27" s="192" t="s">
        <v>35</v>
      </c>
      <c r="I27" s="192"/>
      <c r="J27" s="192"/>
      <c r="K27" s="192"/>
      <c r="L27" s="193"/>
    </row>
    <row r="28" spans="1:24" x14ac:dyDescent="0.3">
      <c r="A28" s="39" t="s">
        <v>29</v>
      </c>
      <c r="B28" s="58">
        <v>8586</v>
      </c>
      <c r="C28" s="58">
        <v>8651</v>
      </c>
      <c r="D28" s="58">
        <v>0</v>
      </c>
      <c r="E28" s="59">
        <v>0</v>
      </c>
      <c r="G28" s="190"/>
      <c r="H28" s="194" t="s">
        <v>54</v>
      </c>
      <c r="I28" s="195" t="s">
        <v>48</v>
      </c>
      <c r="J28" s="181" t="s">
        <v>49</v>
      </c>
      <c r="K28" s="196">
        <f>(((D29+E29)/2)*365)</f>
        <v>5141390</v>
      </c>
      <c r="L28" s="198">
        <f>K28/K30</f>
        <v>80.500880729635568</v>
      </c>
    </row>
    <row r="29" spans="1:24" ht="15" thickBot="1" x14ac:dyDescent="0.35">
      <c r="A29" s="39" t="s">
        <v>23</v>
      </c>
      <c r="B29" s="58">
        <v>6867</v>
      </c>
      <c r="C29" s="58">
        <v>7834</v>
      </c>
      <c r="D29" s="58">
        <v>10133</v>
      </c>
      <c r="E29" s="59">
        <v>18039</v>
      </c>
      <c r="G29" s="190"/>
      <c r="H29" s="194"/>
      <c r="I29" s="195"/>
      <c r="J29" s="195"/>
      <c r="K29" s="197"/>
      <c r="L29" s="174"/>
    </row>
    <row r="30" spans="1:24" x14ac:dyDescent="0.3">
      <c r="A30" s="39" t="s">
        <v>24</v>
      </c>
      <c r="B30" s="58">
        <v>86516</v>
      </c>
      <c r="C30" s="58">
        <v>70510</v>
      </c>
      <c r="D30" s="58">
        <v>88249</v>
      </c>
      <c r="E30" s="59">
        <v>73905</v>
      </c>
      <c r="G30" s="190"/>
      <c r="H30" s="199" t="s">
        <v>55</v>
      </c>
      <c r="I30" s="195"/>
      <c r="J30" s="195"/>
      <c r="K30" s="196">
        <f>(E19-D19+E4)*1.25</f>
        <v>63867.5</v>
      </c>
      <c r="L30" s="174"/>
    </row>
    <row r="31" spans="1:24" ht="15" thickBot="1" x14ac:dyDescent="0.35">
      <c r="A31" s="39" t="s">
        <v>25</v>
      </c>
      <c r="B31" s="58">
        <v>106237</v>
      </c>
      <c r="C31" s="58">
        <v>74902</v>
      </c>
      <c r="D31" s="58">
        <v>92125</v>
      </c>
      <c r="E31" s="59">
        <v>80606</v>
      </c>
      <c r="G31" s="191"/>
      <c r="H31" s="200"/>
      <c r="I31" s="182"/>
      <c r="J31" s="182"/>
      <c r="K31" s="197"/>
      <c r="L31" s="176"/>
    </row>
    <row r="32" spans="1:24" ht="15" thickBot="1" x14ac:dyDescent="0.35">
      <c r="A32" s="34" t="s">
        <v>30</v>
      </c>
      <c r="B32" s="51">
        <v>110642</v>
      </c>
      <c r="C32" s="51">
        <v>131791</v>
      </c>
      <c r="D32" s="51">
        <v>155485</v>
      </c>
      <c r="E32" s="61">
        <v>145548</v>
      </c>
    </row>
    <row r="33" spans="7:12" x14ac:dyDescent="0.3">
      <c r="G33" s="177" t="s">
        <v>56</v>
      </c>
      <c r="H33" s="179" t="s">
        <v>57</v>
      </c>
      <c r="I33" s="181" t="s">
        <v>49</v>
      </c>
      <c r="J33" s="183">
        <f>L15+L22-L28</f>
        <v>19.086649600489622</v>
      </c>
      <c r="K33" s="184"/>
      <c r="L33" s="185"/>
    </row>
    <row r="34" spans="7:12" ht="15" thickBot="1" x14ac:dyDescent="0.35">
      <c r="G34" s="178"/>
      <c r="H34" s="180"/>
      <c r="I34" s="182"/>
      <c r="J34" s="186"/>
      <c r="K34" s="187"/>
      <c r="L34" s="188"/>
    </row>
  </sheetData>
  <mergeCells count="47">
    <mergeCell ref="G33:G34"/>
    <mergeCell ref="H33:H34"/>
    <mergeCell ref="I33:I34"/>
    <mergeCell ref="J33:L34"/>
    <mergeCell ref="K24:K25"/>
    <mergeCell ref="G27:G31"/>
    <mergeCell ref="H27:L27"/>
    <mergeCell ref="H28:H29"/>
    <mergeCell ref="I28:I31"/>
    <mergeCell ref="J28:J31"/>
    <mergeCell ref="K28:K29"/>
    <mergeCell ref="L28:L31"/>
    <mergeCell ref="H30:H31"/>
    <mergeCell ref="K30:K31"/>
    <mergeCell ref="W19:X20"/>
    <mergeCell ref="G21:G25"/>
    <mergeCell ref="H21:L21"/>
    <mergeCell ref="W21:X22"/>
    <mergeCell ref="H22:H23"/>
    <mergeCell ref="I22:I25"/>
    <mergeCell ref="J22:J25"/>
    <mergeCell ref="K22:K23"/>
    <mergeCell ref="L22:L25"/>
    <mergeCell ref="H24:H25"/>
    <mergeCell ref="O10:P12"/>
    <mergeCell ref="W10:X11"/>
    <mergeCell ref="S11:T11"/>
    <mergeCell ref="W13:X14"/>
    <mergeCell ref="G14:G18"/>
    <mergeCell ref="H14:L14"/>
    <mergeCell ref="S14:T15"/>
    <mergeCell ref="H15:H16"/>
    <mergeCell ref="I15:I18"/>
    <mergeCell ref="J15:J18"/>
    <mergeCell ref="K15:K16"/>
    <mergeCell ref="L15:L18"/>
    <mergeCell ref="W15:X16"/>
    <mergeCell ref="S16:T17"/>
    <mergeCell ref="H17:H18"/>
    <mergeCell ref="K17:K18"/>
    <mergeCell ref="O2:Q6"/>
    <mergeCell ref="W2:X3"/>
    <mergeCell ref="W4:X5"/>
    <mergeCell ref="S5:T6"/>
    <mergeCell ref="S7:T8"/>
    <mergeCell ref="W8:X9"/>
    <mergeCell ref="O9:P9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CFDC-8DF2-4825-8E0B-2F0182A62A96}">
  <dimension ref="A1:AA45"/>
  <sheetViews>
    <sheetView topLeftCell="A2" zoomScale="90" zoomScaleNormal="90" workbookViewId="0">
      <selection activeCell="AB3" sqref="AB3"/>
    </sheetView>
  </sheetViews>
  <sheetFormatPr defaultRowHeight="14.4" x14ac:dyDescent="0.3"/>
  <sheetData>
    <row r="1" spans="1:27" x14ac:dyDescent="0.3">
      <c r="A1" t="s">
        <v>91</v>
      </c>
    </row>
    <row r="3" spans="1:27" x14ac:dyDescent="0.3">
      <c r="AA3" t="s">
        <v>92</v>
      </c>
    </row>
    <row r="4" spans="1:27" x14ac:dyDescent="0.3">
      <c r="Z4">
        <v>1</v>
      </c>
      <c r="AA4" t="s">
        <v>93</v>
      </c>
    </row>
    <row r="5" spans="1:27" x14ac:dyDescent="0.3">
      <c r="Z5">
        <v>2</v>
      </c>
    </row>
    <row r="6" spans="1:27" x14ac:dyDescent="0.3">
      <c r="Z6">
        <v>3</v>
      </c>
    </row>
    <row r="12" spans="1:27" x14ac:dyDescent="0.3">
      <c r="K12" s="1" t="s">
        <v>110</v>
      </c>
    </row>
    <row r="13" spans="1:27" x14ac:dyDescent="0.3">
      <c r="K13" t="s">
        <v>114</v>
      </c>
    </row>
    <row r="14" spans="1:27" x14ac:dyDescent="0.3">
      <c r="K14" t="s">
        <v>100</v>
      </c>
    </row>
    <row r="15" spans="1:27" x14ac:dyDescent="0.3">
      <c r="K15" t="s">
        <v>101</v>
      </c>
    </row>
    <row r="16" spans="1:27" x14ac:dyDescent="0.3">
      <c r="K16" t="s">
        <v>102</v>
      </c>
    </row>
    <row r="17" spans="11:11" x14ac:dyDescent="0.3">
      <c r="K17" t="s">
        <v>109</v>
      </c>
    </row>
    <row r="18" spans="11:11" x14ac:dyDescent="0.3">
      <c r="K18" t="s">
        <v>111</v>
      </c>
    </row>
    <row r="19" spans="11:11" x14ac:dyDescent="0.3">
      <c r="K19" s="89" t="s">
        <v>118</v>
      </c>
    </row>
    <row r="20" spans="11:11" s="77" customFormat="1" x14ac:dyDescent="0.3"/>
    <row r="32" spans="11:11" x14ac:dyDescent="0.3">
      <c r="K32" s="1" t="s">
        <v>110</v>
      </c>
    </row>
    <row r="33" spans="10:27" x14ac:dyDescent="0.3">
      <c r="K33" t="s">
        <v>103</v>
      </c>
    </row>
    <row r="34" spans="10:27" x14ac:dyDescent="0.3">
      <c r="K34" t="s">
        <v>104</v>
      </c>
    </row>
    <row r="35" spans="10:27" x14ac:dyDescent="0.3">
      <c r="K35" t="s">
        <v>105</v>
      </c>
    </row>
    <row r="36" spans="10:27" x14ac:dyDescent="0.3">
      <c r="K36" t="s">
        <v>112</v>
      </c>
    </row>
    <row r="37" spans="10:27" x14ac:dyDescent="0.3">
      <c r="K37" t="s">
        <v>113</v>
      </c>
      <c r="AA37" t="s">
        <v>94</v>
      </c>
    </row>
    <row r="38" spans="10:27" x14ac:dyDescent="0.3">
      <c r="AA38" t="s">
        <v>95</v>
      </c>
    </row>
    <row r="43" spans="10:27" x14ac:dyDescent="0.3">
      <c r="J43" t="s">
        <v>116</v>
      </c>
      <c r="K43">
        <v>2018</v>
      </c>
      <c r="L43">
        <v>2019</v>
      </c>
      <c r="M43">
        <v>2020</v>
      </c>
    </row>
    <row r="44" spans="10:27" x14ac:dyDescent="0.3">
      <c r="J44" t="s">
        <v>115</v>
      </c>
      <c r="K44" s="90">
        <f>+'Selskapet Karsten Moholt AS'!K29-'Selskapet Karsten Moholt AS'!K28</f>
        <v>0</v>
      </c>
      <c r="L44" s="90">
        <f>+'Selskapet Karsten Moholt AS'!L29-'Selskapet Karsten Moholt AS'!L28</f>
        <v>0</v>
      </c>
      <c r="M44" s="90">
        <f>+'Selskapet Karsten Moholt AS'!M29-'Selskapet Karsten Moholt AS'!M28</f>
        <v>0</v>
      </c>
    </row>
    <row r="45" spans="10:27" x14ac:dyDescent="0.3">
      <c r="J45" t="s">
        <v>117</v>
      </c>
      <c r="K45" s="90">
        <f>+'IKM Elektro AS'!L23-'IKM Elektro AS'!L22</f>
        <v>3.6451161003241403E-2</v>
      </c>
      <c r="L45" s="90">
        <f>+'IKM Elektro AS'!M23-'IKM Elektro AS'!M22</f>
        <v>0.32511684569925986</v>
      </c>
      <c r="M45" s="90">
        <f>+'IKM Elektro AS'!N23-'IKM Elektro AS'!N22</f>
        <v>0.40869210366323649</v>
      </c>
    </row>
  </sheetData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D418-318F-43A9-8F2C-C7314A16497A}">
  <dimension ref="B2:G20"/>
  <sheetViews>
    <sheetView workbookViewId="0">
      <selection activeCell="D32" sqref="D32"/>
    </sheetView>
  </sheetViews>
  <sheetFormatPr defaultRowHeight="14.4" x14ac:dyDescent="0.3"/>
  <cols>
    <col min="2" max="2" width="19.88671875" bestFit="1" customWidth="1"/>
    <col min="3" max="3" width="20.88671875" bestFit="1" customWidth="1"/>
    <col min="4" max="7" width="10.33203125" bestFit="1" customWidth="1"/>
  </cols>
  <sheetData>
    <row r="2" spans="2:7" x14ac:dyDescent="0.3">
      <c r="D2">
        <v>2017</v>
      </c>
      <c r="E2">
        <v>2018</v>
      </c>
      <c r="F2">
        <v>2019</v>
      </c>
      <c r="G2">
        <v>2020</v>
      </c>
    </row>
    <row r="3" spans="2:7" x14ac:dyDescent="0.3">
      <c r="B3" t="s">
        <v>33</v>
      </c>
      <c r="C3" t="s">
        <v>76</v>
      </c>
      <c r="D3" s="62">
        <v>-3.2157338316153326E-2</v>
      </c>
      <c r="E3" s="62">
        <v>-0.13259026162993079</v>
      </c>
      <c r="F3" s="62">
        <v>0.10984842193380792</v>
      </c>
      <c r="G3" s="62">
        <v>2.7212963362820686E-2</v>
      </c>
    </row>
    <row r="4" spans="2:7" x14ac:dyDescent="0.3">
      <c r="B4" t="s">
        <v>34</v>
      </c>
      <c r="C4" t="s">
        <v>77</v>
      </c>
      <c r="D4" s="62">
        <v>-0.21000424185075212</v>
      </c>
      <c r="E4" s="62">
        <v>-0.34440203244933432</v>
      </c>
      <c r="F4" s="62">
        <v>0.23231126560770682</v>
      </c>
      <c r="G4" s="62">
        <v>3.1067325528830417E-2</v>
      </c>
    </row>
    <row r="5" spans="2:7" x14ac:dyDescent="0.3">
      <c r="C5" t="s">
        <v>78</v>
      </c>
      <c r="D5" s="62">
        <v>1.0559618533780468E-2</v>
      </c>
      <c r="E5" s="62">
        <v>4.774502568958075E-2</v>
      </c>
      <c r="F5" s="62">
        <v>4.3550042686350002E-2</v>
      </c>
      <c r="G5" s="62">
        <v>2.3698398514448583E-2</v>
      </c>
    </row>
    <row r="6" spans="2:7" x14ac:dyDescent="0.3">
      <c r="C6" t="s">
        <v>79</v>
      </c>
      <c r="D6" s="62">
        <v>5.6108237166732987E-2</v>
      </c>
      <c r="E6" s="62">
        <v>0.45609844372059355</v>
      </c>
      <c r="F6" s="62">
        <v>0.55558450581900298</v>
      </c>
      <c r="G6" s="62">
        <v>0.29772450929303457</v>
      </c>
    </row>
    <row r="10" spans="2:7" x14ac:dyDescent="0.3">
      <c r="D10">
        <v>2017</v>
      </c>
      <c r="E10">
        <v>2018</v>
      </c>
      <c r="F10">
        <v>2019</v>
      </c>
      <c r="G10">
        <v>2020</v>
      </c>
    </row>
    <row r="11" spans="2:7" x14ac:dyDescent="0.3">
      <c r="B11" t="s">
        <v>36</v>
      </c>
      <c r="C11" t="s">
        <v>80</v>
      </c>
      <c r="D11" s="63">
        <v>0.71365990105876365</v>
      </c>
      <c r="E11" s="63">
        <v>1.1657920862289037</v>
      </c>
      <c r="F11" s="63">
        <v>1.1539620845561989</v>
      </c>
      <c r="G11" s="63">
        <v>1.26383871185982</v>
      </c>
    </row>
    <row r="12" spans="2:7" x14ac:dyDescent="0.3">
      <c r="B12" t="s">
        <v>37</v>
      </c>
      <c r="C12" t="s">
        <v>81</v>
      </c>
      <c r="D12" s="63">
        <v>0.59001803134680286</v>
      </c>
      <c r="E12" s="63">
        <v>0.99866685576513969</v>
      </c>
      <c r="F12" s="63">
        <v>1.026107944565944</v>
      </c>
      <c r="G12" s="63">
        <v>1.1651173804208106</v>
      </c>
    </row>
    <row r="13" spans="2:7" x14ac:dyDescent="0.3">
      <c r="B13" t="s">
        <v>38</v>
      </c>
      <c r="C13" t="s">
        <v>82</v>
      </c>
      <c r="D13" s="64">
        <v>-24773</v>
      </c>
      <c r="E13" s="64">
        <v>11690</v>
      </c>
      <c r="F13" s="64">
        <v>13587</v>
      </c>
      <c r="G13" s="64">
        <v>19499</v>
      </c>
    </row>
    <row r="14" spans="2:7" x14ac:dyDescent="0.3">
      <c r="B14" t="s">
        <v>39</v>
      </c>
      <c r="C14" t="s">
        <v>83</v>
      </c>
      <c r="D14" s="62">
        <v>3.9813090869651672E-2</v>
      </c>
      <c r="E14" s="62">
        <v>0.43166073555857382</v>
      </c>
      <c r="F14" s="62">
        <v>0.40749911567032188</v>
      </c>
      <c r="G14" s="62">
        <v>0.44618957319921948</v>
      </c>
    </row>
    <row r="15" spans="2:7" x14ac:dyDescent="0.3">
      <c r="B15" t="s">
        <v>40</v>
      </c>
      <c r="C15" t="s">
        <v>84</v>
      </c>
      <c r="D15" s="63">
        <v>2.3889981833071342E-2</v>
      </c>
      <c r="E15" s="63">
        <v>2.2188993618327948E-2</v>
      </c>
      <c r="F15" s="63">
        <v>1.7704206241519676E-2</v>
      </c>
      <c r="G15" s="63">
        <v>2.6089869240503188E-2</v>
      </c>
    </row>
    <row r="16" spans="2:7" x14ac:dyDescent="0.3">
      <c r="C16" t="s">
        <v>85</v>
      </c>
      <c r="D16" s="63">
        <v>1.0586896960569112</v>
      </c>
      <c r="E16" s="63">
        <v>1.3718040621266427</v>
      </c>
      <c r="F16" s="63">
        <v>1.1628278626147837</v>
      </c>
      <c r="G16" s="63">
        <v>1.2876492537313433</v>
      </c>
    </row>
    <row r="17" spans="3:7" x14ac:dyDescent="0.3">
      <c r="C17" t="s">
        <v>86</v>
      </c>
      <c r="D17" s="63">
        <v>1.0110714114046753</v>
      </c>
      <c r="E17" s="63">
        <v>1.3522633744855967</v>
      </c>
      <c r="F17" s="63">
        <v>1.1476586677489726</v>
      </c>
      <c r="G17" s="63">
        <v>1.266641791044776</v>
      </c>
    </row>
    <row r="18" spans="3:7" x14ac:dyDescent="0.3">
      <c r="C18" t="s">
        <v>87</v>
      </c>
      <c r="D18" s="64">
        <v>3663</v>
      </c>
      <c r="E18" s="64">
        <v>14004</v>
      </c>
      <c r="F18" s="64">
        <v>6419</v>
      </c>
      <c r="G18" s="64">
        <v>7709</v>
      </c>
    </row>
    <row r="19" spans="3:7" x14ac:dyDescent="0.3">
      <c r="C19" t="s">
        <v>88</v>
      </c>
      <c r="D19" s="62">
        <v>0.11482981146400101</v>
      </c>
      <c r="E19" s="62">
        <v>0.13241420127322806</v>
      </c>
      <c r="F19" s="62">
        <v>6.5466122133967908E-2</v>
      </c>
      <c r="G19" s="62">
        <v>8.8280155000412239E-2</v>
      </c>
    </row>
    <row r="20" spans="3:7" x14ac:dyDescent="0.3">
      <c r="C20" t="s">
        <v>89</v>
      </c>
      <c r="D20" s="63">
        <v>6.9536795218944772E-3</v>
      </c>
      <c r="E20" s="63">
        <v>1.4788264967476436E-2</v>
      </c>
      <c r="F20" s="63">
        <v>4.0079143625386844E-3</v>
      </c>
      <c r="G20" s="63">
        <v>5.1865671641791048E-3</v>
      </c>
    </row>
  </sheetData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4" ma:contentTypeDescription="Create a new document." ma:contentTypeScope="" ma:versionID="69de1a618b6888528b149bb6d9170c46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29e71785aa4c1ef5033ad9f53c1c2222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DFF5A-E3BB-4A46-AFB1-8E3AC1CDBBF9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2.xml><?xml version="1.0" encoding="utf-8"?>
<ds:datastoreItem xmlns:ds="http://schemas.openxmlformats.org/officeDocument/2006/customXml" ds:itemID="{3443878E-DA4D-4958-9A2E-410721A9E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1243E3-4733-4751-9113-F4D2F6606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Selskapet Karsten Moholt AS</vt:lpstr>
      <vt:lpstr>IKM Elektro AS</vt:lpstr>
      <vt:lpstr>Simulering DuP sit. 2020</vt:lpstr>
      <vt:lpstr>Simulering DuP sc.1</vt:lpstr>
      <vt:lpstr>Simulering DuP sc.2</vt:lpstr>
      <vt:lpstr>Analyse</vt:lpstr>
      <vt:lpstr>Grafer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Sapozhnikov</dc:creator>
  <cp:lastModifiedBy>Mikkelsen, Sissel Merete</cp:lastModifiedBy>
  <dcterms:created xsi:type="dcterms:W3CDTF">2022-02-11T09:08:16Z</dcterms:created>
  <dcterms:modified xsi:type="dcterms:W3CDTF">2022-11-16T08:35:37Z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2022-05-08T20:36:11Z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a32577c6-69e9-49b1-9457-2012c8c136ff</vt:lpwstr>
  </property>
  <property fmtid="{D5CDD505-2E9C-101B-9397-08002B2CF9AE}" pid="8" name="MSIP_Label_23f93e5f-d3c2-49a7-ba94-15405423c204_ContentBits">
    <vt:lpwstr>2</vt:lpwstr>
  </property>
  <property fmtid="{D5CDD505-2E9C-101B-9397-08002B2CF9AE}" pid="9" name="ContentTypeId">
    <vt:lpwstr>0x01010053C63A7F62C51E45832604D654F4D5F9</vt:lpwstr>
  </property>
</Properties>
</file>