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FE6EBC5B-0FFD-4CEB-8CB4-1E4AD26A4590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DEL A Regnskap" sheetId="1" r:id="rId1"/>
    <sheet name="DuPont- modellen" sheetId="2" r:id="rId2"/>
    <sheet name="CCC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4" i="1" l="1"/>
  <c r="J21" i="2"/>
  <c r="U5" i="2"/>
  <c r="U20" i="2" s="1"/>
  <c r="U19" i="2"/>
  <c r="E15" i="3"/>
  <c r="D15" i="3"/>
  <c r="D20" i="3" s="1"/>
  <c r="C15" i="3"/>
  <c r="D19" i="3" s="1"/>
  <c r="B15" i="3"/>
  <c r="D18" i="3" s="1"/>
  <c r="E14" i="3"/>
  <c r="D14" i="3"/>
  <c r="D24" i="3" s="1"/>
  <c r="C14" i="3"/>
  <c r="D23" i="3" s="1"/>
  <c r="B14" i="3"/>
  <c r="D22" i="3" s="1"/>
  <c r="E13" i="3"/>
  <c r="D13" i="3"/>
  <c r="C20" i="3" s="1"/>
  <c r="E20" i="3" s="1"/>
  <c r="C13" i="3"/>
  <c r="B13" i="3"/>
  <c r="D26" i="3" s="1"/>
  <c r="E12" i="3"/>
  <c r="D12" i="3"/>
  <c r="C28" i="3" s="1"/>
  <c r="C12" i="3"/>
  <c r="B12" i="3"/>
  <c r="E11" i="3"/>
  <c r="D11" i="3"/>
  <c r="C24" i="3" s="1"/>
  <c r="C11" i="3"/>
  <c r="C23" i="3" s="1"/>
  <c r="B11" i="3"/>
  <c r="C22" i="3" s="1"/>
  <c r="H19" i="2"/>
  <c r="D94" i="1"/>
  <c r="D95" i="1" s="1"/>
  <c r="C94" i="1"/>
  <c r="E86" i="1"/>
  <c r="C84" i="1"/>
  <c r="C86" i="1" s="1"/>
  <c r="B84" i="1"/>
  <c r="B86" i="1" s="1"/>
  <c r="E81" i="1"/>
  <c r="E80" i="1"/>
  <c r="C80" i="1"/>
  <c r="D78" i="1"/>
  <c r="D81" i="1" s="1"/>
  <c r="C78" i="1"/>
  <c r="C81" i="1" s="1"/>
  <c r="B78" i="1"/>
  <c r="B81" i="1" s="1"/>
  <c r="B10" i="1" s="1"/>
  <c r="E71" i="1"/>
  <c r="D71" i="1"/>
  <c r="C71" i="1"/>
  <c r="B71" i="1"/>
  <c r="E69" i="1"/>
  <c r="D69" i="1"/>
  <c r="C69" i="1"/>
  <c r="B69" i="1"/>
  <c r="E63" i="1"/>
  <c r="D63" i="1"/>
  <c r="C63" i="1"/>
  <c r="B63" i="1"/>
  <c r="D60" i="1"/>
  <c r="C60" i="1"/>
  <c r="C61" i="1" s="1"/>
  <c r="B60" i="1"/>
  <c r="D56" i="1"/>
  <c r="D61" i="1" s="1"/>
  <c r="C56" i="1"/>
  <c r="B56" i="1"/>
  <c r="E53" i="1"/>
  <c r="E61" i="1" s="1"/>
  <c r="E73" i="1" s="1"/>
  <c r="D53" i="1"/>
  <c r="B53" i="1"/>
  <c r="E48" i="1"/>
  <c r="C48" i="1"/>
  <c r="C47" i="1"/>
  <c r="D41" i="1"/>
  <c r="C41" i="1"/>
  <c r="U15" i="2" s="1"/>
  <c r="B41" i="1"/>
  <c r="D38" i="1"/>
  <c r="C38" i="1"/>
  <c r="B38" i="1"/>
  <c r="B42" i="1" s="1"/>
  <c r="H42" i="1" s="1"/>
  <c r="E32" i="1"/>
  <c r="D32" i="1"/>
  <c r="C32" i="1"/>
  <c r="B32" i="1"/>
  <c r="G32" i="1" s="1"/>
  <c r="H32" i="1" s="1"/>
  <c r="E23" i="1"/>
  <c r="E33" i="1" s="1"/>
  <c r="E8" i="1" s="1"/>
  <c r="D23" i="1"/>
  <c r="C23" i="1"/>
  <c r="C33" i="1" s="1"/>
  <c r="B23" i="1"/>
  <c r="B33" i="1" s="1"/>
  <c r="B43" i="1" s="1"/>
  <c r="E15" i="1"/>
  <c r="E14" i="1"/>
  <c r="E13" i="1"/>
  <c r="E10" i="1"/>
  <c r="E11" i="1" s="1"/>
  <c r="E7" i="1"/>
  <c r="E6" i="1"/>
  <c r="E4" i="1"/>
  <c r="E3" i="1"/>
  <c r="H15" i="2" l="1"/>
  <c r="B11" i="1"/>
  <c r="B61" i="1"/>
  <c r="B72" i="1"/>
  <c r="C72" i="1"/>
  <c r="C95" i="1"/>
  <c r="H5" i="2"/>
  <c r="B95" i="1"/>
  <c r="B96" i="1" s="1"/>
  <c r="B7" i="1" s="1"/>
  <c r="H20" i="2"/>
  <c r="E16" i="2" s="1"/>
  <c r="E16" i="1"/>
  <c r="D33" i="1"/>
  <c r="D42" i="1"/>
  <c r="D72" i="1"/>
  <c r="G23" i="1"/>
  <c r="C26" i="3"/>
  <c r="E26" i="3" s="1"/>
  <c r="C18" i="3"/>
  <c r="E18" i="3" s="1"/>
  <c r="C27" i="3"/>
  <c r="E23" i="3"/>
  <c r="E24" i="3"/>
  <c r="E31" i="3" s="1"/>
  <c r="E22" i="3"/>
  <c r="R16" i="2"/>
  <c r="W5" i="2"/>
  <c r="D27" i="3"/>
  <c r="D28" i="3"/>
  <c r="E28" i="3" s="1"/>
  <c r="C19" i="3"/>
  <c r="E19" i="3" s="1"/>
  <c r="J5" i="2"/>
  <c r="B45" i="1"/>
  <c r="B46" i="1" s="1"/>
  <c r="B47" i="1" s="1"/>
  <c r="B48" i="1" s="1"/>
  <c r="D15" i="1"/>
  <c r="D14" i="1"/>
  <c r="D13" i="1"/>
  <c r="D10" i="1"/>
  <c r="C10" i="1"/>
  <c r="C11" i="1" s="1"/>
  <c r="B15" i="1"/>
  <c r="B13" i="1"/>
  <c r="B14" i="1"/>
  <c r="C15" i="1"/>
  <c r="C73" i="1"/>
  <c r="C14" i="1"/>
  <c r="C13" i="1"/>
  <c r="C96" i="1"/>
  <c r="C3" i="1" s="1"/>
  <c r="D96" i="1"/>
  <c r="D4" i="1" s="1"/>
  <c r="D3" i="1"/>
  <c r="E17" i="1"/>
  <c r="H10" i="2" l="1"/>
  <c r="B8" i="1"/>
  <c r="M6" i="2"/>
  <c r="H23" i="1" s="1"/>
  <c r="H33" i="1" s="1"/>
  <c r="H43" i="1" s="1"/>
  <c r="J15" i="2" s="1"/>
  <c r="E5" i="2"/>
  <c r="B13" i="2" s="1"/>
  <c r="B3" i="1"/>
  <c r="D43" i="1"/>
  <c r="B73" i="1"/>
  <c r="E27" i="3"/>
  <c r="D31" i="3" s="1"/>
  <c r="C31" i="3"/>
  <c r="D17" i="2"/>
  <c r="G5" i="2"/>
  <c r="J20" i="2"/>
  <c r="B4" i="1"/>
  <c r="B6" i="1"/>
  <c r="C16" i="1"/>
  <c r="C17" i="1"/>
  <c r="B17" i="1"/>
  <c r="B16" i="1"/>
  <c r="D7" i="1"/>
  <c r="D8" i="1" s="1"/>
  <c r="D6" i="1"/>
  <c r="C4" i="1"/>
  <c r="C6" i="1"/>
  <c r="C7" i="1"/>
  <c r="D16" i="1"/>
  <c r="D17" i="1"/>
  <c r="D11" i="1" l="1"/>
  <c r="D45" i="1"/>
  <c r="D46" i="1" s="1"/>
  <c r="D47" i="1" s="1"/>
  <c r="D48" i="1" s="1"/>
  <c r="C8" i="1"/>
  <c r="U10" i="2"/>
  <c r="H7" i="1"/>
  <c r="J10" i="2" s="1"/>
  <c r="G6" i="2" s="1"/>
  <c r="D13" i="2" s="1"/>
  <c r="J9" i="2"/>
  <c r="D12" i="2"/>
  <c r="W10" i="2" l="1"/>
  <c r="T6" i="2" s="1"/>
  <c r="Q13" i="2" s="1"/>
  <c r="R5" i="2"/>
  <c r="O13" i="2" s="1"/>
  <c r="T5" i="2"/>
  <c r="Q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tc={A65E9075-96EE-4505-9FD9-8DD078D9060A}</author>
  </authors>
  <commentList>
    <comment ref="H6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til å kunne redusere Totalkapital ned til 100 00 000 redusere EK</t>
      </text>
    </comment>
  </commentList>
</comments>
</file>

<file path=xl/sharedStrings.xml><?xml version="1.0" encoding="utf-8"?>
<sst xmlns="http://schemas.openxmlformats.org/spreadsheetml/2006/main" count="404" uniqueCount="362">
  <si>
    <t>Soliditetsvurdering</t>
  </si>
  <si>
    <t>Gjeldsgrad</t>
  </si>
  <si>
    <t>EK andel</t>
  </si>
  <si>
    <t>Lønnsomhetsvurdering</t>
  </si>
  <si>
    <t>Totalkapital</t>
  </si>
  <si>
    <t>gj. Totalkapital</t>
  </si>
  <si>
    <t>TKR</t>
  </si>
  <si>
    <t>Egenkapitalrentabilitet</t>
  </si>
  <si>
    <t>gj. Egenkapital</t>
  </si>
  <si>
    <t>EKR</t>
  </si>
  <si>
    <t>Likviditetsvurdering</t>
  </si>
  <si>
    <t>Likviditetsgrad 1</t>
  </si>
  <si>
    <t>Likviditetsgrad 2</t>
  </si>
  <si>
    <t>AK</t>
  </si>
  <si>
    <t>AK % av omsetning</t>
  </si>
  <si>
    <t>Endring i arbeidskapital</t>
  </si>
  <si>
    <t>Resultatregnskap</t>
  </si>
  <si>
    <t>RESULTATREGNSKAP</t>
  </si>
  <si>
    <r>
      <rPr>
        <b/>
        <sz val="10"/>
        <rFont val="Calibri"/>
        <family val="2"/>
        <scheme val="minor"/>
      </rPr>
      <t xml:space="preserve">Inntekter
</t>
    </r>
    <r>
      <rPr>
        <sz val="10"/>
        <rFont val="Calibri"/>
        <family val="2"/>
        <scheme val="minor"/>
      </rPr>
      <t>Salgsinntekt</t>
    </r>
  </si>
  <si>
    <r>
      <rPr>
        <sz val="10"/>
        <rFont val="Times New Roman"/>
        <family val="1"/>
      </rPr>
      <t>212 558 802</t>
    </r>
  </si>
  <si>
    <r>
      <rPr>
        <sz val="10"/>
        <rFont val="Times New Roman"/>
        <family val="1"/>
      </rPr>
      <t>210 416 711</t>
    </r>
  </si>
  <si>
    <r>
      <rPr>
        <sz val="10"/>
        <rFont val="Times New Roman"/>
        <family val="1"/>
      </rPr>
      <t>240 121 345</t>
    </r>
  </si>
  <si>
    <r>
      <rPr>
        <sz val="10"/>
        <rFont val="Times New Roman"/>
        <family val="1"/>
      </rPr>
      <t>201 795 525</t>
    </r>
  </si>
  <si>
    <t>Annen driftsinntekt</t>
  </si>
  <si>
    <r>
      <rPr>
        <sz val="10"/>
        <rFont val="Times New Roman"/>
        <family val="1"/>
      </rPr>
      <t>778 730</t>
    </r>
  </si>
  <si>
    <r>
      <rPr>
        <sz val="10"/>
        <rFont val="Times New Roman"/>
        <family val="1"/>
      </rPr>
      <t>467 304</t>
    </r>
  </si>
  <si>
    <r>
      <rPr>
        <sz val="10"/>
        <rFont val="Times New Roman"/>
        <family val="1"/>
      </rPr>
      <t>612 311</t>
    </r>
  </si>
  <si>
    <r>
      <rPr>
        <sz val="10"/>
        <rFont val="Times New Roman"/>
        <family val="1"/>
      </rPr>
      <t>518 617</t>
    </r>
  </si>
  <si>
    <t>Sum inntekter</t>
  </si>
  <si>
    <r>
      <rPr>
        <b/>
        <sz val="10"/>
        <rFont val="Times New Roman"/>
        <family val="1"/>
      </rPr>
      <t>213 337 532</t>
    </r>
  </si>
  <si>
    <r>
      <rPr>
        <b/>
        <sz val="10"/>
        <rFont val="Times New Roman"/>
        <family val="1"/>
      </rPr>
      <t>210 884 015</t>
    </r>
  </si>
  <si>
    <r>
      <rPr>
        <b/>
        <sz val="10"/>
        <rFont val="Times New Roman"/>
        <family val="1"/>
      </rPr>
      <t>240 733 656</t>
    </r>
  </si>
  <si>
    <r>
      <rPr>
        <b/>
        <sz val="10"/>
        <rFont val="Times New Roman"/>
        <family val="1"/>
      </rPr>
      <t>202 314 142</t>
    </r>
  </si>
  <si>
    <t>Kostnader</t>
  </si>
  <si>
    <t>Varekostnad</t>
  </si>
  <si>
    <r>
      <rPr>
        <sz val="10"/>
        <rFont val="Times New Roman"/>
        <family val="1"/>
      </rPr>
      <t>67 547 652</t>
    </r>
  </si>
  <si>
    <r>
      <rPr>
        <sz val="10"/>
        <rFont val="Times New Roman"/>
        <family val="1"/>
      </rPr>
      <t>69 639 422</t>
    </r>
  </si>
  <si>
    <r>
      <rPr>
        <sz val="10"/>
        <rFont val="Times New Roman"/>
        <family val="1"/>
      </rPr>
      <t>70 358 901</t>
    </r>
  </si>
  <si>
    <r>
      <rPr>
        <sz val="10"/>
        <rFont val="Times New Roman"/>
        <family val="1"/>
      </rPr>
      <t>55 080 978</t>
    </r>
  </si>
  <si>
    <t>Lønnskostnad</t>
  </si>
  <si>
    <r>
      <rPr>
        <sz val="10"/>
        <rFont val="Times New Roman"/>
        <family val="1"/>
      </rPr>
      <t>107 244 013</t>
    </r>
  </si>
  <si>
    <r>
      <rPr>
        <sz val="10"/>
        <rFont val="Times New Roman"/>
        <family val="1"/>
      </rPr>
      <t>104 926 113</t>
    </r>
  </si>
  <si>
    <r>
      <rPr>
        <sz val="10"/>
        <rFont val="Times New Roman"/>
        <family val="1"/>
      </rPr>
      <t>122 306 413</t>
    </r>
  </si>
  <si>
    <r>
      <rPr>
        <sz val="10"/>
        <rFont val="Times New Roman"/>
        <family val="1"/>
      </rPr>
      <t>106 944 973</t>
    </r>
  </si>
  <si>
    <t>Avskrivning på varige driftsmidler og immaterielle eiendeler</t>
  </si>
  <si>
    <r>
      <rPr>
        <sz val="10"/>
        <rFont val="Times New Roman"/>
        <family val="1"/>
      </rPr>
      <t>6 633 793</t>
    </r>
  </si>
  <si>
    <r>
      <rPr>
        <sz val="10"/>
        <rFont val="Times New Roman"/>
        <family val="1"/>
      </rPr>
      <t>6 022 173</t>
    </r>
  </si>
  <si>
    <r>
      <rPr>
        <sz val="10"/>
        <rFont val="Times New Roman"/>
        <family val="1"/>
      </rPr>
      <t>4 801 139</t>
    </r>
  </si>
  <si>
    <r>
      <rPr>
        <sz val="10"/>
        <rFont val="Times New Roman"/>
        <family val="1"/>
      </rPr>
      <t>3 983 418</t>
    </r>
  </si>
  <si>
    <t>Nedskrivning av varige driftsmidler og immaterielle eiendeler</t>
  </si>
  <si>
    <r>
      <rPr>
        <sz val="10"/>
        <rFont val="Times New Roman"/>
        <family val="1"/>
      </rPr>
      <t>204 651</t>
    </r>
  </si>
  <si>
    <r>
      <rPr>
        <sz val="10"/>
        <rFont val="Times New Roman"/>
        <family val="1"/>
      </rPr>
      <t>549 215</t>
    </r>
  </si>
  <si>
    <r>
      <rPr>
        <sz val="10"/>
        <rFont val="Times New Roman"/>
        <family val="1"/>
      </rPr>
      <t>7 137 166</t>
    </r>
  </si>
  <si>
    <t>Tap på investering i datterselskap</t>
  </si>
  <si>
    <r>
      <rPr>
        <sz val="10"/>
        <rFont val="Times New Roman"/>
        <family val="1"/>
      </rPr>
      <t>37 459 679</t>
    </r>
  </si>
  <si>
    <r>
      <rPr>
        <sz val="10"/>
        <rFont val="Times New Roman"/>
        <family val="1"/>
      </rPr>
      <t>20 392 607</t>
    </r>
  </si>
  <si>
    <r>
      <rPr>
        <sz val="10"/>
        <rFont val="Times New Roman"/>
        <family val="1"/>
      </rPr>
      <t>3 032 674</t>
    </r>
  </si>
  <si>
    <r>
      <rPr>
        <sz val="10"/>
        <rFont val="Times New Roman"/>
        <family val="1"/>
      </rPr>
      <t>34 911 012</t>
    </r>
  </si>
  <si>
    <t>Tap på krav</t>
  </si>
  <si>
    <r>
      <rPr>
        <sz val="10"/>
        <rFont val="Times New Roman"/>
        <family val="1"/>
      </rPr>
      <t>1 750</t>
    </r>
  </si>
  <si>
    <r>
      <rPr>
        <sz val="10"/>
        <rFont val="Times New Roman"/>
        <family val="1"/>
      </rPr>
      <t>322 256</t>
    </r>
  </si>
  <si>
    <t>Annen driftskostnad</t>
  </si>
  <si>
    <r>
      <rPr>
        <sz val="10"/>
        <rFont val="Times New Roman"/>
        <family val="1"/>
      </rPr>
      <t>32 542 564</t>
    </r>
  </si>
  <si>
    <r>
      <rPr>
        <sz val="10"/>
        <rFont val="Times New Roman"/>
        <family val="1"/>
      </rPr>
      <t>32 468 851</t>
    </r>
  </si>
  <si>
    <t>Sum kostnader</t>
  </si>
  <si>
    <r>
      <rPr>
        <b/>
        <sz val="10"/>
        <rFont val="Times New Roman"/>
        <family val="1"/>
      </rPr>
      <t>219 089 788</t>
    </r>
  </si>
  <si>
    <r>
      <rPr>
        <b/>
        <sz val="10"/>
        <rFont val="Times New Roman"/>
        <family val="1"/>
      </rPr>
      <t>233 524 629</t>
    </r>
  </si>
  <si>
    <r>
      <rPr>
        <b/>
        <sz val="10"/>
        <rFont val="Times New Roman"/>
        <family val="1"/>
      </rPr>
      <t>233 839 449</t>
    </r>
  </si>
  <si>
    <r>
      <rPr>
        <b/>
        <sz val="10"/>
        <rFont val="Times New Roman"/>
        <family val="1"/>
      </rPr>
      <t>208 057 547</t>
    </r>
  </si>
  <si>
    <t>Driftsresultat</t>
  </si>
  <si>
    <r>
      <rPr>
        <b/>
        <sz val="10"/>
        <rFont val="Times New Roman"/>
        <family val="1"/>
      </rPr>
      <t>-5 752 256</t>
    </r>
  </si>
  <si>
    <r>
      <rPr>
        <b/>
        <sz val="10"/>
        <rFont val="Times New Roman"/>
        <family val="1"/>
      </rPr>
      <t>-22 640 614</t>
    </r>
  </si>
  <si>
    <r>
      <rPr>
        <b/>
        <sz val="10"/>
        <rFont val="Times New Roman"/>
        <family val="1"/>
      </rPr>
      <t>6 894 207</t>
    </r>
  </si>
  <si>
    <r>
      <rPr>
        <b/>
        <sz val="10"/>
        <rFont val="Times New Roman"/>
        <family val="1"/>
      </rPr>
      <t>-5 743 405</t>
    </r>
  </si>
  <si>
    <t>Finansinntekter og finanskostnader</t>
  </si>
  <si>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Inntekt på investering i datterselskap og tilknyttet selskap</t>
    </r>
  </si>
  <si>
    <r>
      <rPr>
        <sz val="10"/>
        <rFont val="Times New Roman"/>
        <family val="1"/>
      </rPr>
      <t>772 030</t>
    </r>
  </si>
  <si>
    <r>
      <rPr>
        <sz val="10"/>
        <rFont val="Times New Roman"/>
        <family val="1"/>
      </rPr>
      <t>2 654 388</t>
    </r>
  </si>
  <si>
    <r>
      <rPr>
        <sz val="10"/>
        <rFont val="Times New Roman"/>
        <family val="1"/>
      </rPr>
      <t>8 123 400</t>
    </r>
  </si>
  <si>
    <r>
      <rPr>
        <sz val="10"/>
        <rFont val="Times New Roman"/>
        <family val="1"/>
      </rPr>
      <t>8 083 312</t>
    </r>
  </si>
  <si>
    <t>Annen renteinntekt</t>
  </si>
  <si>
    <r>
      <rPr>
        <sz val="10"/>
        <rFont val="Times New Roman"/>
        <family val="1"/>
      </rPr>
      <t>193 723</t>
    </r>
  </si>
  <si>
    <r>
      <rPr>
        <sz val="10"/>
        <rFont val="Times New Roman"/>
        <family val="1"/>
      </rPr>
      <t>295 306</t>
    </r>
  </si>
  <si>
    <r>
      <rPr>
        <sz val="10"/>
        <rFont val="Times New Roman"/>
        <family val="1"/>
      </rPr>
      <t>793 530</t>
    </r>
  </si>
  <si>
    <r>
      <rPr>
        <sz val="10"/>
        <rFont val="Times New Roman"/>
        <family val="1"/>
      </rPr>
      <t>210 882</t>
    </r>
  </si>
  <si>
    <t>Annen finansinntekt</t>
  </si>
  <si>
    <r>
      <rPr>
        <sz val="10"/>
        <rFont val="Times New Roman"/>
        <family val="1"/>
      </rPr>
      <t>888 224</t>
    </r>
  </si>
  <si>
    <r>
      <rPr>
        <sz val="10"/>
        <rFont val="Times New Roman"/>
        <family val="1"/>
      </rPr>
      <t>646 290</t>
    </r>
  </si>
  <si>
    <r>
      <rPr>
        <sz val="10"/>
        <rFont val="Times New Roman"/>
        <family val="1"/>
      </rPr>
      <t>723 423</t>
    </r>
  </si>
  <si>
    <r>
      <rPr>
        <sz val="10"/>
        <rFont val="Times New Roman"/>
        <family val="1"/>
      </rPr>
      <t>1 544 670</t>
    </r>
  </si>
  <si>
    <t>Sum finansinntekter</t>
  </si>
  <si>
    <r>
      <rPr>
        <b/>
        <sz val="10"/>
        <rFont val="Times New Roman"/>
        <family val="1"/>
      </rPr>
      <t>1 853 977</t>
    </r>
  </si>
  <si>
    <r>
      <rPr>
        <b/>
        <sz val="10"/>
        <rFont val="Times New Roman"/>
        <family val="1"/>
      </rPr>
      <t>3 595 984</t>
    </r>
  </si>
  <si>
    <r>
      <rPr>
        <b/>
        <sz val="10"/>
        <rFont val="Times New Roman"/>
        <family val="1"/>
      </rPr>
      <t>9 640 353</t>
    </r>
  </si>
  <si>
    <r>
      <rPr>
        <b/>
        <sz val="10"/>
        <rFont val="Times New Roman"/>
        <family val="1"/>
      </rPr>
      <t>9 838 864</t>
    </r>
  </si>
  <si>
    <t>Annen rentekostnad</t>
  </si>
  <si>
    <r>
      <rPr>
        <sz val="10"/>
        <rFont val="Times New Roman"/>
        <family val="1"/>
      </rPr>
      <t>1 074 784</t>
    </r>
  </si>
  <si>
    <r>
      <rPr>
        <sz val="10"/>
        <rFont val="Times New Roman"/>
        <family val="1"/>
      </rPr>
      <t>1 106 985</t>
    </r>
  </si>
  <si>
    <r>
      <rPr>
        <sz val="10"/>
        <rFont val="Times New Roman"/>
        <family val="1"/>
      </rPr>
      <t>650 844</t>
    </r>
  </si>
  <si>
    <r>
      <rPr>
        <sz val="10"/>
        <rFont val="Times New Roman"/>
        <family val="1"/>
      </rPr>
      <t>624 125</t>
    </r>
  </si>
  <si>
    <t>Annen finanskostnad</t>
  </si>
  <si>
    <r>
      <rPr>
        <sz val="10"/>
        <rFont val="Times New Roman"/>
        <family val="1"/>
      </rPr>
      <t>1 463 225</t>
    </r>
  </si>
  <si>
    <r>
      <rPr>
        <sz val="10"/>
        <rFont val="Times New Roman"/>
        <family val="1"/>
      </rPr>
      <t>555 258</t>
    </r>
  </si>
  <si>
    <r>
      <rPr>
        <sz val="10"/>
        <rFont val="Times New Roman"/>
        <family val="1"/>
      </rPr>
      <t>980 037</t>
    </r>
  </si>
  <si>
    <r>
      <rPr>
        <sz val="10"/>
        <rFont val="Times New Roman"/>
        <family val="1"/>
      </rPr>
      <t>1 479 214</t>
    </r>
  </si>
  <si>
    <t>Sum finanskostnader</t>
  </si>
  <si>
    <r>
      <rPr>
        <b/>
        <sz val="10"/>
        <rFont val="Times New Roman"/>
        <family val="1"/>
      </rPr>
      <t>2 538 009</t>
    </r>
  </si>
  <si>
    <r>
      <rPr>
        <b/>
        <sz val="10"/>
        <rFont val="Times New Roman"/>
        <family val="1"/>
      </rPr>
      <t>1 662 243</t>
    </r>
  </si>
  <si>
    <r>
      <rPr>
        <b/>
        <sz val="10"/>
        <rFont val="Times New Roman"/>
        <family val="1"/>
      </rPr>
      <t>1 630 881</t>
    </r>
  </si>
  <si>
    <r>
      <rPr>
        <b/>
        <sz val="10"/>
        <rFont val="Times New Roman"/>
        <family val="1"/>
      </rPr>
      <t>2 103 339</t>
    </r>
  </si>
  <si>
    <t>Netto finans</t>
  </si>
  <si>
    <r>
      <rPr>
        <b/>
        <sz val="10"/>
        <rFont val="Times New Roman"/>
        <family val="1"/>
      </rPr>
      <t>-684 032</t>
    </r>
  </si>
  <si>
    <r>
      <rPr>
        <b/>
        <sz val="10"/>
        <rFont val="Times New Roman"/>
        <family val="1"/>
      </rPr>
      <t>1 933 741</t>
    </r>
  </si>
  <si>
    <r>
      <rPr>
        <b/>
        <sz val="10"/>
        <rFont val="Times New Roman"/>
        <family val="1"/>
      </rPr>
      <t>8 009 472</t>
    </r>
  </si>
  <si>
    <r>
      <rPr>
        <b/>
        <sz val="10"/>
        <rFont val="Times New Roman"/>
        <family val="1"/>
      </rPr>
      <t>7 735 525</t>
    </r>
  </si>
  <si>
    <t>Ordinært resultat før skattekostnad</t>
  </si>
  <si>
    <r>
      <rPr>
        <b/>
        <sz val="10"/>
        <rFont val="Times New Roman"/>
        <family val="1"/>
      </rPr>
      <t>-6 436 288</t>
    </r>
  </si>
  <si>
    <r>
      <rPr>
        <b/>
        <sz val="10"/>
        <rFont val="Times New Roman"/>
        <family val="1"/>
      </rPr>
      <t>-20 706 873</t>
    </r>
  </si>
  <si>
    <r>
      <rPr>
        <b/>
        <sz val="10"/>
        <rFont val="Times New Roman"/>
        <family val="1"/>
      </rPr>
      <t>14 903 679</t>
    </r>
  </si>
  <si>
    <r>
      <rPr>
        <b/>
        <sz val="10"/>
        <rFont val="Times New Roman"/>
        <family val="1"/>
      </rPr>
      <t>1 992 120</t>
    </r>
  </si>
  <si>
    <t>Skattekostnad på ordinært resultat</t>
  </si>
  <si>
    <r>
      <rPr>
        <sz val="10"/>
        <rFont val="Times New Roman"/>
        <family val="1"/>
      </rPr>
      <t>-1 096 205</t>
    </r>
  </si>
  <si>
    <r>
      <rPr>
        <sz val="10"/>
        <rFont val="Times New Roman"/>
        <family val="1"/>
      </rPr>
      <t>-4 660 542</t>
    </r>
  </si>
  <si>
    <r>
      <rPr>
        <sz val="10"/>
        <rFont val="Times New Roman"/>
        <family val="1"/>
      </rPr>
      <t>8 433 185</t>
    </r>
  </si>
  <si>
    <r>
      <rPr>
        <sz val="10"/>
        <rFont val="Times New Roman"/>
        <family val="1"/>
      </rPr>
      <t>411 683</t>
    </r>
  </si>
  <si>
    <t>Ordinært resultat etter skattekostnad</t>
  </si>
  <si>
    <r>
      <rPr>
        <b/>
        <sz val="10"/>
        <rFont val="Times New Roman"/>
        <family val="1"/>
      </rPr>
      <t>-5 340 083</t>
    </r>
  </si>
  <si>
    <r>
      <rPr>
        <b/>
        <sz val="10"/>
        <rFont val="Times New Roman"/>
        <family val="1"/>
      </rPr>
      <t>-16 046 331</t>
    </r>
  </si>
  <si>
    <r>
      <rPr>
        <b/>
        <sz val="10"/>
        <rFont val="Times New Roman"/>
        <family val="1"/>
      </rPr>
      <t>6 470 494</t>
    </r>
  </si>
  <si>
    <r>
      <rPr>
        <b/>
        <sz val="10"/>
        <rFont val="Times New Roman"/>
        <family val="1"/>
      </rPr>
      <t>1 580 437</t>
    </r>
  </si>
  <si>
    <t>Årsresultat</t>
  </si>
  <si>
    <r>
      <rPr>
        <b/>
        <sz val="10"/>
        <rFont val="Calibri"/>
        <family val="2"/>
        <scheme val="minor"/>
      </rPr>
      <t xml:space="preserve">Overføringer og disponeringer
</t>
    </r>
    <r>
      <rPr>
        <sz val="10"/>
        <rFont val="Calibri"/>
        <family val="2"/>
        <scheme val="minor"/>
      </rPr>
      <t>Overføringer til/fra annen egenkapital</t>
    </r>
  </si>
  <si>
    <r>
      <rPr>
        <sz val="10"/>
        <rFont val="Times New Roman"/>
        <family val="1"/>
      </rPr>
      <t>-5 340 084</t>
    </r>
  </si>
  <si>
    <r>
      <rPr>
        <sz val="10"/>
        <rFont val="Times New Roman"/>
        <family val="1"/>
      </rPr>
      <t>-16 046 331</t>
    </r>
  </si>
  <si>
    <r>
      <rPr>
        <sz val="10"/>
        <rFont val="Times New Roman"/>
        <family val="1"/>
      </rPr>
      <t>6 470 494</t>
    </r>
  </si>
  <si>
    <r>
      <rPr>
        <sz val="10"/>
        <rFont val="Times New Roman"/>
        <family val="1"/>
      </rPr>
      <t>1 580 437</t>
    </r>
  </si>
  <si>
    <t>Sum overføringer og disponeringer</t>
  </si>
  <si>
    <r>
      <rPr>
        <b/>
        <sz val="10"/>
        <rFont val="Times New Roman"/>
        <family val="1"/>
      </rPr>
      <t>-5 340 084</t>
    </r>
  </si>
  <si>
    <t>BALANSE - EIENDELER</t>
  </si>
  <si>
    <t xml:space="preserve">Anleggsmidler </t>
  </si>
  <si>
    <t>Immaterielle eiendeler</t>
  </si>
  <si>
    <r>
      <rPr>
        <sz val="10"/>
        <rFont val="Times New Roman"/>
        <family val="1"/>
      </rPr>
      <t>1 083 205</t>
    </r>
  </si>
  <si>
    <r>
      <rPr>
        <sz val="10"/>
        <rFont val="Times New Roman"/>
        <family val="1"/>
      </rPr>
      <t>1 543 494</t>
    </r>
  </si>
  <si>
    <r>
      <rPr>
        <sz val="10"/>
        <rFont val="Times New Roman"/>
        <family val="1"/>
      </rPr>
      <t>5 481 511</t>
    </r>
  </si>
  <si>
    <r>
      <rPr>
        <sz val="10"/>
        <rFont val="Times New Roman"/>
        <family val="1"/>
      </rPr>
      <t>8 763 554</t>
    </r>
  </si>
  <si>
    <t>Utsatt skattefordel</t>
  </si>
  <si>
    <r>
      <rPr>
        <sz val="10"/>
        <rFont val="Times New Roman"/>
        <family val="1"/>
      </rPr>
      <t>165 456</t>
    </r>
  </si>
  <si>
    <r>
      <rPr>
        <sz val="10"/>
        <rFont val="Times New Roman"/>
        <family val="1"/>
      </rPr>
      <t>5 743 747</t>
    </r>
  </si>
  <si>
    <r>
      <rPr>
        <sz val="10"/>
        <rFont val="Times New Roman"/>
        <family val="1"/>
      </rPr>
      <t>244 877</t>
    </r>
  </si>
  <si>
    <t>Sum immaterielle eiendeler</t>
  </si>
  <si>
    <r>
      <rPr>
        <b/>
        <sz val="10"/>
        <rFont val="Times New Roman"/>
        <family val="1"/>
      </rPr>
      <t>1 248 661</t>
    </r>
  </si>
  <si>
    <r>
      <rPr>
        <b/>
        <sz val="10"/>
        <rFont val="Times New Roman"/>
        <family val="1"/>
      </rPr>
      <t>7 287 241</t>
    </r>
  </si>
  <si>
    <r>
      <rPr>
        <b/>
        <sz val="10"/>
        <rFont val="Times New Roman"/>
        <family val="1"/>
      </rPr>
      <t>5 481 511</t>
    </r>
  </si>
  <si>
    <r>
      <rPr>
        <b/>
        <sz val="10"/>
        <rFont val="Times New Roman"/>
        <family val="1"/>
      </rPr>
      <t>9 008 431</t>
    </r>
  </si>
  <si>
    <t>Varige driftsmidler</t>
  </si>
  <si>
    <r>
      <rPr>
        <sz val="10"/>
        <rFont val="Times New Roman"/>
        <family val="1"/>
      </rPr>
      <t>310 609</t>
    </r>
  </si>
  <si>
    <r>
      <rPr>
        <sz val="10"/>
        <rFont val="Times New Roman"/>
        <family val="1"/>
      </rPr>
      <t>181 350</t>
    </r>
  </si>
  <si>
    <r>
      <rPr>
        <sz val="10"/>
        <rFont val="Times New Roman"/>
        <family val="1"/>
      </rPr>
      <t>68 868</t>
    </r>
  </si>
  <si>
    <t>Driftsløsøre, inventar, verktøy, kontormaskiner og lignende</t>
  </si>
  <si>
    <r>
      <rPr>
        <sz val="10"/>
        <rFont val="Times New Roman"/>
        <family val="1"/>
      </rPr>
      <t>29 118 541</t>
    </r>
  </si>
  <si>
    <r>
      <rPr>
        <sz val="10"/>
        <rFont val="Times New Roman"/>
        <family val="1"/>
      </rPr>
      <t>23 221 467</t>
    </r>
  </si>
  <si>
    <t>25 037 577</t>
  </si>
  <si>
    <r>
      <rPr>
        <sz val="10"/>
        <rFont val="Times New Roman"/>
        <family val="1"/>
      </rPr>
      <t>20 145 104</t>
    </r>
  </si>
  <si>
    <t>Sum varige driftsmidler</t>
  </si>
  <si>
    <r>
      <rPr>
        <b/>
        <sz val="10"/>
        <rFont val="Times New Roman"/>
        <family val="1"/>
      </rPr>
      <t>29 118 541</t>
    </r>
  </si>
  <si>
    <r>
      <rPr>
        <b/>
        <sz val="10"/>
        <rFont val="Times New Roman"/>
        <family val="1"/>
      </rPr>
      <t>23 532 076</t>
    </r>
  </si>
  <si>
    <t>25 218 927</t>
  </si>
  <si>
    <r>
      <rPr>
        <b/>
        <sz val="10"/>
        <rFont val="Times New Roman"/>
        <family val="1"/>
      </rPr>
      <t>20 213 972</t>
    </r>
  </si>
  <si>
    <t>Investering i datterselskap</t>
  </si>
  <si>
    <r>
      <rPr>
        <sz val="10"/>
        <rFont val="Times New Roman"/>
        <family val="1"/>
      </rPr>
      <t>12 485 656</t>
    </r>
  </si>
  <si>
    <r>
      <rPr>
        <sz val="10"/>
        <rFont val="Times New Roman"/>
        <family val="1"/>
      </rPr>
      <t>18 771 190</t>
    </r>
  </si>
  <si>
    <r>
      <rPr>
        <sz val="10"/>
        <rFont val="Times New Roman"/>
        <family val="1"/>
      </rPr>
      <t>22 721 190</t>
    </r>
  </si>
  <si>
    <t>Investeringer i aksjer og andeler</t>
  </si>
  <si>
    <r>
      <rPr>
        <sz val="10"/>
        <rFont val="Times New Roman"/>
        <family val="1"/>
      </rPr>
      <t>6 046 617</t>
    </r>
  </si>
  <si>
    <r>
      <rPr>
        <sz val="10"/>
        <rFont val="Times New Roman"/>
        <family val="1"/>
      </rPr>
      <t>200 638</t>
    </r>
  </si>
  <si>
    <t>Andre langsiktige fordringer</t>
  </si>
  <si>
    <r>
      <rPr>
        <sz val="10"/>
        <rFont val="Times New Roman"/>
        <family val="1"/>
      </rPr>
      <t>26 562</t>
    </r>
  </si>
  <si>
    <t>Sum finansielle anleggsmidler</t>
  </si>
  <si>
    <r>
      <rPr>
        <b/>
        <sz val="10"/>
        <rFont val="Times New Roman"/>
        <family val="1"/>
      </rPr>
      <t>18 532 273</t>
    </r>
  </si>
  <si>
    <r>
      <rPr>
        <b/>
        <sz val="10"/>
        <rFont val="Times New Roman"/>
        <family val="1"/>
      </rPr>
      <t>18 771 190</t>
    </r>
  </si>
  <si>
    <r>
      <rPr>
        <b/>
        <sz val="10"/>
        <rFont val="Times New Roman"/>
        <family val="1"/>
      </rPr>
      <t>22 948 390</t>
    </r>
  </si>
  <si>
    <r>
      <rPr>
        <b/>
        <sz val="10"/>
        <rFont val="Times New Roman"/>
        <family val="1"/>
      </rPr>
      <t>22 921 833</t>
    </r>
  </si>
  <si>
    <t>Sum anleggsmidler</t>
  </si>
  <si>
    <r>
      <rPr>
        <b/>
        <sz val="10"/>
        <rFont val="Times New Roman"/>
        <family val="1"/>
      </rPr>
      <t>48 899 475</t>
    </r>
  </si>
  <si>
    <r>
      <rPr>
        <b/>
        <sz val="10"/>
        <rFont val="Times New Roman"/>
        <family val="1"/>
      </rPr>
      <t>49 590 507</t>
    </r>
  </si>
  <si>
    <r>
      <rPr>
        <b/>
        <sz val="10"/>
        <rFont val="Times New Roman"/>
        <family val="1"/>
      </rPr>
      <t>53 648 828</t>
    </r>
  </si>
  <si>
    <r>
      <rPr>
        <b/>
        <sz val="10"/>
        <rFont val="Times New Roman"/>
        <family val="1"/>
      </rPr>
      <t>52 144 236</t>
    </r>
  </si>
  <si>
    <r>
      <rPr>
        <b/>
        <sz val="10"/>
        <rFont val="Calibri"/>
        <family val="2"/>
        <scheme val="minor"/>
      </rPr>
      <t xml:space="preserve">Omløpsmidler Varer
</t>
    </r>
    <r>
      <rPr>
        <sz val="10"/>
        <rFont val="Calibri"/>
        <family val="2"/>
        <scheme val="minor"/>
      </rPr>
      <t>Lager av varer og annen beholdning</t>
    </r>
  </si>
  <si>
    <r>
      <rPr>
        <sz val="10"/>
        <rFont val="Times New Roman"/>
        <family val="1"/>
      </rPr>
      <t>10 696 588</t>
    </r>
  </si>
  <si>
    <r>
      <rPr>
        <sz val="10"/>
        <rFont val="Times New Roman"/>
        <family val="1"/>
      </rPr>
      <t>11 783 929</t>
    </r>
  </si>
  <si>
    <r>
      <rPr>
        <sz val="10"/>
        <rFont val="Times New Roman"/>
        <family val="1"/>
      </rPr>
      <t>11 283 367</t>
    </r>
  </si>
  <si>
    <r>
      <rPr>
        <sz val="10"/>
        <rFont val="Times New Roman"/>
        <family val="1"/>
      </rPr>
      <t>7 295 529</t>
    </r>
  </si>
  <si>
    <t>Sum varer</t>
  </si>
  <si>
    <r>
      <rPr>
        <b/>
        <sz val="10"/>
        <rFont val="Times New Roman"/>
        <family val="1"/>
      </rPr>
      <t>10 696 588</t>
    </r>
  </si>
  <si>
    <r>
      <rPr>
        <b/>
        <sz val="10"/>
        <rFont val="Times New Roman"/>
        <family val="1"/>
      </rPr>
      <t>11 783 929</t>
    </r>
  </si>
  <si>
    <r>
      <rPr>
        <b/>
        <sz val="10"/>
        <rFont val="Times New Roman"/>
        <family val="1"/>
      </rPr>
      <t>11 283 367</t>
    </r>
  </si>
  <si>
    <r>
      <rPr>
        <b/>
        <sz val="10"/>
        <rFont val="Times New Roman"/>
        <family val="1"/>
      </rPr>
      <t>7 295 529</t>
    </r>
  </si>
  <si>
    <t>Fordringer</t>
  </si>
  <si>
    <t>Opptjent, ikke fakturert inntekt</t>
  </si>
  <si>
    <r>
      <rPr>
        <sz val="10"/>
        <rFont val="Times New Roman"/>
        <family val="1"/>
      </rPr>
      <t>45 146 187</t>
    </r>
  </si>
  <si>
    <r>
      <rPr>
        <sz val="10"/>
        <rFont val="Times New Roman"/>
        <family val="1"/>
      </rPr>
      <t>11 592 655</t>
    </r>
  </si>
  <si>
    <r>
      <rPr>
        <sz val="10"/>
        <rFont val="Times New Roman"/>
        <family val="1"/>
      </rPr>
      <t>28 283 644</t>
    </r>
  </si>
  <si>
    <r>
      <rPr>
        <sz val="10"/>
        <rFont val="Times New Roman"/>
        <family val="1"/>
      </rPr>
      <t>8 360 388</t>
    </r>
  </si>
  <si>
    <t>Kundefordringer</t>
  </si>
  <si>
    <r>
      <rPr>
        <sz val="10"/>
        <rFont val="Times New Roman"/>
        <family val="1"/>
      </rPr>
      <t>40 675 824</t>
    </r>
  </si>
  <si>
    <r>
      <rPr>
        <sz val="10"/>
        <rFont val="Times New Roman"/>
        <family val="1"/>
      </rPr>
      <t>36 211 941</t>
    </r>
  </si>
  <si>
    <r>
      <rPr>
        <sz val="10"/>
        <rFont val="Times New Roman"/>
        <family val="1"/>
      </rPr>
      <t>26 798 511</t>
    </r>
  </si>
  <si>
    <t>Andre fordringer</t>
  </si>
  <si>
    <r>
      <rPr>
        <sz val="10"/>
        <rFont val="Times New Roman"/>
        <family val="1"/>
      </rPr>
      <t>1 078 491</t>
    </r>
  </si>
  <si>
    <r>
      <rPr>
        <sz val="10"/>
        <rFont val="Times New Roman"/>
        <family val="1"/>
      </rPr>
      <t>4 688 437</t>
    </r>
  </si>
  <si>
    <r>
      <rPr>
        <sz val="10"/>
        <rFont val="Times New Roman"/>
        <family val="1"/>
      </rPr>
      <t>15 641 117</t>
    </r>
  </si>
  <si>
    <t>Konsernfordringer</t>
  </si>
  <si>
    <r>
      <rPr>
        <sz val="10"/>
        <rFont val="Times New Roman"/>
        <family val="1"/>
      </rPr>
      <t>1 839 128</t>
    </r>
  </si>
  <si>
    <r>
      <rPr>
        <sz val="10"/>
        <rFont val="Times New Roman"/>
        <family val="1"/>
      </rPr>
      <t>13 776 342</t>
    </r>
  </si>
  <si>
    <r>
      <rPr>
        <sz val="10"/>
        <rFont val="Times New Roman"/>
        <family val="1"/>
      </rPr>
      <t>11 398 884</t>
    </r>
  </si>
  <si>
    <r>
      <rPr>
        <sz val="10"/>
        <rFont val="Times New Roman"/>
        <family val="1"/>
      </rPr>
      <t>9 366 233</t>
    </r>
  </si>
  <si>
    <t>Sum fordringer</t>
  </si>
  <si>
    <r>
      <rPr>
        <b/>
        <sz val="10"/>
        <rFont val="Times New Roman"/>
        <family val="1"/>
      </rPr>
      <t>46 985 315</t>
    </r>
  </si>
  <si>
    <r>
      <rPr>
        <b/>
        <sz val="10"/>
        <rFont val="Times New Roman"/>
        <family val="1"/>
      </rPr>
      <t>67 123 312</t>
    </r>
  </si>
  <si>
    <r>
      <rPr>
        <b/>
        <sz val="10"/>
        <rFont val="Times New Roman"/>
        <family val="1"/>
      </rPr>
      <t>80 582 906</t>
    </r>
  </si>
  <si>
    <r>
      <rPr>
        <b/>
        <sz val="10"/>
        <rFont val="Times New Roman"/>
        <family val="1"/>
      </rPr>
      <t>60 166 249</t>
    </r>
  </si>
  <si>
    <t>Bankinnskudd, kontanter og lignende</t>
  </si>
  <si>
    <r>
      <rPr>
        <sz val="10"/>
        <rFont val="Times New Roman"/>
        <family val="1"/>
      </rPr>
      <t>4 060 614</t>
    </r>
  </si>
  <si>
    <r>
      <rPr>
        <sz val="10"/>
        <rFont val="Times New Roman"/>
        <family val="1"/>
      </rPr>
      <t>3 293 077</t>
    </r>
  </si>
  <si>
    <r>
      <rPr>
        <sz val="10"/>
        <rFont val="Times New Roman"/>
        <family val="1"/>
      </rPr>
      <t>9 969 552</t>
    </r>
  </si>
  <si>
    <r>
      <rPr>
        <sz val="10"/>
        <rFont val="Times New Roman"/>
        <family val="1"/>
      </rPr>
      <t>25 942 020</t>
    </r>
  </si>
  <si>
    <t>Sum bankinnskudd, kontanter og lignende</t>
  </si>
  <si>
    <r>
      <rPr>
        <b/>
        <sz val="10"/>
        <rFont val="Times New Roman"/>
        <family val="1"/>
      </rPr>
      <t>4 060 614</t>
    </r>
  </si>
  <si>
    <r>
      <rPr>
        <b/>
        <sz val="10"/>
        <rFont val="Times New Roman"/>
        <family val="1"/>
      </rPr>
      <t>3 293 077</t>
    </r>
  </si>
  <si>
    <r>
      <rPr>
        <b/>
        <sz val="10"/>
        <rFont val="Times New Roman"/>
        <family val="1"/>
      </rPr>
      <t>9 969 552</t>
    </r>
  </si>
  <si>
    <r>
      <rPr>
        <b/>
        <sz val="10"/>
        <rFont val="Times New Roman"/>
        <family val="1"/>
      </rPr>
      <t>25 942 020</t>
    </r>
  </si>
  <si>
    <t>Sum omløpsmidler</t>
  </si>
  <si>
    <r>
      <rPr>
        <b/>
        <sz val="10"/>
        <rFont val="Times New Roman"/>
        <family val="1"/>
      </rPr>
      <t>61 742 517</t>
    </r>
  </si>
  <si>
    <r>
      <rPr>
        <b/>
        <sz val="10"/>
        <rFont val="Times New Roman"/>
        <family val="1"/>
      </rPr>
      <t>82 200 318</t>
    </r>
  </si>
  <si>
    <r>
      <rPr>
        <b/>
        <sz val="10"/>
        <rFont val="Times New Roman"/>
        <family val="1"/>
      </rPr>
      <t>101 835 825</t>
    </r>
  </si>
  <si>
    <r>
      <rPr>
        <b/>
        <sz val="10"/>
        <rFont val="Times New Roman"/>
        <family val="1"/>
      </rPr>
      <t>93 403 798</t>
    </r>
  </si>
  <si>
    <t>SUM EIENDELER</t>
  </si>
  <si>
    <r>
      <rPr>
        <b/>
        <sz val="10"/>
        <rFont val="Times New Roman"/>
        <family val="1"/>
      </rPr>
      <t>110 641 992</t>
    </r>
  </si>
  <si>
    <r>
      <rPr>
        <b/>
        <sz val="10"/>
        <rFont val="Times New Roman"/>
        <family val="1"/>
      </rPr>
      <t>131 790 825</t>
    </r>
  </si>
  <si>
    <r>
      <rPr>
        <b/>
        <sz val="10"/>
        <rFont val="Times New Roman"/>
        <family val="1"/>
      </rPr>
      <t>155 484 653</t>
    </r>
  </si>
  <si>
    <r>
      <rPr>
        <b/>
        <sz val="10"/>
        <rFont val="Times New Roman"/>
        <family val="1"/>
      </rPr>
      <t>145 548 034</t>
    </r>
  </si>
  <si>
    <t>Egenkapital</t>
  </si>
  <si>
    <t>Aksjekapital</t>
  </si>
  <si>
    <r>
      <rPr>
        <sz val="10"/>
        <rFont val="Times New Roman"/>
        <family val="1"/>
      </rPr>
      <t>30 000</t>
    </r>
  </si>
  <si>
    <r>
      <rPr>
        <sz val="10"/>
        <rFont val="Times New Roman"/>
        <family val="1"/>
      </rPr>
      <t>330 000</t>
    </r>
  </si>
  <si>
    <t>Overkurs</t>
  </si>
  <si>
    <r>
      <rPr>
        <sz val="10"/>
        <rFont val="Times New Roman"/>
        <family val="1"/>
      </rPr>
      <t>56 559 011</t>
    </r>
  </si>
  <si>
    <t>Sum innskutt egenkapital</t>
  </si>
  <si>
    <r>
      <rPr>
        <b/>
        <sz val="10"/>
        <rFont val="Times New Roman"/>
        <family val="1"/>
      </rPr>
      <t>30 000</t>
    </r>
  </si>
  <si>
    <r>
      <rPr>
        <b/>
        <sz val="10"/>
        <rFont val="Times New Roman"/>
        <family val="1"/>
      </rPr>
      <t>56 889 011</t>
    </r>
  </si>
  <si>
    <r>
      <rPr>
        <sz val="10"/>
        <rFont val="Times New Roman"/>
        <family val="1"/>
      </rPr>
      <t>8 053 006</t>
    </r>
  </si>
  <si>
    <t>Opptjent egenkapital</t>
  </si>
  <si>
    <r>
      <rPr>
        <sz val="10"/>
        <rFont val="Times New Roman"/>
        <family val="1"/>
      </rPr>
      <t>4 375 058</t>
    </r>
  </si>
  <si>
    <r>
      <rPr>
        <b/>
        <sz val="10"/>
        <rFont val="Times New Roman"/>
        <family val="1"/>
      </rPr>
      <t>64 942 017</t>
    </r>
  </si>
  <si>
    <t>Annen egenkapital</t>
  </si>
  <si>
    <r>
      <rPr>
        <b/>
        <sz val="10"/>
        <rFont val="Times New Roman"/>
        <family val="1"/>
      </rPr>
      <t>4 375 058</t>
    </r>
  </si>
  <si>
    <t>Sum opptjent egenkapital</t>
  </si>
  <si>
    <r>
      <rPr>
        <b/>
        <sz val="10"/>
        <rFont val="Times New Roman"/>
        <family val="1"/>
      </rPr>
      <t>4 405 058</t>
    </r>
  </si>
  <si>
    <r>
      <rPr>
        <b/>
        <sz val="10"/>
        <rFont val="Times New Roman"/>
        <family val="1"/>
      </rPr>
      <t>63 359 505</t>
    </r>
  </si>
  <si>
    <t>Sum egenkapital</t>
  </si>
  <si>
    <r>
      <rPr>
        <sz val="10"/>
        <rFont val="Times New Roman"/>
        <family val="1"/>
      </rPr>
      <t>17 696 067</t>
    </r>
  </si>
  <si>
    <r>
      <rPr>
        <sz val="10"/>
        <rFont val="Times New Roman"/>
        <family val="1"/>
      </rPr>
      <t>2 107 529</t>
    </r>
  </si>
  <si>
    <r>
      <rPr>
        <b/>
        <sz val="10"/>
        <rFont val="Calibri"/>
        <family val="2"/>
        <scheme val="minor"/>
      </rPr>
      <t xml:space="preserve">Gjeld Langsiktig gjeld </t>
    </r>
    <r>
      <rPr>
        <sz val="10"/>
        <rFont val="Calibri"/>
        <family val="2"/>
        <scheme val="minor"/>
      </rPr>
      <t>Utsatt skatt</t>
    </r>
  </si>
  <si>
    <r>
      <rPr>
        <sz val="10"/>
        <rFont val="Times New Roman"/>
        <family val="1"/>
      </rPr>
      <t>2 024 632</t>
    </r>
  </si>
  <si>
    <r>
      <rPr>
        <sz val="10"/>
        <rFont val="Times New Roman"/>
        <family val="1"/>
      </rPr>
      <t>1 000 000</t>
    </r>
  </si>
  <si>
    <r>
      <rPr>
        <sz val="10"/>
        <rFont val="Times New Roman"/>
        <family val="1"/>
      </rPr>
      <t>923 850</t>
    </r>
  </si>
  <si>
    <t>Andre avsetninger for forpliktelser</t>
  </si>
  <si>
    <r>
      <rPr>
        <b/>
        <sz val="10"/>
        <rFont val="Times New Roman"/>
        <family val="1"/>
      </rPr>
      <t>19 720 699</t>
    </r>
  </si>
  <si>
    <r>
      <rPr>
        <b/>
        <sz val="10"/>
        <rFont val="Times New Roman"/>
        <family val="1"/>
      </rPr>
      <t xml:space="preserve">1 000 000
</t>
    </r>
    <r>
      <rPr>
        <sz val="10"/>
        <rFont val="Times New Roman"/>
        <family val="1"/>
      </rPr>
      <t>3 391 996</t>
    </r>
  </si>
  <si>
    <r>
      <rPr>
        <b/>
        <sz val="10"/>
        <rFont val="Times New Roman"/>
        <family val="1"/>
      </rPr>
      <t xml:space="preserve">3 031 379
</t>
    </r>
    <r>
      <rPr>
        <sz val="10"/>
        <rFont val="Times New Roman"/>
        <family val="1"/>
      </rPr>
      <t>844 837</t>
    </r>
  </si>
  <si>
    <r>
      <rPr>
        <b/>
        <sz val="10"/>
        <rFont val="Calibri"/>
        <family val="2"/>
        <scheme val="minor"/>
      </rPr>
      <t xml:space="preserve">Sum avsetninger for forpliktelser Annen langsiktig gjeld
</t>
    </r>
    <r>
      <rPr>
        <sz val="10"/>
        <rFont val="Calibri"/>
        <family val="2"/>
        <scheme val="minor"/>
      </rPr>
      <t>Gjeld til kredittinstitusjoner</t>
    </r>
  </si>
  <si>
    <r>
      <rPr>
        <b/>
        <sz val="10"/>
        <rFont val="Times New Roman"/>
        <family val="1"/>
      </rPr>
      <t>3 391 996</t>
    </r>
  </si>
  <si>
    <r>
      <rPr>
        <b/>
        <sz val="10"/>
        <rFont val="Times New Roman"/>
        <family val="1"/>
      </rPr>
      <t>844 837</t>
    </r>
  </si>
  <si>
    <r>
      <rPr>
        <b/>
        <sz val="10"/>
        <rFont val="Times New Roman"/>
        <family val="1"/>
      </rPr>
      <t xml:space="preserve">1 000 000
</t>
    </r>
    <r>
      <rPr>
        <sz val="10"/>
        <rFont val="Times New Roman"/>
        <family val="1"/>
      </rPr>
      <t>5 700 907</t>
    </r>
  </si>
  <si>
    <t>Sum annen langsiktig gjeld</t>
  </si>
  <si>
    <r>
      <rPr>
        <b/>
        <sz val="10"/>
        <rFont val="Times New Roman"/>
        <family val="1"/>
      </rPr>
      <t>4 391 996</t>
    </r>
  </si>
  <si>
    <r>
      <rPr>
        <b/>
        <sz val="10"/>
        <rFont val="Times New Roman"/>
        <family val="1"/>
      </rPr>
      <t>3 876 216</t>
    </r>
  </si>
  <si>
    <r>
      <rPr>
        <b/>
        <sz val="10"/>
        <rFont val="Times New Roman"/>
        <family val="1"/>
      </rPr>
      <t>5 700 907</t>
    </r>
  </si>
  <si>
    <t>Sum langsiktig gjeld</t>
  </si>
  <si>
    <r>
      <rPr>
        <sz val="10"/>
        <rFont val="Times New Roman"/>
        <family val="1"/>
      </rPr>
      <t>8 586 044</t>
    </r>
  </si>
  <si>
    <r>
      <rPr>
        <sz val="10"/>
        <rFont val="Times New Roman"/>
        <family val="1"/>
      </rPr>
      <t>8 651 077</t>
    </r>
  </si>
  <si>
    <r>
      <rPr>
        <sz val="10"/>
        <rFont val="Times New Roman"/>
        <family val="1"/>
      </rPr>
      <t>10 133 324</t>
    </r>
  </si>
  <si>
    <r>
      <rPr>
        <b/>
        <sz val="10"/>
        <rFont val="Times New Roman"/>
        <family val="1"/>
      </rPr>
      <t>6 700 907</t>
    </r>
  </si>
  <si>
    <r>
      <rPr>
        <b/>
        <sz val="10"/>
        <rFont val="Calibri"/>
        <family val="2"/>
        <scheme val="minor"/>
      </rPr>
      <t xml:space="preserve">Kortsiktig gjeld
</t>
    </r>
    <r>
      <rPr>
        <sz val="10"/>
        <rFont val="Calibri"/>
        <family val="2"/>
        <scheme val="minor"/>
      </rPr>
      <t>Gjeld til kredittinstitusjoner</t>
    </r>
  </si>
  <si>
    <r>
      <rPr>
        <sz val="10"/>
        <rFont val="Times New Roman"/>
        <family val="1"/>
      </rPr>
      <t>6 867 138</t>
    </r>
  </si>
  <si>
    <r>
      <rPr>
        <sz val="10"/>
        <rFont val="Times New Roman"/>
        <family val="1"/>
      </rPr>
      <t>7 834 307</t>
    </r>
  </si>
  <si>
    <r>
      <rPr>
        <sz val="10"/>
        <rFont val="Times New Roman"/>
        <family val="1"/>
      </rPr>
      <t>581 909</t>
    </r>
  </si>
  <si>
    <t>Leverandørgjeld</t>
  </si>
  <si>
    <r>
      <rPr>
        <sz val="10"/>
        <rFont val="Times New Roman"/>
        <family val="1"/>
      </rPr>
      <t>6 625 685</t>
    </r>
  </si>
  <si>
    <r>
      <rPr>
        <sz val="10"/>
        <rFont val="Times New Roman"/>
        <family val="1"/>
      </rPr>
      <t>9 209 762</t>
    </r>
  </si>
  <si>
    <t>Betalbar skatt</t>
  </si>
  <si>
    <r>
      <rPr>
        <sz val="10"/>
        <rFont val="Times New Roman"/>
        <family val="1"/>
      </rPr>
      <t>2 574 509</t>
    </r>
  </si>
  <si>
    <r>
      <rPr>
        <sz val="10"/>
        <rFont val="Times New Roman"/>
        <family val="1"/>
      </rPr>
      <t>7 617 926</t>
    </r>
  </si>
  <si>
    <r>
      <rPr>
        <sz val="10"/>
        <rFont val="Times New Roman"/>
        <family val="1"/>
      </rPr>
      <t>2 829 683</t>
    </r>
  </si>
  <si>
    <t>Skyldige offentlige avgifter</t>
  </si>
  <si>
    <r>
      <rPr>
        <sz val="10"/>
        <rFont val="Times New Roman"/>
        <family val="1"/>
      </rPr>
      <t>32 820 995</t>
    </r>
  </si>
  <si>
    <r>
      <rPr>
        <sz val="10"/>
        <rFont val="Times New Roman"/>
        <family val="1"/>
      </rPr>
      <t>4 087 249</t>
    </r>
  </si>
  <si>
    <r>
      <rPr>
        <sz val="10"/>
        <rFont val="Times New Roman"/>
        <family val="1"/>
      </rPr>
      <t>65 494 254</t>
    </r>
  </si>
  <si>
    <r>
      <rPr>
        <sz val="10"/>
        <rFont val="Times New Roman"/>
        <family val="1"/>
      </rPr>
      <t>7 452 665</t>
    </r>
  </si>
  <si>
    <t>Kortsiktig konserngjeld</t>
  </si>
  <si>
    <r>
      <rPr>
        <sz val="10"/>
        <rFont val="Times New Roman"/>
        <family val="1"/>
      </rPr>
      <t>29 041 865</t>
    </r>
  </si>
  <si>
    <r>
      <rPr>
        <sz val="10"/>
        <rFont val="Times New Roman"/>
        <family val="1"/>
      </rPr>
      <t>42 319 259</t>
    </r>
  </si>
  <si>
    <r>
      <rPr>
        <sz val="10"/>
        <rFont val="Times New Roman"/>
        <family val="1"/>
      </rPr>
      <t>3 033 531</t>
    </r>
  </si>
  <si>
    <t>Annen kortsiktig gjeld</t>
  </si>
  <si>
    <r>
      <rPr>
        <b/>
        <sz val="10"/>
        <rFont val="Times New Roman"/>
        <family val="1"/>
      </rPr>
      <t>86 516 236</t>
    </r>
  </si>
  <si>
    <r>
      <rPr>
        <b/>
        <sz val="10"/>
        <rFont val="Times New Roman"/>
        <family val="1"/>
      </rPr>
      <t>70 509 818</t>
    </r>
  </si>
  <si>
    <r>
      <rPr>
        <b/>
        <sz val="10"/>
        <rFont val="Times New Roman"/>
        <family val="1"/>
      </rPr>
      <t>88 248 932</t>
    </r>
  </si>
  <si>
    <r>
      <rPr>
        <sz val="10"/>
        <rFont val="Times New Roman"/>
        <family val="1"/>
      </rPr>
      <t>45 379 452</t>
    </r>
  </si>
  <si>
    <r>
      <rPr>
        <b/>
        <sz val="10"/>
        <rFont val="Times New Roman"/>
        <family val="1"/>
      </rPr>
      <t>106 236 935</t>
    </r>
  </si>
  <si>
    <r>
      <rPr>
        <b/>
        <sz val="10"/>
        <rFont val="Times New Roman"/>
        <family val="1"/>
      </rPr>
      <t>74 901 814</t>
    </r>
  </si>
  <si>
    <r>
      <rPr>
        <b/>
        <sz val="10"/>
        <rFont val="Times New Roman"/>
        <family val="1"/>
      </rPr>
      <t>92 125 148</t>
    </r>
  </si>
  <si>
    <t>Sum kortsiktig gjeld</t>
  </si>
  <si>
    <r>
      <rPr>
        <b/>
        <sz val="10"/>
        <rFont val="Times New Roman"/>
        <family val="1"/>
      </rPr>
      <t>110 641 993</t>
    </r>
  </si>
  <si>
    <r>
      <rPr>
        <b/>
        <sz val="10"/>
        <rFont val="Times New Roman"/>
        <family val="1"/>
      </rPr>
      <t>73 905 110</t>
    </r>
  </si>
  <si>
    <t>Sum gjeld</t>
  </si>
  <si>
    <r>
      <rPr>
        <b/>
        <sz val="10"/>
        <rFont val="Times New Roman"/>
        <family val="1"/>
      </rPr>
      <t>80 606 017</t>
    </r>
  </si>
  <si>
    <t>SUM EGENKAPITAL OG GJELD</t>
  </si>
  <si>
    <r>
      <rPr>
        <sz val="10"/>
        <rFont val="Times New Roman"/>
        <family val="1"/>
      </rPr>
      <t>313 659 455</t>
    </r>
  </si>
  <si>
    <r>
      <rPr>
        <sz val="10"/>
        <rFont val="Times New Roman"/>
        <family val="1"/>
      </rPr>
      <t>386 214 980</t>
    </r>
  </si>
  <si>
    <r>
      <rPr>
        <sz val="10"/>
        <rFont val="Times New Roman"/>
        <family val="1"/>
      </rPr>
      <t>235 847 935</t>
    </r>
  </si>
  <si>
    <r>
      <rPr>
        <sz val="10"/>
        <rFont val="Times New Roman"/>
        <family val="1"/>
      </rPr>
      <t>468 074</t>
    </r>
  </si>
  <si>
    <r>
      <rPr>
        <sz val="10"/>
        <rFont val="Times New Roman"/>
        <family val="1"/>
      </rPr>
      <t>778 200</t>
    </r>
  </si>
  <si>
    <r>
      <rPr>
        <sz val="10"/>
        <rFont val="Times New Roman"/>
        <family val="1"/>
      </rPr>
      <t>971 230</t>
    </r>
  </si>
  <si>
    <r>
      <rPr>
        <b/>
        <sz val="10"/>
        <rFont val="Times New Roman"/>
        <family val="1"/>
      </rPr>
      <t>314 127 529</t>
    </r>
  </si>
  <si>
    <r>
      <rPr>
        <b/>
        <sz val="10"/>
        <rFont val="Times New Roman"/>
        <family val="1"/>
      </rPr>
      <t>386 993 180</t>
    </r>
  </si>
  <si>
    <r>
      <rPr>
        <sz val="10"/>
        <rFont val="Times New Roman"/>
        <family val="1"/>
      </rPr>
      <t>328 388 580</t>
    </r>
  </si>
  <si>
    <t>Kapitalnes omløpshastighet</t>
  </si>
  <si>
    <t>Driftsinntekter</t>
  </si>
  <si>
    <t>Totale inntekter / gj. Totalkapital</t>
  </si>
  <si>
    <t>del</t>
  </si>
  <si>
    <t>X</t>
  </si>
  <si>
    <t>Totalkapital (gj)</t>
  </si>
  <si>
    <t>Totalkapitalensrentabilitet</t>
  </si>
  <si>
    <t>Driftsresultat før skatt + Rentekostnader</t>
  </si>
  <si>
    <t>Resultatgrad</t>
  </si>
  <si>
    <t>(driftsresultat før skatt+ rentekostnader) / driftsinntekter</t>
  </si>
  <si>
    <t>DuPont modellen</t>
  </si>
  <si>
    <t>Driftssyklusen (CCC)</t>
  </si>
  <si>
    <t>A: gjennomsnittlig Lagringstid: gj. Varelager/ Varekostnad *365</t>
  </si>
  <si>
    <t>B: gjennomsnittlig Kredittid kunder: gj. Kundefordringer/ Salginntekt. Inkl mva *365</t>
  </si>
  <si>
    <t>C: gjennomsnittlig Kredittid leverandører: gj. Leverandørgjeld / Varekjøp inkl mva *365</t>
  </si>
  <si>
    <t>Varekjøp= UB varelager – IB varelager + Varekostnad</t>
  </si>
  <si>
    <t>Varelager</t>
  </si>
  <si>
    <t>Dirftsinntekter</t>
  </si>
  <si>
    <t>gj. Varelager</t>
  </si>
  <si>
    <t>varekostnad</t>
  </si>
  <si>
    <t>A</t>
  </si>
  <si>
    <t>gj. Kundefordringer</t>
  </si>
  <si>
    <t>salgsinntekt inkl. mva</t>
  </si>
  <si>
    <t>B</t>
  </si>
  <si>
    <t>gj. Levgjeld</t>
  </si>
  <si>
    <t>varekjøp inkl mva</t>
  </si>
  <si>
    <t>C</t>
  </si>
  <si>
    <t>CCC</t>
  </si>
  <si>
    <t>Presenterte tall i '000 NOK</t>
  </si>
  <si>
    <t>Hvis selskapet øker driftsinntekter med 25mNOK vil TKR øke opp til 3,06%.</t>
  </si>
  <si>
    <t>Hvis selskapet reduserer totalkapital med 25mNOK vil TKR øke opp til 3,26%.</t>
  </si>
  <si>
    <t>2019/2020</t>
  </si>
  <si>
    <t>økning av inntekter og kostnader opp til nivå fra 2019</t>
  </si>
  <si>
    <t>Hvis selskapet reduserer totalkapital ned til 100mNOK vil gj. Totalkapital være 122mNOK og TKR vil øke opp til 3,34%.</t>
  </si>
  <si>
    <t>Driftssyklusen (CCC) Karsten Moholt AS</t>
  </si>
  <si>
    <t>Hvis selskapet øker driftsinntekter til nvå før pandemi (opptil 240mNOK) vil TKR øke opp til 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</si>
</sst>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kr&quot;\ * #,##0_-;\-&quot;kr&quot;\ * #,##0_-;_-&quot;kr&quot;\ * &quot;-&quot;_-;_-@_-"/>
  </numFmts>
  <fonts count="3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33333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333333"/>
      <name val="Roboto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3F1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CCCCCC"/>
      </bottom>
      <diagonal/>
    </border>
    <border>
      <left/>
      <right/>
      <top style="thin">
        <color indexed="64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medium">
        <color rgb="FF333333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shrinkToFit="1"/>
    </xf>
    <xf numFmtId="0" fontId="5" fillId="3" borderId="0" xfId="0" applyFont="1" applyFill="1" applyAlignment="1">
      <alignment horizontal="right" vertical="center" wrapText="1"/>
    </xf>
    <xf numFmtId="9" fontId="6" fillId="3" borderId="0" xfId="1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top" wrapText="1"/>
    </xf>
    <xf numFmtId="3" fontId="7" fillId="3" borderId="0" xfId="0" applyNumberFormat="1" applyFont="1" applyFill="1" applyAlignment="1">
      <alignment horizontal="right" vertical="top"/>
    </xf>
    <xf numFmtId="0" fontId="8" fillId="3" borderId="0" xfId="0" applyFont="1" applyFill="1" applyAlignment="1">
      <alignment horizontal="right" vertical="top" wrapText="1"/>
    </xf>
    <xf numFmtId="10" fontId="9" fillId="3" borderId="0" xfId="1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4" fontId="6" fillId="3" borderId="0" xfId="0" applyNumberFormat="1" applyFont="1" applyFill="1" applyAlignment="1">
      <alignment horizontal="right" vertical="top"/>
    </xf>
    <xf numFmtId="4" fontId="10" fillId="3" borderId="0" xfId="0" applyNumberFormat="1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5" fillId="4" borderId="0" xfId="0" applyFont="1" applyFill="1" applyAlignment="1">
      <alignment horizontal="left" vertical="top" wrapText="1"/>
    </xf>
    <xf numFmtId="1" fontId="6" fillId="4" borderId="1" xfId="0" applyNumberFormat="1" applyFont="1" applyFill="1" applyBorder="1" applyAlignment="1">
      <alignment vertical="center" shrinkToFit="1"/>
    </xf>
    <xf numFmtId="1" fontId="11" fillId="0" borderId="1" xfId="0" applyNumberFormat="1" applyFont="1" applyBorder="1" applyAlignment="1">
      <alignment horizontal="right" vertical="center" indent="3" shrinkToFit="1"/>
    </xf>
    <xf numFmtId="1" fontId="11" fillId="0" borderId="1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wrapText="1" indent="3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 indent="3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 wrapText="1" indent="3"/>
    </xf>
    <xf numFmtId="0" fontId="14" fillId="0" borderId="0" xfId="0" applyFont="1" applyAlignment="1">
      <alignment vertical="top" wrapText="1"/>
    </xf>
    <xf numFmtId="1" fontId="16" fillId="0" borderId="0" xfId="0" applyNumberFormat="1" applyFont="1" applyAlignment="1">
      <alignment vertical="top" shrinkToFit="1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left" vertical="center" wrapText="1"/>
    </xf>
    <xf numFmtId="3" fontId="6" fillId="4" borderId="0" xfId="0" applyNumberFormat="1" applyFont="1" applyFill="1" applyAlignment="1">
      <alignment horizontal="right" vertical="top"/>
    </xf>
    <xf numFmtId="0" fontId="14" fillId="0" borderId="0" xfId="0" applyFont="1" applyAlignment="1">
      <alignment horizontal="right" vertical="center" wrapText="1" indent="3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 indent="3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top" wrapText="1" indent="3"/>
    </xf>
    <xf numFmtId="0" fontId="12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3" fontId="12" fillId="0" borderId="0" xfId="0" applyNumberFormat="1" applyFont="1" applyAlignment="1">
      <alignment horizontal="right" wrapText="1" indent="3"/>
    </xf>
    <xf numFmtId="3" fontId="12" fillId="0" borderId="0" xfId="0" applyNumberFormat="1" applyFont="1" applyAlignment="1">
      <alignment horizontal="right" vertical="top" wrapText="1" indent="3"/>
    </xf>
    <xf numFmtId="3" fontId="14" fillId="0" borderId="0" xfId="0" applyNumberFormat="1" applyFont="1" applyAlignment="1">
      <alignment horizontal="right" vertical="top" wrapText="1" indent="3"/>
    </xf>
    <xf numFmtId="3" fontId="16" fillId="0" borderId="0" xfId="0" applyNumberFormat="1" applyFont="1" applyAlignment="1">
      <alignment horizontal="right" indent="3" shrinkToFi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1" fontId="16" fillId="0" borderId="0" xfId="0" applyNumberFormat="1" applyFont="1" applyAlignment="1">
      <alignment shrinkToFit="1"/>
    </xf>
    <xf numFmtId="0" fontId="7" fillId="0" borderId="0" xfId="0" applyFont="1" applyAlignment="1">
      <alignment horizontal="left" vertical="top"/>
    </xf>
    <xf numFmtId="1" fontId="11" fillId="0" borderId="0" xfId="0" applyNumberFormat="1" applyFont="1" applyAlignment="1">
      <alignment vertical="top" shrinkToFit="1"/>
    </xf>
    <xf numFmtId="3" fontId="12" fillId="0" borderId="0" xfId="0" applyNumberFormat="1" applyFont="1" applyAlignment="1">
      <alignment wrapText="1"/>
    </xf>
    <xf numFmtId="1" fontId="11" fillId="0" borderId="1" xfId="0" applyNumberFormat="1" applyFont="1" applyBorder="1" applyAlignment="1">
      <alignment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horizontal="right" vertical="center" indent="3" shrinkToFit="1"/>
    </xf>
    <xf numFmtId="1" fontId="11" fillId="0" borderId="0" xfId="0" applyNumberFormat="1" applyFont="1" applyAlignment="1">
      <alignment vertical="center" shrinkToFit="1"/>
    </xf>
    <xf numFmtId="10" fontId="9" fillId="0" borderId="0" xfId="1" applyNumberFormat="1" applyFont="1" applyAlignment="1">
      <alignment horizontal="right"/>
    </xf>
    <xf numFmtId="0" fontId="1" fillId="0" borderId="0" xfId="2"/>
    <xf numFmtId="0" fontId="1" fillId="3" borderId="0" xfId="2" applyFill="1"/>
    <xf numFmtId="4" fontId="1" fillId="5" borderId="0" xfId="2" applyNumberFormat="1" applyFill="1" applyAlignment="1">
      <alignment horizontal="center"/>
    </xf>
    <xf numFmtId="3" fontId="1" fillId="5" borderId="0" xfId="2" applyNumberFormat="1" applyFill="1" applyAlignment="1">
      <alignment horizontal="center"/>
    </xf>
    <xf numFmtId="2" fontId="1" fillId="6" borderId="0" xfId="2" applyNumberFormat="1" applyFill="1" applyAlignment="1">
      <alignment horizontal="center"/>
    </xf>
    <xf numFmtId="3" fontId="18" fillId="3" borderId="0" xfId="2" applyNumberFormat="1" applyFont="1" applyFill="1" applyAlignment="1">
      <alignment horizontal="center"/>
    </xf>
    <xf numFmtId="0" fontId="19" fillId="3" borderId="0" xfId="2" applyFont="1" applyFill="1"/>
    <xf numFmtId="0" fontId="20" fillId="3" borderId="0" xfId="2" applyFont="1" applyFill="1"/>
    <xf numFmtId="9" fontId="0" fillId="0" borderId="0" xfId="3" applyFont="1"/>
    <xf numFmtId="0" fontId="19" fillId="3" borderId="0" xfId="2" applyFont="1" applyFill="1" applyAlignment="1">
      <alignment horizontal="center" vertical="center" wrapText="1"/>
    </xf>
    <xf numFmtId="0" fontId="1" fillId="3" borderId="0" xfId="2" applyFill="1" applyAlignment="1">
      <alignment horizontal="center" vertical="center"/>
    </xf>
    <xf numFmtId="0" fontId="1" fillId="3" borderId="0" xfId="2" applyFill="1" applyAlignment="1">
      <alignment wrapText="1"/>
    </xf>
    <xf numFmtId="3" fontId="1" fillId="0" borderId="0" xfId="2" applyNumberFormat="1"/>
    <xf numFmtId="0" fontId="22" fillId="0" borderId="0" xfId="2" applyFont="1" applyAlignment="1">
      <alignment vertical="center"/>
    </xf>
    <xf numFmtId="3" fontId="22" fillId="0" borderId="0" xfId="2" applyNumberFormat="1" applyFont="1"/>
    <xf numFmtId="0" fontId="22" fillId="0" borderId="0" xfId="2" applyFont="1"/>
    <xf numFmtId="0" fontId="23" fillId="0" borderId="14" xfId="2" applyFont="1" applyBorder="1" applyAlignment="1">
      <alignment horizontal="left" vertical="center" wrapText="1"/>
    </xf>
    <xf numFmtId="3" fontId="1" fillId="0" borderId="0" xfId="2" applyNumberFormat="1" applyAlignment="1">
      <alignment horizontal="right"/>
    </xf>
    <xf numFmtId="0" fontId="24" fillId="0" borderId="0" xfId="2" applyFont="1"/>
    <xf numFmtId="0" fontId="1" fillId="0" borderId="0" xfId="2" applyAlignment="1">
      <alignment vertical="top" wrapText="1"/>
    </xf>
    <xf numFmtId="49" fontId="1" fillId="0" borderId="0" xfId="2" quotePrefix="1" applyNumberFormat="1"/>
    <xf numFmtId="0" fontId="1" fillId="3" borderId="0" xfId="2" applyFont="1" applyFill="1"/>
    <xf numFmtId="4" fontId="1" fillId="5" borderId="0" xfId="2" applyNumberFormat="1" applyFont="1" applyFill="1" applyAlignment="1">
      <alignment horizontal="center"/>
    </xf>
    <xf numFmtId="2" fontId="1" fillId="6" borderId="0" xfId="2" applyNumberFormat="1" applyFont="1" applyFill="1" applyAlignment="1">
      <alignment horizontal="center"/>
    </xf>
    <xf numFmtId="10" fontId="7" fillId="5" borderId="0" xfId="3" applyNumberFormat="1" applyFont="1" applyFill="1" applyAlignment="1">
      <alignment horizontal="center"/>
    </xf>
    <xf numFmtId="10" fontId="7" fillId="6" borderId="0" xfId="3" applyNumberFormat="1" applyFont="1" applyFill="1" applyAlignment="1">
      <alignment horizontal="center"/>
    </xf>
    <xf numFmtId="3" fontId="1" fillId="3" borderId="0" xfId="2" applyNumberFormat="1" applyFill="1"/>
    <xf numFmtId="10" fontId="7" fillId="0" borderId="0" xfId="1" applyNumberFormat="1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4" fillId="7" borderId="15" xfId="2" applyFont="1" applyFill="1" applyBorder="1" applyAlignment="1">
      <alignment horizontal="right" vertical="center" wrapText="1"/>
    </xf>
    <xf numFmtId="0" fontId="4" fillId="7" borderId="16" xfId="2" applyFont="1" applyFill="1" applyBorder="1" applyAlignment="1">
      <alignment horizontal="right" vertical="center" wrapText="1"/>
    </xf>
    <xf numFmtId="3" fontId="1" fillId="3" borderId="0" xfId="2" applyNumberFormat="1" applyFill="1" applyAlignment="1">
      <alignment horizontal="right"/>
    </xf>
    <xf numFmtId="0" fontId="2" fillId="3" borderId="0" xfId="2" applyFont="1" applyFill="1" applyAlignment="1">
      <alignment horizontal="right" vertical="center"/>
    </xf>
    <xf numFmtId="4" fontId="27" fillId="3" borderId="0" xfId="2" applyNumberFormat="1" applyFont="1" applyFill="1"/>
    <xf numFmtId="4" fontId="29" fillId="3" borderId="0" xfId="2" applyNumberFormat="1" applyFont="1" applyFill="1"/>
    <xf numFmtId="4" fontId="28" fillId="3" borderId="0" xfId="2" applyNumberFormat="1" applyFont="1" applyFill="1"/>
    <xf numFmtId="0" fontId="2" fillId="3" borderId="0" xfId="2" applyFont="1" applyFill="1"/>
    <xf numFmtId="3" fontId="1" fillId="3" borderId="0" xfId="2" applyNumberFormat="1" applyFill="1" applyAlignment="1">
      <alignment horizontal="right" wrapText="1"/>
    </xf>
    <xf numFmtId="3" fontId="28" fillId="3" borderId="0" xfId="2" applyNumberFormat="1" applyFont="1" applyFill="1"/>
    <xf numFmtId="4" fontId="22" fillId="3" borderId="0" xfId="2" applyNumberFormat="1" applyFont="1" applyFill="1"/>
    <xf numFmtId="0" fontId="2" fillId="3" borderId="0" xfId="2" applyFont="1" applyFill="1" applyAlignment="1">
      <alignment horizontal="right"/>
    </xf>
    <xf numFmtId="4" fontId="2" fillId="3" borderId="0" xfId="2" applyNumberFormat="1" applyFont="1" applyFill="1"/>
    <xf numFmtId="4" fontId="1" fillId="3" borderId="0" xfId="2" applyNumberFormat="1" applyFill="1"/>
    <xf numFmtId="0" fontId="26" fillId="0" borderId="17" xfId="0" applyFont="1" applyBorder="1" applyAlignment="1">
      <alignment horizontal="left" vertical="top"/>
    </xf>
    <xf numFmtId="3" fontId="6" fillId="0" borderId="17" xfId="0" applyNumberFormat="1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9" fontId="7" fillId="3" borderId="0" xfId="0" applyNumberFormat="1" applyFont="1" applyFill="1" applyAlignment="1">
      <alignment horizontal="right" vertical="top"/>
    </xf>
    <xf numFmtId="3" fontId="7" fillId="3" borderId="17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right" wrapText="1" indent="3"/>
    </xf>
    <xf numFmtId="0" fontId="4" fillId="2" borderId="0" xfId="0" applyFont="1" applyFill="1" applyAlignment="1">
      <alignment horizontal="center" vertical="center"/>
    </xf>
    <xf numFmtId="1" fontId="11" fillId="0" borderId="1" xfId="0" applyNumberFormat="1" applyFont="1" applyBorder="1" applyAlignment="1">
      <alignment horizontal="right" vertical="center" indent="3" shrinkToFit="1"/>
    </xf>
    <xf numFmtId="0" fontId="0" fillId="0" borderId="2" xfId="0" applyBorder="1" applyAlignment="1">
      <alignment horizontal="left" vertical="top" wrapText="1"/>
    </xf>
    <xf numFmtId="0" fontId="14" fillId="0" borderId="0" xfId="0" applyFont="1" applyAlignment="1">
      <alignment horizontal="right" vertical="top" wrapText="1" indent="3"/>
    </xf>
    <xf numFmtId="0" fontId="12" fillId="0" borderId="0" xfId="0" applyFont="1" applyAlignment="1">
      <alignment horizontal="right" vertical="top" wrapText="1" indent="3"/>
    </xf>
    <xf numFmtId="0" fontId="14" fillId="0" borderId="0" xfId="0" applyFont="1" applyAlignment="1">
      <alignment horizontal="right" vertical="center" wrapText="1" indent="3"/>
    </xf>
    <xf numFmtId="0" fontId="12" fillId="0" borderId="0" xfId="0" applyFont="1" applyAlignment="1">
      <alignment horizontal="right" vertical="center" wrapText="1" indent="3"/>
    </xf>
    <xf numFmtId="0" fontId="12" fillId="0" borderId="2" xfId="0" applyFont="1" applyBorder="1" applyAlignment="1">
      <alignment horizontal="right" vertical="center" wrapText="1" indent="3"/>
    </xf>
    <xf numFmtId="1" fontId="16" fillId="0" borderId="0" xfId="0" applyNumberFormat="1" applyFont="1" applyAlignment="1">
      <alignment horizontal="right" vertical="top" indent="3" shrinkToFit="1"/>
    </xf>
    <xf numFmtId="0" fontId="13" fillId="0" borderId="0" xfId="0" applyFont="1" applyAlignment="1">
      <alignment horizontal="right" vertical="top" wrapText="1" indent="3"/>
    </xf>
    <xf numFmtId="0" fontId="15" fillId="0" borderId="0" xfId="0" applyFont="1" applyAlignment="1">
      <alignment horizontal="right" vertical="top" wrapText="1" indent="3"/>
    </xf>
    <xf numFmtId="0" fontId="0" fillId="0" borderId="0" xfId="0" applyAlignment="1">
      <alignment horizontal="right" vertical="top" wrapText="1" indent="3"/>
    </xf>
    <xf numFmtId="0" fontId="14" fillId="0" borderId="3" xfId="0" applyFont="1" applyBorder="1" applyAlignment="1">
      <alignment horizontal="right" vertical="top" wrapText="1" indent="3"/>
    </xf>
    <xf numFmtId="0" fontId="0" fillId="0" borderId="0" xfId="0" applyAlignment="1">
      <alignment horizontal="left" vertical="top" wrapText="1"/>
    </xf>
    <xf numFmtId="0" fontId="14" fillId="0" borderId="2" xfId="0" applyFont="1" applyBorder="1" applyAlignment="1">
      <alignment horizontal="right" vertical="center" wrapText="1" indent="3"/>
    </xf>
    <xf numFmtId="0" fontId="1" fillId="3" borderId="11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1" fillId="3" borderId="5" xfId="2" applyFill="1" applyBorder="1" applyAlignment="1">
      <alignment horizontal="center"/>
    </xf>
    <xf numFmtId="0" fontId="1" fillId="3" borderId="6" xfId="2" applyFill="1" applyBorder="1" applyAlignment="1">
      <alignment horizontal="center"/>
    </xf>
    <xf numFmtId="0" fontId="21" fillId="4" borderId="0" xfId="0" applyFont="1" applyFill="1" applyAlignment="1">
      <alignment horizontal="center" vertical="center" wrapText="1"/>
    </xf>
    <xf numFmtId="0" fontId="1" fillId="3" borderId="4" xfId="2" applyFill="1" applyBorder="1" applyAlignment="1">
      <alignment horizontal="center" wrapText="1"/>
    </xf>
    <xf numFmtId="4" fontId="1" fillId="3" borderId="7" xfId="2" applyNumberFormat="1" applyFill="1" applyBorder="1" applyAlignment="1">
      <alignment horizontal="center" vertical="center"/>
    </xf>
    <xf numFmtId="4" fontId="1" fillId="3" borderId="8" xfId="2" applyNumberFormat="1" applyFill="1" applyBorder="1" applyAlignment="1">
      <alignment horizontal="center" vertical="center"/>
    </xf>
    <xf numFmtId="4" fontId="1" fillId="3" borderId="9" xfId="2" applyNumberFormat="1" applyFill="1" applyBorder="1" applyAlignment="1">
      <alignment horizontal="center" vertical="center"/>
    </xf>
    <xf numFmtId="4" fontId="1" fillId="3" borderId="10" xfId="2" applyNumberFormat="1" applyFill="1" applyBorder="1" applyAlignment="1">
      <alignment horizontal="center" vertical="center"/>
    </xf>
    <xf numFmtId="3" fontId="1" fillId="3" borderId="7" xfId="2" applyNumberFormat="1" applyFill="1" applyBorder="1" applyAlignment="1">
      <alignment horizontal="center" vertical="center"/>
    </xf>
    <xf numFmtId="0" fontId="1" fillId="3" borderId="8" xfId="2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/>
    </xf>
    <xf numFmtId="0" fontId="1" fillId="3" borderId="10" xfId="2" applyFill="1" applyBorder="1" applyAlignment="1">
      <alignment horizontal="center" vertical="center"/>
    </xf>
    <xf numFmtId="3" fontId="1" fillId="6" borderId="12" xfId="2" applyNumberFormat="1" applyFill="1" applyBorder="1" applyAlignment="1">
      <alignment horizontal="center" vertical="center"/>
    </xf>
    <xf numFmtId="0" fontId="1" fillId="6" borderId="12" xfId="2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10" fontId="1" fillId="3" borderId="12" xfId="2" applyNumberFormat="1" applyFill="1" applyBorder="1" applyAlignment="1">
      <alignment horizontal="center" vertical="center"/>
    </xf>
    <xf numFmtId="10" fontId="1" fillId="3" borderId="13" xfId="2" applyNumberFormat="1" applyFill="1" applyBorder="1" applyAlignment="1">
      <alignment horizontal="center" vertical="center"/>
    </xf>
    <xf numFmtId="10" fontId="1" fillId="3" borderId="9" xfId="2" applyNumberFormat="1" applyFill="1" applyBorder="1" applyAlignment="1">
      <alignment horizontal="center" vertical="center"/>
    </xf>
    <xf numFmtId="10" fontId="1" fillId="3" borderId="10" xfId="2" applyNumberFormat="1" applyFill="1" applyBorder="1" applyAlignment="1">
      <alignment horizontal="center" vertical="center"/>
    </xf>
    <xf numFmtId="0" fontId="1" fillId="3" borderId="0" xfId="2" applyFill="1" applyAlignment="1">
      <alignment horizontal="left" wrapText="1"/>
    </xf>
    <xf numFmtId="0" fontId="1" fillId="3" borderId="0" xfId="2" applyFill="1" applyAlignment="1">
      <alignment horizontal="left"/>
    </xf>
    <xf numFmtId="42" fontId="25" fillId="3" borderId="0" xfId="2" quotePrefix="1" applyNumberFormat="1" applyFont="1" applyFill="1" applyAlignment="1">
      <alignment horizontal="center"/>
    </xf>
    <xf numFmtId="42" fontId="25" fillId="3" borderId="0" xfId="2" applyNumberFormat="1" applyFont="1" applyFill="1" applyAlignment="1">
      <alignment horizontal="center"/>
    </xf>
    <xf numFmtId="0" fontId="1" fillId="3" borderId="4" xfId="2" applyFont="1" applyFill="1" applyBorder="1" applyAlignment="1">
      <alignment horizontal="center" wrapText="1"/>
    </xf>
    <xf numFmtId="0" fontId="1" fillId="3" borderId="5" xfId="2" applyFont="1" applyFill="1" applyBorder="1" applyAlignment="1">
      <alignment horizontal="center"/>
    </xf>
    <xf numFmtId="0" fontId="1" fillId="3" borderId="6" xfId="2" applyFont="1" applyFill="1" applyBorder="1" applyAlignment="1">
      <alignment horizontal="center"/>
    </xf>
    <xf numFmtId="4" fontId="1" fillId="3" borderId="7" xfId="2" applyNumberFormat="1" applyFont="1" applyFill="1" applyBorder="1" applyAlignment="1">
      <alignment horizontal="center" vertical="center"/>
    </xf>
    <xf numFmtId="4" fontId="1" fillId="3" borderId="8" xfId="2" applyNumberFormat="1" applyFont="1" applyFill="1" applyBorder="1" applyAlignment="1">
      <alignment horizontal="center" vertical="center"/>
    </xf>
    <xf numFmtId="4" fontId="1" fillId="3" borderId="9" xfId="2" applyNumberFormat="1" applyFont="1" applyFill="1" applyBorder="1" applyAlignment="1">
      <alignment horizontal="center" vertical="center"/>
    </xf>
    <xf numFmtId="4" fontId="1" fillId="3" borderId="10" xfId="2" applyNumberFormat="1" applyFont="1" applyFill="1" applyBorder="1" applyAlignment="1">
      <alignment horizontal="center" vertical="center"/>
    </xf>
    <xf numFmtId="3" fontId="1" fillId="3" borderId="7" xfId="2" applyNumberFormat="1" applyFont="1" applyFill="1" applyBorder="1" applyAlignment="1">
      <alignment horizontal="center" vertical="center"/>
    </xf>
    <xf numFmtId="0" fontId="1" fillId="3" borderId="8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10" xfId="2" applyFont="1" applyFill="1" applyBorder="1" applyAlignment="1">
      <alignment horizontal="center" vertical="center"/>
    </xf>
    <xf numFmtId="10" fontId="1" fillId="3" borderId="7" xfId="1" applyNumberFormat="1" applyFont="1" applyFill="1" applyBorder="1" applyAlignment="1">
      <alignment horizontal="center" vertical="center"/>
    </xf>
    <xf numFmtId="10" fontId="1" fillId="3" borderId="8" xfId="1" applyNumberFormat="1" applyFont="1" applyFill="1" applyBorder="1" applyAlignment="1">
      <alignment horizontal="center" vertical="center"/>
    </xf>
    <xf numFmtId="10" fontId="1" fillId="3" borderId="9" xfId="1" applyNumberFormat="1" applyFont="1" applyFill="1" applyBorder="1" applyAlignment="1">
      <alignment horizontal="center" vertical="center"/>
    </xf>
    <xf numFmtId="10" fontId="1" fillId="3" borderId="10" xfId="1" applyNumberFormat="1" applyFont="1" applyFill="1" applyBorder="1" applyAlignment="1">
      <alignment horizontal="center" vertical="center"/>
    </xf>
    <xf numFmtId="0" fontId="19" fillId="3" borderId="11" xfId="2" applyFont="1" applyFill="1" applyBorder="1" applyAlignment="1">
      <alignment horizontal="center" vertical="center" wrapText="1"/>
    </xf>
    <xf numFmtId="0" fontId="19" fillId="3" borderId="0" xfId="2" applyFont="1" applyFill="1" applyAlignment="1">
      <alignment horizontal="center" vertical="center" wrapText="1"/>
    </xf>
    <xf numFmtId="10" fontId="1" fillId="3" borderId="12" xfId="2" applyNumberFormat="1" applyFont="1" applyFill="1" applyBorder="1" applyAlignment="1">
      <alignment horizontal="center" vertical="center"/>
    </xf>
    <xf numFmtId="10" fontId="1" fillId="3" borderId="13" xfId="2" applyNumberFormat="1" applyFont="1" applyFill="1" applyBorder="1" applyAlignment="1">
      <alignment horizontal="center" vertical="center"/>
    </xf>
    <xf numFmtId="10" fontId="1" fillId="3" borderId="9" xfId="2" applyNumberFormat="1" applyFont="1" applyFill="1" applyBorder="1" applyAlignment="1">
      <alignment horizontal="center" vertical="center"/>
    </xf>
    <xf numFmtId="10" fontId="1" fillId="3" borderId="10" xfId="2" applyNumberFormat="1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24" fillId="3" borderId="0" xfId="2" applyFont="1" applyFill="1" applyAlignment="1">
      <alignment horizontal="left" vertical="center" wrapText="1"/>
    </xf>
    <xf numFmtId="0" fontId="1" fillId="3" borderId="0" xfId="2" applyFill="1" applyAlignment="1">
      <alignment horizontal="left" vertical="top" wrapText="1"/>
    </xf>
    <xf numFmtId="0" fontId="1" fillId="3" borderId="11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3" borderId="0" xfId="2" applyFill="1" applyAlignment="1">
      <alignment horizontal="left" vertical="center" wrapText="1"/>
    </xf>
    <xf numFmtId="0" fontId="2" fillId="3" borderId="0" xfId="2" applyFont="1" applyFill="1" applyAlignment="1">
      <alignment horizontal="center" vertical="center"/>
    </xf>
    <xf numFmtId="0" fontId="22" fillId="0" borderId="0" xfId="2" applyFont="1" applyAlignment="1">
      <alignment horizontal="left" vertical="center"/>
    </xf>
  </cellXfs>
  <cellStyles count="4">
    <cellStyle name="Normal" xfId="0" builtinId="0"/>
    <cellStyle name="Normal 2" xfId="2" xr:uid="{00000000-0005-0000-0000-000001000000}"/>
    <cellStyle name="Percent" xfId="1" builtinId="5"/>
    <cellStyle name="Pros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3</xdr:row>
      <xdr:rowOff>144780</xdr:rowOff>
    </xdr:from>
    <xdr:to>
      <xdr:col>7</xdr:col>
      <xdr:colOff>22860</xdr:colOff>
      <xdr:row>3</xdr:row>
      <xdr:rowOff>175260</xdr:rowOff>
    </xdr:to>
    <xdr:cxnSp macro="">
      <xdr:nvCxnSpPr>
        <xdr:cNvPr id="2" name="Rett pilkobling 1">
          <a:extLst>
            <a:ext uri="{FF2B5EF4-FFF2-40B4-BE49-F238E27FC236}">
              <a16:creationId xmlns:a16="http://schemas.microsoft.com/office/drawing/2014/main" id="{4713F7E9-1603-4138-A486-15D0CEE2F31F}"/>
            </a:ext>
          </a:extLst>
        </xdr:cNvPr>
        <xdr:cNvCxnSpPr/>
      </xdr:nvCxnSpPr>
      <xdr:spPr>
        <a:xfrm flipH="1">
          <a:off x="2628900" y="784860"/>
          <a:ext cx="716280" cy="304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5</xdr:row>
      <xdr:rowOff>83820</xdr:rowOff>
    </xdr:from>
    <xdr:to>
      <xdr:col>6</xdr:col>
      <xdr:colOff>754380</xdr:colOff>
      <xdr:row>9</xdr:row>
      <xdr:rowOff>83820</xdr:rowOff>
    </xdr:to>
    <xdr:cxnSp macro="">
      <xdr:nvCxnSpPr>
        <xdr:cNvPr id="3" name="Rett pilkobling 2">
          <a:extLst>
            <a:ext uri="{FF2B5EF4-FFF2-40B4-BE49-F238E27FC236}">
              <a16:creationId xmlns:a16="http://schemas.microsoft.com/office/drawing/2014/main" id="{DADEF161-4C32-48A1-ACF3-E0675804B11A}"/>
            </a:ext>
          </a:extLst>
        </xdr:cNvPr>
        <xdr:cNvCxnSpPr/>
      </xdr:nvCxnSpPr>
      <xdr:spPr>
        <a:xfrm flipH="1" flipV="1">
          <a:off x="2667000" y="1089660"/>
          <a:ext cx="655320" cy="7315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716280</xdr:colOff>
      <xdr:row>13</xdr:row>
      <xdr:rowOff>175260</xdr:rowOff>
    </xdr:from>
    <xdr:to>
      <xdr:col>6</xdr:col>
      <xdr:colOff>754380</xdr:colOff>
      <xdr:row>15</xdr:row>
      <xdr:rowOff>152400</xdr:rowOff>
    </xdr:to>
    <xdr:cxnSp macro="">
      <xdr:nvCxnSpPr>
        <xdr:cNvPr id="4" name="Rett pilkobling 3">
          <a:extLst>
            <a:ext uri="{FF2B5EF4-FFF2-40B4-BE49-F238E27FC236}">
              <a16:creationId xmlns:a16="http://schemas.microsoft.com/office/drawing/2014/main" id="{93FF7596-2599-4DC6-9FDB-7818D70146CB}"/>
            </a:ext>
          </a:extLst>
        </xdr:cNvPr>
        <xdr:cNvCxnSpPr/>
      </xdr:nvCxnSpPr>
      <xdr:spPr>
        <a:xfrm flipH="1">
          <a:off x="2613660" y="2644140"/>
          <a:ext cx="70866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731520</xdr:colOff>
      <xdr:row>16</xdr:row>
      <xdr:rowOff>38100</xdr:rowOff>
    </xdr:from>
    <xdr:to>
      <xdr:col>7</xdr:col>
      <xdr:colOff>0</xdr:colOff>
      <xdr:row>19</xdr:row>
      <xdr:rowOff>106680</xdr:rowOff>
    </xdr:to>
    <xdr:cxnSp macro="">
      <xdr:nvCxnSpPr>
        <xdr:cNvPr id="5" name="Rett pilkobling 4">
          <a:extLst>
            <a:ext uri="{FF2B5EF4-FFF2-40B4-BE49-F238E27FC236}">
              <a16:creationId xmlns:a16="http://schemas.microsoft.com/office/drawing/2014/main" id="{D08B0167-07B9-4786-A8C1-5F3E19581576}"/>
            </a:ext>
          </a:extLst>
        </xdr:cNvPr>
        <xdr:cNvCxnSpPr/>
      </xdr:nvCxnSpPr>
      <xdr:spPr>
        <a:xfrm flipH="1" flipV="1">
          <a:off x="2613660" y="3055620"/>
          <a:ext cx="708660" cy="6172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5</xdr:row>
      <xdr:rowOff>7620</xdr:rowOff>
    </xdr:from>
    <xdr:to>
      <xdr:col>3</xdr:col>
      <xdr:colOff>784860</xdr:colOff>
      <xdr:row>11</xdr:row>
      <xdr:rowOff>68580</xdr:rowOff>
    </xdr:to>
    <xdr:cxnSp macro="">
      <xdr:nvCxnSpPr>
        <xdr:cNvPr id="6" name="Rett linje 5">
          <a:extLst>
            <a:ext uri="{FF2B5EF4-FFF2-40B4-BE49-F238E27FC236}">
              <a16:creationId xmlns:a16="http://schemas.microsoft.com/office/drawing/2014/main" id="{14E7B134-562C-4156-B10D-C81073B2C71F}"/>
            </a:ext>
          </a:extLst>
        </xdr:cNvPr>
        <xdr:cNvCxnSpPr/>
      </xdr:nvCxnSpPr>
      <xdr:spPr>
        <a:xfrm flipH="1">
          <a:off x="982980" y="1013460"/>
          <a:ext cx="548640" cy="1158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12</xdr:row>
      <xdr:rowOff>68580</xdr:rowOff>
    </xdr:from>
    <xdr:to>
      <xdr:col>3</xdr:col>
      <xdr:colOff>769620</xdr:colOff>
      <xdr:row>15</xdr:row>
      <xdr:rowOff>83820</xdr:rowOff>
    </xdr:to>
    <xdr:cxnSp macro="">
      <xdr:nvCxnSpPr>
        <xdr:cNvPr id="7" name="Rett linje 6">
          <a:extLst>
            <a:ext uri="{FF2B5EF4-FFF2-40B4-BE49-F238E27FC236}">
              <a16:creationId xmlns:a16="http://schemas.microsoft.com/office/drawing/2014/main" id="{D6FFED1D-D10B-4A27-A39B-490AC34A143C}"/>
            </a:ext>
          </a:extLst>
        </xdr:cNvPr>
        <xdr:cNvCxnSpPr/>
      </xdr:nvCxnSpPr>
      <xdr:spPr>
        <a:xfrm>
          <a:off x="990600" y="2354580"/>
          <a:ext cx="541020" cy="563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</xdr:colOff>
      <xdr:row>3</xdr:row>
      <xdr:rowOff>144780</xdr:rowOff>
    </xdr:from>
    <xdr:to>
      <xdr:col>20</xdr:col>
      <xdr:colOff>22860</xdr:colOff>
      <xdr:row>3</xdr:row>
      <xdr:rowOff>175260</xdr:rowOff>
    </xdr:to>
    <xdr:cxnSp macro="">
      <xdr:nvCxnSpPr>
        <xdr:cNvPr id="8" name="Rett pilkobling 7">
          <a:extLst>
            <a:ext uri="{FF2B5EF4-FFF2-40B4-BE49-F238E27FC236}">
              <a16:creationId xmlns:a16="http://schemas.microsoft.com/office/drawing/2014/main" id="{4EF870BF-EBBE-4ED6-A7BC-07D9D16FACD9}"/>
            </a:ext>
          </a:extLst>
        </xdr:cNvPr>
        <xdr:cNvCxnSpPr/>
      </xdr:nvCxnSpPr>
      <xdr:spPr>
        <a:xfrm flipH="1">
          <a:off x="2964180" y="784860"/>
          <a:ext cx="716280" cy="304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53340</xdr:colOff>
      <xdr:row>5</xdr:row>
      <xdr:rowOff>83820</xdr:rowOff>
    </xdr:from>
    <xdr:to>
      <xdr:col>19</xdr:col>
      <xdr:colOff>754380</xdr:colOff>
      <xdr:row>9</xdr:row>
      <xdr:rowOff>83820</xdr:rowOff>
    </xdr:to>
    <xdr:cxnSp macro="">
      <xdr:nvCxnSpPr>
        <xdr:cNvPr id="9" name="Rett pilkobling 8">
          <a:extLst>
            <a:ext uri="{FF2B5EF4-FFF2-40B4-BE49-F238E27FC236}">
              <a16:creationId xmlns:a16="http://schemas.microsoft.com/office/drawing/2014/main" id="{79A6AD8B-B366-4CAF-A6D0-BDDBC3137A44}"/>
            </a:ext>
          </a:extLst>
        </xdr:cNvPr>
        <xdr:cNvCxnSpPr/>
      </xdr:nvCxnSpPr>
      <xdr:spPr>
        <a:xfrm flipH="1" flipV="1">
          <a:off x="3002280" y="1089660"/>
          <a:ext cx="655320" cy="7315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716280</xdr:colOff>
      <xdr:row>13</xdr:row>
      <xdr:rowOff>175260</xdr:rowOff>
    </xdr:from>
    <xdr:to>
      <xdr:col>19</xdr:col>
      <xdr:colOff>754380</xdr:colOff>
      <xdr:row>15</xdr:row>
      <xdr:rowOff>152400</xdr:rowOff>
    </xdr:to>
    <xdr:cxnSp macro="">
      <xdr:nvCxnSpPr>
        <xdr:cNvPr id="10" name="Rett pilkobling 9">
          <a:extLst>
            <a:ext uri="{FF2B5EF4-FFF2-40B4-BE49-F238E27FC236}">
              <a16:creationId xmlns:a16="http://schemas.microsoft.com/office/drawing/2014/main" id="{23DE53E4-CAA3-4D14-823C-6BF735E95CB8}"/>
            </a:ext>
          </a:extLst>
        </xdr:cNvPr>
        <xdr:cNvCxnSpPr/>
      </xdr:nvCxnSpPr>
      <xdr:spPr>
        <a:xfrm flipH="1">
          <a:off x="2948940" y="2644140"/>
          <a:ext cx="70866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731520</xdr:colOff>
      <xdr:row>16</xdr:row>
      <xdr:rowOff>38100</xdr:rowOff>
    </xdr:from>
    <xdr:to>
      <xdr:col>20</xdr:col>
      <xdr:colOff>0</xdr:colOff>
      <xdr:row>19</xdr:row>
      <xdr:rowOff>106680</xdr:rowOff>
    </xdr:to>
    <xdr:cxnSp macro="">
      <xdr:nvCxnSpPr>
        <xdr:cNvPr id="11" name="Rett pilkobling 10">
          <a:extLst>
            <a:ext uri="{FF2B5EF4-FFF2-40B4-BE49-F238E27FC236}">
              <a16:creationId xmlns:a16="http://schemas.microsoft.com/office/drawing/2014/main" id="{54550694-812B-46BE-A2B8-FBFDB7154840}"/>
            </a:ext>
          </a:extLst>
        </xdr:cNvPr>
        <xdr:cNvCxnSpPr/>
      </xdr:nvCxnSpPr>
      <xdr:spPr>
        <a:xfrm flipH="1" flipV="1">
          <a:off x="2948940" y="3055620"/>
          <a:ext cx="708660" cy="6172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</xdr:colOff>
      <xdr:row>5</xdr:row>
      <xdr:rowOff>7620</xdr:rowOff>
    </xdr:from>
    <xdr:to>
      <xdr:col>16</xdr:col>
      <xdr:colOff>784860</xdr:colOff>
      <xdr:row>11</xdr:row>
      <xdr:rowOff>68580</xdr:rowOff>
    </xdr:to>
    <xdr:cxnSp macro="">
      <xdr:nvCxnSpPr>
        <xdr:cNvPr id="12" name="Rett linje 11">
          <a:extLst>
            <a:ext uri="{FF2B5EF4-FFF2-40B4-BE49-F238E27FC236}">
              <a16:creationId xmlns:a16="http://schemas.microsoft.com/office/drawing/2014/main" id="{DCFF16B8-97EE-46D7-B0BD-A9281875867E}"/>
            </a:ext>
          </a:extLst>
        </xdr:cNvPr>
        <xdr:cNvCxnSpPr/>
      </xdr:nvCxnSpPr>
      <xdr:spPr>
        <a:xfrm flipH="1">
          <a:off x="1318260" y="1013460"/>
          <a:ext cx="548640" cy="1158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</xdr:colOff>
      <xdr:row>12</xdr:row>
      <xdr:rowOff>68580</xdr:rowOff>
    </xdr:from>
    <xdr:to>
      <xdr:col>16</xdr:col>
      <xdr:colOff>769620</xdr:colOff>
      <xdr:row>15</xdr:row>
      <xdr:rowOff>83820</xdr:rowOff>
    </xdr:to>
    <xdr:cxnSp macro="">
      <xdr:nvCxnSpPr>
        <xdr:cNvPr id="13" name="Rett linje 12">
          <a:extLst>
            <a:ext uri="{FF2B5EF4-FFF2-40B4-BE49-F238E27FC236}">
              <a16:creationId xmlns:a16="http://schemas.microsoft.com/office/drawing/2014/main" id="{87E46B78-DCD7-451D-957C-4D20A22C5086}"/>
            </a:ext>
          </a:extLst>
        </xdr:cNvPr>
        <xdr:cNvCxnSpPr/>
      </xdr:nvCxnSpPr>
      <xdr:spPr>
        <a:xfrm>
          <a:off x="1325880" y="2354580"/>
          <a:ext cx="541020" cy="563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aafall365-my.sharepoint.com/personal/monika_blaafall_no/Documents/BI%20STUDIER/Anvendt%20&#248;konomi%20for%20bedriftsledere/OPPGAVE%201/Bedrift/BEDRIFT%20Oppgave%201%20Regnskap%20del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 1"/>
      <sheetName val="Du Pont- modellen"/>
      <sheetName val="CCC"/>
      <sheetName val="Regnskap"/>
    </sheetNames>
    <sheetDataSet>
      <sheetData sheetId="0"/>
      <sheetData sheetId="1"/>
      <sheetData sheetId="2"/>
      <sheetData sheetId="3">
        <row r="7">
          <cell r="B7">
            <v>202314</v>
          </cell>
          <cell r="C7">
            <v>240734</v>
          </cell>
          <cell r="D7">
            <v>210884</v>
          </cell>
          <cell r="E7">
            <v>213338</v>
          </cell>
        </row>
        <row r="8">
          <cell r="B8">
            <v>55081</v>
          </cell>
          <cell r="C8">
            <v>70359</v>
          </cell>
          <cell r="D8">
            <v>69639</v>
          </cell>
          <cell r="E8">
            <v>67548</v>
          </cell>
        </row>
        <row r="53">
          <cell r="B53">
            <v>7296</v>
          </cell>
          <cell r="C53">
            <v>11283</v>
          </cell>
          <cell r="D53">
            <v>11784</v>
          </cell>
          <cell r="E53">
            <v>10697</v>
          </cell>
        </row>
        <row r="54">
          <cell r="B54">
            <v>35159</v>
          </cell>
          <cell r="C54">
            <v>64496</v>
          </cell>
          <cell r="D54">
            <v>52268</v>
          </cell>
          <cell r="E54">
            <v>45146</v>
          </cell>
        </row>
        <row r="76">
          <cell r="B76">
            <v>18039</v>
          </cell>
          <cell r="C76">
            <v>10133</v>
          </cell>
          <cell r="D76">
            <v>7834</v>
          </cell>
          <cell r="E76">
            <v>6867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ika Niziolek" id="{098C9C6E-D2FF-43B0-94C3-0C72CFB58B62}" userId="Monika Niziolek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" dT="2022-04-23T13:04:54.72" personId="{098C9C6E-D2FF-43B0-94C3-0C72CFB58B62}" id="{A65E9075-96EE-4505-9FD9-8DD078D9060A}">
    <text>til å kunne redusere Totalkapital ned til 100 00 000 redusere EK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9"/>
  <sheetViews>
    <sheetView tabSelected="1" topLeftCell="A121" zoomScaleNormal="100" workbookViewId="0">
      <selection activeCell="D143" sqref="D143"/>
    </sheetView>
  </sheetViews>
  <sheetFormatPr defaultColWidth="11.5546875" defaultRowHeight="13.8" x14ac:dyDescent="0.25"/>
  <cols>
    <col min="1" max="1" width="35.44140625" style="56" customWidth="1"/>
    <col min="2" max="4" width="16.6640625" style="19" customWidth="1"/>
    <col min="5" max="5" width="17.6640625" style="19" customWidth="1"/>
    <col min="6" max="6" width="11.5546875" style="1"/>
    <col min="7" max="7" width="9.88671875" style="1" customWidth="1"/>
    <col min="8" max="8" width="17.6640625" style="19" customWidth="1"/>
    <col min="9" max="20" width="11.5546875" style="1"/>
    <col min="21" max="21" width="18.44140625" style="1" customWidth="1"/>
    <col min="22" max="16384" width="11.5546875" style="1"/>
  </cols>
  <sheetData>
    <row r="1" spans="1:9" x14ac:dyDescent="0.25">
      <c r="A1" s="116" t="s">
        <v>0</v>
      </c>
      <c r="B1" s="116"/>
      <c r="C1" s="116"/>
      <c r="D1" s="116"/>
      <c r="E1" s="116"/>
      <c r="H1" s="1"/>
    </row>
    <row r="2" spans="1:9" x14ac:dyDescent="0.25">
      <c r="A2" s="2"/>
      <c r="B2" s="3">
        <v>2020</v>
      </c>
      <c r="C2" s="3">
        <v>2019</v>
      </c>
      <c r="D2" s="3">
        <v>2018</v>
      </c>
      <c r="E2" s="3">
        <v>2017</v>
      </c>
      <c r="H2" s="3"/>
    </row>
    <row r="3" spans="1:9" x14ac:dyDescent="0.25">
      <c r="A3" s="4" t="s">
        <v>1</v>
      </c>
      <c r="B3" s="5">
        <f>+B95/B96</f>
        <v>0.55381041423067245</v>
      </c>
      <c r="C3" s="5">
        <f>+C95/C96</f>
        <v>0.5925031584950059</v>
      </c>
      <c r="D3" s="5">
        <f>+D95/D96</f>
        <v>0.56833860779003398</v>
      </c>
      <c r="E3" s="5">
        <f>+E95/E96</f>
        <v>0.9601863823982274</v>
      </c>
      <c r="H3" s="7"/>
    </row>
    <row r="4" spans="1:9" x14ac:dyDescent="0.25">
      <c r="A4" s="4" t="s">
        <v>2</v>
      </c>
      <c r="B4" s="5">
        <f>+B81/B96</f>
        <v>0.44618958576932755</v>
      </c>
      <c r="C4" s="5">
        <f>+C81/C96</f>
        <v>0.40749684150499405</v>
      </c>
      <c r="D4" s="5">
        <f>+D81/D96</f>
        <v>0.43166139220996608</v>
      </c>
      <c r="E4" s="5">
        <f>+E81/E96</f>
        <v>3.9813617601772593E-2</v>
      </c>
      <c r="H4" s="7"/>
    </row>
    <row r="5" spans="1:9" x14ac:dyDescent="0.25">
      <c r="A5" s="116" t="s">
        <v>3</v>
      </c>
      <c r="B5" s="116"/>
      <c r="C5" s="116"/>
      <c r="D5" s="116"/>
      <c r="E5" s="116"/>
      <c r="H5" s="113">
        <v>2021</v>
      </c>
    </row>
    <row r="6" spans="1:9" x14ac:dyDescent="0.25">
      <c r="A6" s="6" t="s">
        <v>4</v>
      </c>
      <c r="B6" s="7">
        <f>+B96</f>
        <v>145548034</v>
      </c>
      <c r="C6" s="7">
        <f>+C96</f>
        <v>155484653</v>
      </c>
      <c r="D6" s="7">
        <f>+D96</f>
        <v>131790825</v>
      </c>
      <c r="E6" s="7">
        <f>+E96</f>
        <v>110641993</v>
      </c>
      <c r="H6" s="7">
        <v>100000000</v>
      </c>
      <c r="I6" s="95"/>
    </row>
    <row r="7" spans="1:9" x14ac:dyDescent="0.25">
      <c r="A7" s="8" t="s">
        <v>5</v>
      </c>
      <c r="B7" s="7">
        <f>+(B96+C96)/2</f>
        <v>150516343.5</v>
      </c>
      <c r="C7" s="7">
        <f>+(C96+D96)/2</f>
        <v>143637739</v>
      </c>
      <c r="D7" s="7">
        <f>+(D96+E96)/2</f>
        <v>121216409</v>
      </c>
      <c r="E7" s="7">
        <f>+E96</f>
        <v>110641993</v>
      </c>
      <c r="H7" s="7">
        <f>+(B6+H6)/2</f>
        <v>122774017</v>
      </c>
    </row>
    <row r="8" spans="1:9" x14ac:dyDescent="0.3">
      <c r="A8" s="6" t="s">
        <v>6</v>
      </c>
      <c r="B8" s="9">
        <f>(B38+B33)/B7</f>
        <v>2.7209397363549426E-2</v>
      </c>
      <c r="C8" s="9">
        <f>(C38+C33)/C7</f>
        <v>0.11511292307378912</v>
      </c>
      <c r="D8" s="9">
        <f>(D38+D33)/D7</f>
        <v>-0.15711263975820303</v>
      </c>
      <c r="E8" s="9">
        <f>(E38+E33)/E7</f>
        <v>-3.5233268077519177E-2</v>
      </c>
      <c r="H8" s="7"/>
    </row>
    <row r="9" spans="1:9" x14ac:dyDescent="0.3">
      <c r="A9" s="10" t="s">
        <v>7</v>
      </c>
      <c r="B9" s="9"/>
      <c r="C9" s="9"/>
      <c r="D9" s="9"/>
      <c r="E9" s="9"/>
      <c r="H9" s="7"/>
    </row>
    <row r="10" spans="1:9" x14ac:dyDescent="0.25">
      <c r="A10" s="8" t="s">
        <v>8</v>
      </c>
      <c r="B10" s="7">
        <f>+(B81+C81)/2</f>
        <v>64150761</v>
      </c>
      <c r="C10" s="7">
        <f>+(C81+D81)/2</f>
        <v>60124258</v>
      </c>
      <c r="D10" s="7">
        <f>+(D81+E81)/2</f>
        <v>30647034.5</v>
      </c>
      <c r="E10" s="7">
        <f>+(E81)</f>
        <v>4405058</v>
      </c>
      <c r="H10" s="7"/>
    </row>
    <row r="11" spans="1:9" x14ac:dyDescent="0.3">
      <c r="A11" s="6" t="s">
        <v>9</v>
      </c>
      <c r="B11" s="9">
        <f>+B43/B10</f>
        <v>3.1053723587160565E-2</v>
      </c>
      <c r="C11" s="9">
        <f>+C43/C10</f>
        <v>0.24788129609848988</v>
      </c>
      <c r="D11" s="9">
        <f>+D43/D10</f>
        <v>-0.67565666100581445</v>
      </c>
      <c r="E11" s="9">
        <f>+E43/E10</f>
        <v>-1.461113111337013</v>
      </c>
      <c r="H11" s="7"/>
    </row>
    <row r="12" spans="1:9" x14ac:dyDescent="0.25">
      <c r="A12" s="116" t="s">
        <v>10</v>
      </c>
      <c r="B12" s="116"/>
      <c r="C12" s="116"/>
      <c r="D12" s="116"/>
      <c r="E12" s="116"/>
      <c r="H12" s="7"/>
    </row>
    <row r="13" spans="1:9" x14ac:dyDescent="0.25">
      <c r="A13" s="6" t="s">
        <v>11</v>
      </c>
      <c r="B13" s="11">
        <f>+B72/B94</f>
        <v>1.2638340975339866</v>
      </c>
      <c r="C13" s="11">
        <f>+C72/C94</f>
        <v>1.1539596082590551</v>
      </c>
      <c r="D13" s="11">
        <f>+D72/D94</f>
        <v>1.165799605382615</v>
      </c>
      <c r="E13" s="11">
        <f>+E72/E94</f>
        <v>0.71365237156179562</v>
      </c>
      <c r="H13" s="7"/>
    </row>
    <row r="14" spans="1:9" x14ac:dyDescent="0.25">
      <c r="A14" s="6" t="s">
        <v>12</v>
      </c>
      <c r="B14" s="12">
        <f>+(B72-B63)/B94</f>
        <v>1.1651192860683111</v>
      </c>
      <c r="C14" s="12">
        <f>+(C72-C63)/C94</f>
        <v>1.026102344218738</v>
      </c>
      <c r="D14" s="12">
        <f>+(D72-D63)/D94</f>
        <v>0.99867495048703714</v>
      </c>
      <c r="E14" s="11">
        <f>+(E72-E63)/E94</f>
        <v>0.59001560123350716</v>
      </c>
      <c r="H14" s="7"/>
    </row>
    <row r="15" spans="1:9" x14ac:dyDescent="0.25">
      <c r="A15" s="6" t="s">
        <v>13</v>
      </c>
      <c r="B15" s="11">
        <f>+B72-B94</f>
        <v>19498688</v>
      </c>
      <c r="C15" s="11">
        <f>+C72-C94</f>
        <v>13586771</v>
      </c>
      <c r="D15" s="11">
        <f>+D72-D94</f>
        <v>11690500</v>
      </c>
      <c r="E15" s="11">
        <f>+E72-E94</f>
        <v>-24773719</v>
      </c>
      <c r="H15" s="7"/>
    </row>
    <row r="16" spans="1:9" x14ac:dyDescent="0.3">
      <c r="A16" s="6" t="s">
        <v>14</v>
      </c>
      <c r="B16" s="9">
        <f>+B15/B23</f>
        <v>9.6378274930479152E-2</v>
      </c>
      <c r="C16" s="9">
        <f>+C15/C23</f>
        <v>5.6439017401040091E-2</v>
      </c>
      <c r="D16" s="9">
        <f>+D15/D23</f>
        <v>5.5435685819999206E-2</v>
      </c>
      <c r="E16" s="9">
        <f>+E15/E23</f>
        <v>-0.11612452233674476</v>
      </c>
      <c r="H16" s="7"/>
    </row>
    <row r="17" spans="1:25" x14ac:dyDescent="0.25">
      <c r="A17" s="6" t="s">
        <v>15</v>
      </c>
      <c r="B17" s="11">
        <f>+B15-C15</f>
        <v>5911917</v>
      </c>
      <c r="C17" s="11">
        <f>+C15-D15</f>
        <v>1896271</v>
      </c>
      <c r="D17" s="11">
        <f>+D15-E15</f>
        <v>36464219</v>
      </c>
      <c r="E17" s="11">
        <f>+E15-F112</f>
        <v>-24773719</v>
      </c>
      <c r="F17" s="13"/>
      <c r="H17" s="7"/>
      <c r="V17" s="13"/>
    </row>
    <row r="18" spans="1:25" ht="14.4" thickBot="1" x14ac:dyDescent="0.3">
      <c r="A18" s="6"/>
      <c r="B18" s="11"/>
      <c r="C18" s="11"/>
      <c r="D18" s="11"/>
      <c r="E18" s="11"/>
      <c r="F18" s="13"/>
      <c r="G18" s="112"/>
      <c r="H18" s="114"/>
      <c r="V18" s="13"/>
    </row>
    <row r="19" spans="1:25" ht="14.4" thickBot="1" x14ac:dyDescent="0.3">
      <c r="A19" s="14" t="s">
        <v>16</v>
      </c>
      <c r="B19" s="15">
        <v>2020</v>
      </c>
      <c r="C19" s="15">
        <v>2019</v>
      </c>
      <c r="D19" s="15">
        <v>2018</v>
      </c>
      <c r="E19" s="15">
        <v>2017</v>
      </c>
      <c r="G19" s="110" t="s">
        <v>357</v>
      </c>
      <c r="H19" s="111" t="s">
        <v>358</v>
      </c>
      <c r="U19" s="16">
        <v>2017</v>
      </c>
      <c r="V19" s="17">
        <v>2018</v>
      </c>
      <c r="W19" s="117">
        <v>2019</v>
      </c>
      <c r="X19" s="117"/>
      <c r="Y19" s="17">
        <v>2020</v>
      </c>
    </row>
    <row r="20" spans="1:25" x14ac:dyDescent="0.25">
      <c r="A20" s="18" t="s">
        <v>17</v>
      </c>
      <c r="U20" s="20"/>
      <c r="V20" s="21"/>
      <c r="W20" s="118"/>
      <c r="X20" s="118"/>
      <c r="Y20" s="21"/>
    </row>
    <row r="21" spans="1:25" ht="27.6" x14ac:dyDescent="0.25">
      <c r="A21" s="22" t="s">
        <v>18</v>
      </c>
      <c r="B21" s="19">
        <v>201795525</v>
      </c>
      <c r="C21" s="19">
        <v>240121345</v>
      </c>
      <c r="D21" s="19">
        <v>210416711</v>
      </c>
      <c r="E21" s="19">
        <v>212558802</v>
      </c>
      <c r="U21" s="23" t="s">
        <v>19</v>
      </c>
      <c r="V21" s="24" t="s">
        <v>20</v>
      </c>
      <c r="W21" s="115" t="s">
        <v>21</v>
      </c>
      <c r="X21" s="115"/>
      <c r="Y21" s="24" t="s">
        <v>22</v>
      </c>
    </row>
    <row r="22" spans="1:25" x14ac:dyDescent="0.25">
      <c r="A22" s="25" t="s">
        <v>23</v>
      </c>
      <c r="B22" s="19">
        <v>518617</v>
      </c>
      <c r="C22" s="19">
        <v>612311</v>
      </c>
      <c r="D22" s="19">
        <v>467304</v>
      </c>
      <c r="E22" s="19">
        <v>778730</v>
      </c>
      <c r="U22" s="26" t="s">
        <v>24</v>
      </c>
      <c r="V22" s="27" t="s">
        <v>25</v>
      </c>
      <c r="W22" s="120" t="s">
        <v>26</v>
      </c>
      <c r="X22" s="120"/>
      <c r="Y22" s="27" t="s">
        <v>27</v>
      </c>
    </row>
    <row r="23" spans="1:25" x14ac:dyDescent="0.25">
      <c r="A23" s="28" t="s">
        <v>28</v>
      </c>
      <c r="B23" s="29">
        <f>SUM(B21:B22)</f>
        <v>202314142</v>
      </c>
      <c r="C23" s="29">
        <f>SUM(C21:C22)</f>
        <v>240733656</v>
      </c>
      <c r="D23" s="29">
        <f>SUM(D21:D22)</f>
        <v>210884015</v>
      </c>
      <c r="E23" s="29">
        <f>SUM(E21:E22)</f>
        <v>213337532</v>
      </c>
      <c r="G23" s="94">
        <f>1-B23/C23</f>
        <v>0.15959344712481749</v>
      </c>
      <c r="H23" s="29">
        <f>+B23+'DuPont- modellen'!M6*1000</f>
        <v>240733656</v>
      </c>
      <c r="U23" s="30" t="s">
        <v>29</v>
      </c>
      <c r="V23" s="31" t="s">
        <v>30</v>
      </c>
      <c r="W23" s="119" t="s">
        <v>31</v>
      </c>
      <c r="X23" s="119"/>
      <c r="Y23" s="31" t="s">
        <v>32</v>
      </c>
    </row>
    <row r="24" spans="1:25" x14ac:dyDescent="0.25">
      <c r="A24" s="28" t="s">
        <v>33</v>
      </c>
      <c r="B24" s="29"/>
      <c r="C24" s="29"/>
      <c r="D24" s="29"/>
      <c r="E24" s="29"/>
      <c r="H24" s="29"/>
      <c r="U24" s="30"/>
      <c r="V24" s="31"/>
      <c r="W24" s="30"/>
      <c r="X24" s="30"/>
      <c r="Y24" s="31"/>
    </row>
    <row r="25" spans="1:25" x14ac:dyDescent="0.25">
      <c r="A25" s="25" t="s">
        <v>34</v>
      </c>
      <c r="B25" s="19">
        <v>55080978</v>
      </c>
      <c r="C25" s="19">
        <v>70358901</v>
      </c>
      <c r="D25" s="19">
        <v>69639422</v>
      </c>
      <c r="E25" s="19">
        <v>67547652</v>
      </c>
      <c r="U25" s="23" t="s">
        <v>35</v>
      </c>
      <c r="V25" s="24" t="s">
        <v>36</v>
      </c>
      <c r="W25" s="115" t="s">
        <v>37</v>
      </c>
      <c r="X25" s="115"/>
      <c r="Y25" s="24" t="s">
        <v>38</v>
      </c>
    </row>
    <row r="26" spans="1:25" x14ac:dyDescent="0.25">
      <c r="A26" s="25" t="s">
        <v>39</v>
      </c>
      <c r="B26" s="19">
        <v>106944973</v>
      </c>
      <c r="C26" s="19">
        <v>122306413</v>
      </c>
      <c r="D26" s="19">
        <v>104926113</v>
      </c>
      <c r="E26" s="19">
        <v>107244013</v>
      </c>
      <c r="U26" s="26" t="s">
        <v>40</v>
      </c>
      <c r="V26" s="27" t="s">
        <v>41</v>
      </c>
      <c r="W26" s="120" t="s">
        <v>42</v>
      </c>
      <c r="X26" s="120"/>
      <c r="Y26" s="27" t="s">
        <v>43</v>
      </c>
    </row>
    <row r="27" spans="1:25" ht="27.6" x14ac:dyDescent="0.25">
      <c r="A27" s="25" t="s">
        <v>44</v>
      </c>
      <c r="B27" s="19">
        <v>3983418</v>
      </c>
      <c r="C27" s="19">
        <v>4801139</v>
      </c>
      <c r="D27" s="19">
        <v>6022173</v>
      </c>
      <c r="E27" s="19">
        <v>6633793</v>
      </c>
      <c r="U27" s="26" t="s">
        <v>45</v>
      </c>
      <c r="V27" s="27" t="s">
        <v>46</v>
      </c>
      <c r="W27" s="120" t="s">
        <v>47</v>
      </c>
      <c r="X27" s="120"/>
      <c r="Y27" s="27" t="s">
        <v>48</v>
      </c>
    </row>
    <row r="28" spans="1:25" ht="27.6" x14ac:dyDescent="0.25">
      <c r="A28" s="25" t="s">
        <v>49</v>
      </c>
      <c r="B28" s="19">
        <v>7137166</v>
      </c>
      <c r="C28" s="19">
        <v>549215</v>
      </c>
      <c r="D28" s="19">
        <v>0</v>
      </c>
      <c r="E28" s="19">
        <v>204651</v>
      </c>
      <c r="U28" s="26" t="s">
        <v>50</v>
      </c>
      <c r="V28" s="32">
        <v>0</v>
      </c>
      <c r="W28" s="120" t="s">
        <v>51</v>
      </c>
      <c r="X28" s="120"/>
      <c r="Y28" s="27" t="s">
        <v>52</v>
      </c>
    </row>
    <row r="29" spans="1:25" x14ac:dyDescent="0.25">
      <c r="A29" s="25" t="s">
        <v>53</v>
      </c>
      <c r="B29" s="19">
        <v>34911012</v>
      </c>
      <c r="C29" s="19">
        <v>3032674</v>
      </c>
      <c r="D29" s="19">
        <v>20392607</v>
      </c>
      <c r="E29" s="19">
        <v>37459679</v>
      </c>
      <c r="U29" s="26" t="s">
        <v>54</v>
      </c>
      <c r="V29" s="27" t="s">
        <v>55</v>
      </c>
      <c r="W29" s="120" t="s">
        <v>56</v>
      </c>
      <c r="X29" s="120"/>
      <c r="Y29" s="27" t="s">
        <v>57</v>
      </c>
    </row>
    <row r="30" spans="1:25" x14ac:dyDescent="0.25">
      <c r="A30" s="25" t="s">
        <v>58</v>
      </c>
      <c r="C30" s="19">
        <v>322256</v>
      </c>
      <c r="D30" s="19">
        <v>1750</v>
      </c>
      <c r="U30" s="26"/>
      <c r="V30" s="27" t="s">
        <v>59</v>
      </c>
      <c r="W30" s="120" t="s">
        <v>60</v>
      </c>
      <c r="X30" s="120"/>
      <c r="Y30" s="33"/>
    </row>
    <row r="31" spans="1:25" x14ac:dyDescent="0.25">
      <c r="A31" s="25" t="s">
        <v>61</v>
      </c>
      <c r="C31" s="19">
        <v>32468851</v>
      </c>
      <c r="D31" s="19">
        <v>32542564</v>
      </c>
      <c r="U31" s="26"/>
      <c r="V31" s="27" t="s">
        <v>62</v>
      </c>
      <c r="W31" s="120" t="s">
        <v>63</v>
      </c>
      <c r="X31" s="120"/>
      <c r="Y31" s="33"/>
    </row>
    <row r="32" spans="1:25" x14ac:dyDescent="0.25">
      <c r="A32" s="28" t="s">
        <v>64</v>
      </c>
      <c r="B32" s="29">
        <f>SUM(B25:B31)</f>
        <v>208057547</v>
      </c>
      <c r="C32" s="29">
        <f t="shared" ref="C32" si="0">SUM(C25:C31)</f>
        <v>233839449</v>
      </c>
      <c r="D32" s="29">
        <f>SUM(D25:D31)</f>
        <v>233524629</v>
      </c>
      <c r="E32" s="29">
        <f>SUM(E25:E31)</f>
        <v>219089788</v>
      </c>
      <c r="G32" s="94">
        <f>1-(B32/C32)</f>
        <v>0.11025471583282764</v>
      </c>
      <c r="H32" s="29">
        <f>+B32*G32+B32</f>
        <v>230996872.72136018</v>
      </c>
      <c r="U32" s="30" t="s">
        <v>65</v>
      </c>
      <c r="V32" s="31" t="s">
        <v>66</v>
      </c>
      <c r="W32" s="119" t="s">
        <v>67</v>
      </c>
      <c r="X32" s="119"/>
      <c r="Y32" s="31" t="s">
        <v>68</v>
      </c>
    </row>
    <row r="33" spans="1:25" x14ac:dyDescent="0.25">
      <c r="A33" s="34" t="s">
        <v>69</v>
      </c>
      <c r="B33" s="35">
        <f>+B23-B32</f>
        <v>-5743405</v>
      </c>
      <c r="C33" s="35">
        <f>+C23-C32</f>
        <v>6894207</v>
      </c>
      <c r="D33" s="35">
        <f>+D23-D32</f>
        <v>-22640614</v>
      </c>
      <c r="E33" s="35">
        <f>+E23-E32</f>
        <v>-5752256</v>
      </c>
      <c r="H33" s="35">
        <f>+H23-H32</f>
        <v>9736783.2786398232</v>
      </c>
      <c r="U33" s="36" t="s">
        <v>70</v>
      </c>
      <c r="V33" s="37" t="s">
        <v>71</v>
      </c>
      <c r="W33" s="121" t="s">
        <v>72</v>
      </c>
      <c r="X33" s="121"/>
      <c r="Y33" s="37" t="s">
        <v>73</v>
      </c>
    </row>
    <row r="34" spans="1:25" x14ac:dyDescent="0.25">
      <c r="A34" s="28" t="s">
        <v>74</v>
      </c>
      <c r="B34" s="29"/>
      <c r="C34" s="29"/>
      <c r="D34" s="29"/>
      <c r="E34" s="29"/>
      <c r="H34" s="29"/>
      <c r="U34" s="30"/>
      <c r="V34" s="31"/>
      <c r="W34" s="119"/>
      <c r="X34" s="119"/>
      <c r="Y34" s="31"/>
    </row>
    <row r="35" spans="1:25" ht="41.4" x14ac:dyDescent="0.25">
      <c r="A35" s="25" t="s">
        <v>75</v>
      </c>
      <c r="B35" s="19">
        <v>8083312</v>
      </c>
      <c r="C35" s="19">
        <v>8123400</v>
      </c>
      <c r="D35" s="19">
        <v>2654388</v>
      </c>
      <c r="E35" s="19">
        <v>772030</v>
      </c>
      <c r="J35" s="38"/>
      <c r="U35" s="23" t="s">
        <v>76</v>
      </c>
      <c r="V35" s="24" t="s">
        <v>77</v>
      </c>
      <c r="W35" s="115" t="s">
        <v>78</v>
      </c>
      <c r="X35" s="115"/>
      <c r="Y35" s="24" t="s">
        <v>79</v>
      </c>
    </row>
    <row r="36" spans="1:25" ht="14.4" x14ac:dyDescent="0.25">
      <c r="A36" s="25" t="s">
        <v>80</v>
      </c>
      <c r="B36" s="19">
        <v>210882</v>
      </c>
      <c r="C36" s="19">
        <v>793530</v>
      </c>
      <c r="D36" s="19">
        <v>295306</v>
      </c>
      <c r="E36" s="19">
        <v>193723</v>
      </c>
      <c r="J36" s="38"/>
      <c r="U36" s="26" t="s">
        <v>81</v>
      </c>
      <c r="V36" s="27" t="s">
        <v>82</v>
      </c>
      <c r="W36" s="120" t="s">
        <v>83</v>
      </c>
      <c r="X36" s="120"/>
      <c r="Y36" s="27" t="s">
        <v>84</v>
      </c>
    </row>
    <row r="37" spans="1:25" ht="14.4" x14ac:dyDescent="0.25">
      <c r="A37" s="25" t="s">
        <v>85</v>
      </c>
      <c r="B37" s="19">
        <v>1544670</v>
      </c>
      <c r="C37" s="19">
        <v>723423</v>
      </c>
      <c r="D37" s="19">
        <v>646290</v>
      </c>
      <c r="E37" s="19">
        <v>888224</v>
      </c>
      <c r="J37" s="38"/>
      <c r="U37" s="26" t="s">
        <v>86</v>
      </c>
      <c r="V37" s="27" t="s">
        <v>87</v>
      </c>
      <c r="W37" s="120" t="s">
        <v>88</v>
      </c>
      <c r="X37" s="120"/>
      <c r="Y37" s="27" t="s">
        <v>89</v>
      </c>
    </row>
    <row r="38" spans="1:25" ht="14.4" x14ac:dyDescent="0.25">
      <c r="A38" s="28" t="s">
        <v>90</v>
      </c>
      <c r="B38" s="29">
        <f>SUM(B35:B37)</f>
        <v>9838864</v>
      </c>
      <c r="C38" s="29">
        <f>SUM(C35:C37)</f>
        <v>9640353</v>
      </c>
      <c r="D38" s="29">
        <f>SUM(D35:D37)</f>
        <v>3595984</v>
      </c>
      <c r="E38" s="29">
        <v>1853977</v>
      </c>
      <c r="H38" s="29"/>
      <c r="J38" s="38"/>
      <c r="U38" s="30" t="s">
        <v>91</v>
      </c>
      <c r="V38" s="31" t="s">
        <v>92</v>
      </c>
      <c r="W38" s="119" t="s">
        <v>93</v>
      </c>
      <c r="X38" s="119"/>
      <c r="Y38" s="31" t="s">
        <v>94</v>
      </c>
    </row>
    <row r="39" spans="1:25" ht="14.4" x14ac:dyDescent="0.25">
      <c r="A39" s="39" t="s">
        <v>95</v>
      </c>
      <c r="B39" s="19">
        <v>624125</v>
      </c>
      <c r="C39" s="19">
        <v>650844</v>
      </c>
      <c r="D39" s="19">
        <v>1106985</v>
      </c>
      <c r="E39" s="19">
        <v>1074784</v>
      </c>
      <c r="J39" s="38"/>
      <c r="U39" s="40" t="s">
        <v>96</v>
      </c>
      <c r="V39" s="41" t="s">
        <v>97</v>
      </c>
      <c r="W39" s="122" t="s">
        <v>98</v>
      </c>
      <c r="X39" s="122"/>
      <c r="Y39" s="41" t="s">
        <v>99</v>
      </c>
    </row>
    <row r="40" spans="1:25" x14ac:dyDescent="0.25">
      <c r="A40" s="25" t="s">
        <v>100</v>
      </c>
      <c r="B40" s="19">
        <v>1479214</v>
      </c>
      <c r="C40" s="19">
        <v>980037</v>
      </c>
      <c r="D40" s="19">
        <v>555258</v>
      </c>
      <c r="E40" s="19">
        <v>1463225</v>
      </c>
      <c r="U40" s="26" t="s">
        <v>101</v>
      </c>
      <c r="V40" s="27" t="s">
        <v>102</v>
      </c>
      <c r="W40" s="120" t="s">
        <v>103</v>
      </c>
      <c r="X40" s="120"/>
      <c r="Y40" s="27" t="s">
        <v>104</v>
      </c>
    </row>
    <row r="41" spans="1:25" x14ac:dyDescent="0.25">
      <c r="A41" s="28" t="s">
        <v>105</v>
      </c>
      <c r="B41" s="29">
        <f>SUM(B39:B40)</f>
        <v>2103339</v>
      </c>
      <c r="C41" s="29">
        <f>SUM(C39:C40)</f>
        <v>1630881</v>
      </c>
      <c r="D41" s="29">
        <f>SUM(D39:D40)</f>
        <v>1662243</v>
      </c>
      <c r="E41" s="29">
        <v>2538009</v>
      </c>
      <c r="H41" s="29"/>
      <c r="U41" s="30" t="s">
        <v>106</v>
      </c>
      <c r="V41" s="31" t="s">
        <v>107</v>
      </c>
      <c r="W41" s="119" t="s">
        <v>108</v>
      </c>
      <c r="X41" s="119"/>
      <c r="Y41" s="31" t="s">
        <v>109</v>
      </c>
    </row>
    <row r="42" spans="1:25" x14ac:dyDescent="0.25">
      <c r="A42" s="42" t="s">
        <v>110</v>
      </c>
      <c r="B42" s="29">
        <f>+B38-B41</f>
        <v>7735525</v>
      </c>
      <c r="C42" s="29">
        <v>8009472</v>
      </c>
      <c r="D42" s="29">
        <f>+D38-D41</f>
        <v>1933741</v>
      </c>
      <c r="E42" s="29">
        <v>-684032</v>
      </c>
      <c r="H42" s="29">
        <f>+B42</f>
        <v>7735525</v>
      </c>
      <c r="U42" s="36" t="s">
        <v>111</v>
      </c>
      <c r="V42" s="37" t="s">
        <v>112</v>
      </c>
      <c r="W42" s="121" t="s">
        <v>113</v>
      </c>
      <c r="X42" s="121"/>
      <c r="Y42" s="37" t="s">
        <v>114</v>
      </c>
    </row>
    <row r="43" spans="1:25" x14ac:dyDescent="0.25">
      <c r="A43" s="42" t="s">
        <v>115</v>
      </c>
      <c r="B43" s="29">
        <f>+B33+B42</f>
        <v>1992120</v>
      </c>
      <c r="C43" s="29">
        <v>14903679</v>
      </c>
      <c r="D43" s="29">
        <f>+D33+D42</f>
        <v>-20706873</v>
      </c>
      <c r="E43" s="29">
        <v>-6436288</v>
      </c>
      <c r="H43" s="29">
        <f>+H33+H42</f>
        <v>17472308.278639823</v>
      </c>
      <c r="U43" s="36" t="s">
        <v>116</v>
      </c>
      <c r="V43" s="37" t="s">
        <v>117</v>
      </c>
      <c r="W43" s="121" t="s">
        <v>118</v>
      </c>
      <c r="X43" s="121"/>
      <c r="Y43" s="37" t="s">
        <v>119</v>
      </c>
    </row>
    <row r="44" spans="1:25" x14ac:dyDescent="0.25">
      <c r="A44" s="25" t="s">
        <v>120</v>
      </c>
      <c r="B44" s="19">
        <v>411683</v>
      </c>
      <c r="C44" s="19">
        <v>8433185</v>
      </c>
      <c r="D44" s="19">
        <v>-4660542</v>
      </c>
      <c r="E44" s="19">
        <v>-1096205</v>
      </c>
      <c r="U44" s="26" t="s">
        <v>121</v>
      </c>
      <c r="V44" s="27" t="s">
        <v>122</v>
      </c>
      <c r="W44" s="120" t="s">
        <v>123</v>
      </c>
      <c r="X44" s="120"/>
      <c r="Y44" s="27" t="s">
        <v>124</v>
      </c>
    </row>
    <row r="45" spans="1:25" x14ac:dyDescent="0.25">
      <c r="A45" s="28" t="s">
        <v>125</v>
      </c>
      <c r="B45" s="29">
        <f>+B43-B44</f>
        <v>1580437</v>
      </c>
      <c r="C45" s="29">
        <v>6470494</v>
      </c>
      <c r="D45" s="29">
        <f>+D43-D44</f>
        <v>-16046331</v>
      </c>
      <c r="E45" s="29">
        <v>-5340083</v>
      </c>
      <c r="H45" s="29"/>
      <c r="U45" s="30" t="s">
        <v>126</v>
      </c>
      <c r="V45" s="31" t="s">
        <v>127</v>
      </c>
      <c r="W45" s="119" t="s">
        <v>128</v>
      </c>
      <c r="X45" s="119"/>
      <c r="Y45" s="31" t="s">
        <v>129</v>
      </c>
    </row>
    <row r="46" spans="1:25" x14ac:dyDescent="0.25">
      <c r="A46" s="34" t="s">
        <v>130</v>
      </c>
      <c r="B46" s="35">
        <f>+B45</f>
        <v>1580437</v>
      </c>
      <c r="C46" s="35">
        <v>6470494</v>
      </c>
      <c r="D46" s="35">
        <f>+D45</f>
        <v>-16046331</v>
      </c>
      <c r="E46" s="35">
        <v>-5340083</v>
      </c>
      <c r="H46" s="35"/>
      <c r="U46" s="36" t="s">
        <v>126</v>
      </c>
      <c r="V46" s="37" t="s">
        <v>127</v>
      </c>
      <c r="W46" s="121" t="s">
        <v>128</v>
      </c>
      <c r="X46" s="121"/>
      <c r="Y46" s="37" t="s">
        <v>129</v>
      </c>
    </row>
    <row r="47" spans="1:25" ht="27.6" x14ac:dyDescent="0.25">
      <c r="A47" s="43" t="s">
        <v>131</v>
      </c>
      <c r="B47" s="19">
        <f>+B46</f>
        <v>1580437</v>
      </c>
      <c r="C47" s="19">
        <f>+C46</f>
        <v>6470494</v>
      </c>
      <c r="D47" s="19">
        <f>+D46</f>
        <v>-16046331</v>
      </c>
      <c r="E47" s="19">
        <v>-5340084</v>
      </c>
      <c r="U47" s="44" t="s">
        <v>132</v>
      </c>
      <c r="V47" s="45" t="s">
        <v>133</v>
      </c>
      <c r="W47" s="123" t="s">
        <v>134</v>
      </c>
      <c r="X47" s="123"/>
      <c r="Y47" s="45" t="s">
        <v>135</v>
      </c>
    </row>
    <row r="48" spans="1:25" x14ac:dyDescent="0.25">
      <c r="A48" s="46" t="s">
        <v>136</v>
      </c>
      <c r="B48" s="47">
        <f>+B47</f>
        <v>1580437</v>
      </c>
      <c r="C48" s="47">
        <f>+C46</f>
        <v>6470494</v>
      </c>
      <c r="D48" s="47">
        <f>+D47</f>
        <v>-16046331</v>
      </c>
      <c r="E48" s="47">
        <f>-E47</f>
        <v>5340084</v>
      </c>
      <c r="H48" s="47"/>
      <c r="U48" s="30" t="s">
        <v>137</v>
      </c>
      <c r="V48" s="31" t="s">
        <v>127</v>
      </c>
      <c r="W48" s="119" t="s">
        <v>128</v>
      </c>
      <c r="X48" s="119"/>
      <c r="Y48" s="31" t="s">
        <v>129</v>
      </c>
    </row>
    <row r="49" spans="1:25" x14ac:dyDescent="0.25">
      <c r="A49" s="42" t="s">
        <v>138</v>
      </c>
      <c r="U49" s="16">
        <v>2017</v>
      </c>
      <c r="V49" s="17">
        <v>2018</v>
      </c>
      <c r="W49" s="117">
        <v>2019</v>
      </c>
      <c r="X49" s="117"/>
      <c r="Y49" s="17">
        <v>2020</v>
      </c>
    </row>
    <row r="50" spans="1:25" x14ac:dyDescent="0.25">
      <c r="A50" s="48" t="s">
        <v>139</v>
      </c>
      <c r="U50" s="20"/>
      <c r="V50" s="21"/>
      <c r="W50" s="118"/>
      <c r="X50" s="118"/>
      <c r="Y50" s="21"/>
    </row>
    <row r="51" spans="1:25" ht="15.45" customHeight="1" x14ac:dyDescent="0.25">
      <c r="A51" s="25" t="s">
        <v>140</v>
      </c>
      <c r="B51" s="19">
        <v>8763554</v>
      </c>
      <c r="C51" s="19">
        <v>5481511</v>
      </c>
      <c r="D51" s="19">
        <v>1543494</v>
      </c>
      <c r="E51" s="19">
        <v>1083205</v>
      </c>
      <c r="U51" s="49" t="s">
        <v>141</v>
      </c>
      <c r="V51" s="24" t="s">
        <v>142</v>
      </c>
      <c r="W51" s="115" t="s">
        <v>143</v>
      </c>
      <c r="X51" s="115"/>
      <c r="Y51" s="24" t="s">
        <v>144</v>
      </c>
    </row>
    <row r="52" spans="1:25" x14ac:dyDescent="0.25">
      <c r="A52" s="25" t="s">
        <v>145</v>
      </c>
      <c r="B52" s="19">
        <v>244877</v>
      </c>
      <c r="C52" s="19">
        <v>0</v>
      </c>
      <c r="D52" s="19">
        <v>5743747</v>
      </c>
      <c r="E52" s="19">
        <v>165456</v>
      </c>
      <c r="U52" s="50" t="s">
        <v>146</v>
      </c>
      <c r="V52" s="27" t="s">
        <v>147</v>
      </c>
      <c r="W52" s="124">
        <v>0</v>
      </c>
      <c r="X52" s="124"/>
      <c r="Y52" s="27" t="s">
        <v>148</v>
      </c>
    </row>
    <row r="53" spans="1:25" x14ac:dyDescent="0.25">
      <c r="A53" s="28" t="s">
        <v>149</v>
      </c>
      <c r="B53" s="29">
        <f>SUM(B51:B52)</f>
        <v>9008431</v>
      </c>
      <c r="C53" s="29">
        <v>5481511</v>
      </c>
      <c r="D53" s="29">
        <f>SUM(D51:D52)</f>
        <v>7287241</v>
      </c>
      <c r="E53" s="29">
        <f>SUM(E51:E52)</f>
        <v>1248661</v>
      </c>
      <c r="H53" s="29"/>
      <c r="U53" s="51" t="s">
        <v>150</v>
      </c>
      <c r="V53" s="31" t="s">
        <v>151</v>
      </c>
      <c r="W53" s="119" t="s">
        <v>152</v>
      </c>
      <c r="X53" s="119"/>
      <c r="Y53" s="31" t="s">
        <v>153</v>
      </c>
    </row>
    <row r="54" spans="1:25" ht="15" customHeight="1" x14ac:dyDescent="0.25">
      <c r="A54" s="25" t="s">
        <v>154</v>
      </c>
      <c r="B54" s="19">
        <v>68868</v>
      </c>
      <c r="C54" s="19">
        <v>181350</v>
      </c>
      <c r="D54" s="19">
        <v>310609</v>
      </c>
      <c r="E54" s="19">
        <v>0</v>
      </c>
      <c r="U54" s="52">
        <v>0</v>
      </c>
      <c r="V54" s="24" t="s">
        <v>155</v>
      </c>
      <c r="W54" s="115" t="s">
        <v>156</v>
      </c>
      <c r="X54" s="115"/>
      <c r="Y54" s="24" t="s">
        <v>157</v>
      </c>
    </row>
    <row r="55" spans="1:25" ht="33.6" customHeight="1" x14ac:dyDescent="0.25">
      <c r="A55" s="25" t="s">
        <v>158</v>
      </c>
      <c r="B55" s="19">
        <v>20145104</v>
      </c>
      <c r="C55" s="19">
        <v>25037577</v>
      </c>
      <c r="D55" s="19">
        <v>23221467</v>
      </c>
      <c r="E55" s="19">
        <v>29118541</v>
      </c>
      <c r="U55" s="50" t="s">
        <v>159</v>
      </c>
      <c r="V55" s="27" t="s">
        <v>160</v>
      </c>
      <c r="W55" s="125" t="s">
        <v>161</v>
      </c>
      <c r="X55" s="125"/>
      <c r="Y55" s="27" t="s">
        <v>162</v>
      </c>
    </row>
    <row r="56" spans="1:25" x14ac:dyDescent="0.25">
      <c r="A56" s="28" t="s">
        <v>163</v>
      </c>
      <c r="B56" s="29">
        <f>SUM(B54:B55)</f>
        <v>20213972</v>
      </c>
      <c r="C56" s="29">
        <f>SUM(C54:C55)</f>
        <v>25218927</v>
      </c>
      <c r="D56" s="29">
        <f>SUM(D54:D55)</f>
        <v>23532076</v>
      </c>
      <c r="E56" s="29">
        <v>29118541</v>
      </c>
      <c r="H56" s="29"/>
      <c r="U56" s="51" t="s">
        <v>164</v>
      </c>
      <c r="V56" s="31" t="s">
        <v>165</v>
      </c>
      <c r="W56" s="126" t="s">
        <v>166</v>
      </c>
      <c r="X56" s="126"/>
      <c r="Y56" s="31" t="s">
        <v>167</v>
      </c>
    </row>
    <row r="57" spans="1:25" ht="13.2" customHeight="1" x14ac:dyDescent="0.25">
      <c r="A57" s="25" t="s">
        <v>168</v>
      </c>
      <c r="B57" s="19">
        <v>22721190</v>
      </c>
      <c r="C57" s="19">
        <v>22721190</v>
      </c>
      <c r="D57" s="19">
        <v>18771190</v>
      </c>
      <c r="E57" s="19">
        <v>12485656</v>
      </c>
      <c r="U57" s="49" t="s">
        <v>169</v>
      </c>
      <c r="V57" s="24" t="s">
        <v>170</v>
      </c>
      <c r="W57" s="115" t="s">
        <v>171</v>
      </c>
      <c r="X57" s="115"/>
      <c r="Y57" s="24" t="s">
        <v>171</v>
      </c>
    </row>
    <row r="58" spans="1:25" x14ac:dyDescent="0.25">
      <c r="A58" s="25" t="s">
        <v>172</v>
      </c>
      <c r="B58" s="19">
        <v>200638</v>
      </c>
      <c r="C58" s="19">
        <v>200638</v>
      </c>
      <c r="D58" s="19">
        <v>0</v>
      </c>
      <c r="E58" s="19">
        <v>6046617</v>
      </c>
      <c r="U58" s="26" t="s">
        <v>173</v>
      </c>
      <c r="V58" s="32">
        <v>0</v>
      </c>
      <c r="W58" s="120" t="s">
        <v>174</v>
      </c>
      <c r="X58" s="120"/>
      <c r="Y58" s="27" t="s">
        <v>174</v>
      </c>
    </row>
    <row r="59" spans="1:25" x14ac:dyDescent="0.25">
      <c r="A59" s="25" t="s">
        <v>175</v>
      </c>
      <c r="B59" s="29">
        <v>5</v>
      </c>
      <c r="C59" s="29">
        <v>26562</v>
      </c>
      <c r="D59" s="19">
        <v>0</v>
      </c>
      <c r="U59" s="26"/>
      <c r="V59" s="32">
        <v>0</v>
      </c>
      <c r="W59" s="120" t="s">
        <v>176</v>
      </c>
      <c r="X59" s="120"/>
      <c r="Y59" s="32">
        <v>5</v>
      </c>
    </row>
    <row r="60" spans="1:25" x14ac:dyDescent="0.25">
      <c r="A60" s="28" t="s">
        <v>177</v>
      </c>
      <c r="B60" s="29">
        <f>SUM(B57:B59)</f>
        <v>22921833</v>
      </c>
      <c r="C60" s="29">
        <f>SUM(C57:C59)</f>
        <v>22948390</v>
      </c>
      <c r="D60" s="29">
        <f>+D57</f>
        <v>18771190</v>
      </c>
      <c r="E60" s="29">
        <v>18532273</v>
      </c>
      <c r="H60" s="29"/>
      <c r="U60" s="30" t="s">
        <v>178</v>
      </c>
      <c r="V60" s="31" t="s">
        <v>179</v>
      </c>
      <c r="W60" s="119" t="s">
        <v>180</v>
      </c>
      <c r="X60" s="119"/>
      <c r="Y60" s="31" t="s">
        <v>181</v>
      </c>
    </row>
    <row r="61" spans="1:25" x14ac:dyDescent="0.25">
      <c r="A61" s="42" t="s">
        <v>182</v>
      </c>
      <c r="B61" s="29">
        <f>+B56+B53+B60</f>
        <v>52144236</v>
      </c>
      <c r="C61" s="29">
        <f>+C60+C56+C53</f>
        <v>53648828</v>
      </c>
      <c r="D61" s="29">
        <f>+D56+D53+D60</f>
        <v>49590507</v>
      </c>
      <c r="E61" s="29">
        <f>+E56+E53+E60</f>
        <v>48899475</v>
      </c>
      <c r="H61" s="29"/>
      <c r="U61" s="36" t="s">
        <v>183</v>
      </c>
      <c r="V61" s="37" t="s">
        <v>184</v>
      </c>
      <c r="W61" s="121" t="s">
        <v>185</v>
      </c>
      <c r="X61" s="121"/>
      <c r="Y61" s="37" t="s">
        <v>186</v>
      </c>
    </row>
    <row r="62" spans="1:25" ht="27.6" x14ac:dyDescent="0.25">
      <c r="A62" s="22" t="s">
        <v>187</v>
      </c>
      <c r="B62" s="19">
        <v>7295529</v>
      </c>
      <c r="C62" s="19">
        <v>11283267</v>
      </c>
      <c r="D62" s="19">
        <v>11783929</v>
      </c>
      <c r="E62" s="19">
        <v>10696588</v>
      </c>
      <c r="U62" s="23" t="s">
        <v>188</v>
      </c>
      <c r="V62" s="24" t="s">
        <v>189</v>
      </c>
      <c r="W62" s="115" t="s">
        <v>190</v>
      </c>
      <c r="X62" s="115"/>
      <c r="Y62" s="24" t="s">
        <v>191</v>
      </c>
    </row>
    <row r="63" spans="1:25" x14ac:dyDescent="0.25">
      <c r="A63" s="28" t="s">
        <v>192</v>
      </c>
      <c r="B63" s="29">
        <f>+B62</f>
        <v>7295529</v>
      </c>
      <c r="C63" s="29">
        <f>+C62</f>
        <v>11283267</v>
      </c>
      <c r="D63" s="29">
        <f>+D62</f>
        <v>11783929</v>
      </c>
      <c r="E63" s="29">
        <f>+E62</f>
        <v>10696588</v>
      </c>
      <c r="H63" s="29"/>
      <c r="U63" s="30" t="s">
        <v>193</v>
      </c>
      <c r="V63" s="31" t="s">
        <v>194</v>
      </c>
      <c r="W63" s="119" t="s">
        <v>195</v>
      </c>
      <c r="X63" s="119"/>
      <c r="Y63" s="31" t="s">
        <v>196</v>
      </c>
    </row>
    <row r="64" spans="1:25" x14ac:dyDescent="0.25">
      <c r="A64" s="28" t="s">
        <v>197</v>
      </c>
      <c r="B64" s="29"/>
      <c r="C64" s="29"/>
      <c r="D64" s="29"/>
      <c r="E64" s="29"/>
      <c r="U64" s="30"/>
      <c r="V64" s="31"/>
      <c r="W64" s="30"/>
      <c r="X64" s="30"/>
      <c r="Y64" s="31"/>
    </row>
    <row r="65" spans="1:25" x14ac:dyDescent="0.25">
      <c r="A65" s="25" t="s">
        <v>198</v>
      </c>
      <c r="B65" s="19">
        <v>8360388</v>
      </c>
      <c r="C65" s="19">
        <v>28283622</v>
      </c>
      <c r="D65" s="19">
        <v>11592655</v>
      </c>
      <c r="E65" s="19">
        <v>45146187</v>
      </c>
      <c r="U65" s="23" t="s">
        <v>199</v>
      </c>
      <c r="V65" s="24" t="s">
        <v>200</v>
      </c>
      <c r="W65" s="115" t="s">
        <v>201</v>
      </c>
      <c r="X65" s="115"/>
      <c r="Y65" s="24" t="s">
        <v>202</v>
      </c>
    </row>
    <row r="66" spans="1:25" x14ac:dyDescent="0.25">
      <c r="A66" s="25" t="s">
        <v>203</v>
      </c>
      <c r="B66" s="19">
        <v>26798511</v>
      </c>
      <c r="C66" s="19">
        <v>36211941</v>
      </c>
      <c r="D66" s="19">
        <v>40675824</v>
      </c>
      <c r="U66" s="23"/>
      <c r="V66" s="27" t="s">
        <v>204</v>
      </c>
      <c r="W66" s="120" t="s">
        <v>205</v>
      </c>
      <c r="X66" s="120"/>
      <c r="Y66" s="27" t="s">
        <v>206</v>
      </c>
    </row>
    <row r="67" spans="1:25" x14ac:dyDescent="0.25">
      <c r="A67" s="25" t="s">
        <v>207</v>
      </c>
      <c r="B67" s="19">
        <v>15641117</v>
      </c>
      <c r="C67" s="19">
        <v>4688437</v>
      </c>
      <c r="D67" s="19">
        <v>1078491</v>
      </c>
      <c r="U67" s="23"/>
      <c r="V67" s="27" t="s">
        <v>208</v>
      </c>
      <c r="W67" s="120" t="s">
        <v>209</v>
      </c>
      <c r="X67" s="120"/>
      <c r="Y67" s="27" t="s">
        <v>210</v>
      </c>
    </row>
    <row r="68" spans="1:25" x14ac:dyDescent="0.25">
      <c r="A68" s="25" t="s">
        <v>211</v>
      </c>
      <c r="B68" s="19">
        <v>9366233</v>
      </c>
      <c r="C68" s="19">
        <v>11398884</v>
      </c>
      <c r="D68" s="19">
        <v>13776342</v>
      </c>
      <c r="E68" s="19">
        <v>1839128</v>
      </c>
      <c r="U68" s="26" t="s">
        <v>212</v>
      </c>
      <c r="V68" s="27" t="s">
        <v>213</v>
      </c>
      <c r="W68" s="120" t="s">
        <v>214</v>
      </c>
      <c r="X68" s="120"/>
      <c r="Y68" s="27" t="s">
        <v>215</v>
      </c>
    </row>
    <row r="69" spans="1:25" x14ac:dyDescent="0.25">
      <c r="A69" s="28" t="s">
        <v>216</v>
      </c>
      <c r="B69" s="29">
        <f>SUM(B65:B68)</f>
        <v>60166249</v>
      </c>
      <c r="C69" s="29">
        <f>SUM(C65:C68)</f>
        <v>80582884</v>
      </c>
      <c r="D69" s="29">
        <f>SUM(D65:D68)</f>
        <v>67123312</v>
      </c>
      <c r="E69" s="29">
        <f>SUM(E65:E68)</f>
        <v>46985315</v>
      </c>
      <c r="U69" s="30" t="s">
        <v>217</v>
      </c>
      <c r="V69" s="31" t="s">
        <v>218</v>
      </c>
      <c r="W69" s="119" t="s">
        <v>219</v>
      </c>
      <c r="X69" s="119"/>
      <c r="Y69" s="31" t="s">
        <v>220</v>
      </c>
    </row>
    <row r="70" spans="1:25" x14ac:dyDescent="0.25">
      <c r="A70" s="25" t="s">
        <v>221</v>
      </c>
      <c r="B70" s="19">
        <v>25942020</v>
      </c>
      <c r="C70" s="19">
        <v>9969552</v>
      </c>
      <c r="D70" s="19">
        <v>3293077</v>
      </c>
      <c r="E70" s="19">
        <v>4060614</v>
      </c>
      <c r="U70" s="23" t="s">
        <v>222</v>
      </c>
      <c r="V70" s="24" t="s">
        <v>223</v>
      </c>
      <c r="W70" s="115" t="s">
        <v>224</v>
      </c>
      <c r="X70" s="115"/>
      <c r="Y70" s="24" t="s">
        <v>225</v>
      </c>
    </row>
    <row r="71" spans="1:25" x14ac:dyDescent="0.25">
      <c r="A71" s="28" t="s">
        <v>226</v>
      </c>
      <c r="B71" s="29">
        <f>+B70</f>
        <v>25942020</v>
      </c>
      <c r="C71" s="29">
        <f>+C70</f>
        <v>9969552</v>
      </c>
      <c r="D71" s="29">
        <f>+D70</f>
        <v>3293077</v>
      </c>
      <c r="E71" s="29">
        <f>+E70</f>
        <v>4060614</v>
      </c>
      <c r="U71" s="30" t="s">
        <v>227</v>
      </c>
      <c r="V71" s="31" t="s">
        <v>228</v>
      </c>
      <c r="W71" s="119" t="s">
        <v>229</v>
      </c>
      <c r="X71" s="119"/>
      <c r="Y71" s="31" t="s">
        <v>230</v>
      </c>
    </row>
    <row r="72" spans="1:25" x14ac:dyDescent="0.25">
      <c r="A72" s="28" t="s">
        <v>231</v>
      </c>
      <c r="B72" s="29">
        <f>+B71+B69+B63</f>
        <v>93403798</v>
      </c>
      <c r="C72" s="29">
        <f>+C71+C69+C63</f>
        <v>101835703</v>
      </c>
      <c r="D72" s="29">
        <f>+D71+D69+D63</f>
        <v>82200318</v>
      </c>
      <c r="E72" s="29">
        <v>61742517</v>
      </c>
      <c r="U72" s="36" t="s">
        <v>232</v>
      </c>
      <c r="V72" s="31" t="s">
        <v>233</v>
      </c>
      <c r="W72" s="119" t="s">
        <v>234</v>
      </c>
      <c r="X72" s="119"/>
      <c r="Y72" s="53" t="s">
        <v>235</v>
      </c>
    </row>
    <row r="73" spans="1:25" x14ac:dyDescent="0.25">
      <c r="A73" s="34" t="s">
        <v>236</v>
      </c>
      <c r="B73" s="35">
        <f>+B72+B61</f>
        <v>145548034</v>
      </c>
      <c r="C73" s="35">
        <f>+C72+C61</f>
        <v>155484531</v>
      </c>
      <c r="D73" s="35">
        <v>131790825</v>
      </c>
      <c r="E73" s="35">
        <f>+E72+E61</f>
        <v>110641992</v>
      </c>
      <c r="U73" s="36" t="s">
        <v>237</v>
      </c>
      <c r="V73" s="54" t="s">
        <v>238</v>
      </c>
      <c r="W73" s="128" t="s">
        <v>239</v>
      </c>
      <c r="X73" s="128"/>
      <c r="Y73" s="31" t="s">
        <v>240</v>
      </c>
    </row>
    <row r="74" spans="1:25" x14ac:dyDescent="0.25">
      <c r="A74" s="42" t="s">
        <v>241</v>
      </c>
      <c r="U74" s="20"/>
      <c r="V74" s="13"/>
      <c r="W74" s="129"/>
      <c r="X74" s="129"/>
      <c r="Y74" s="13"/>
    </row>
    <row r="75" spans="1:25" x14ac:dyDescent="0.25">
      <c r="A75" s="25" t="s">
        <v>242</v>
      </c>
      <c r="B75" s="19">
        <v>330000</v>
      </c>
      <c r="C75" s="19">
        <v>330000</v>
      </c>
      <c r="D75" s="19">
        <v>330000</v>
      </c>
      <c r="E75" s="19">
        <v>30000</v>
      </c>
      <c r="U75" s="23" t="s">
        <v>243</v>
      </c>
      <c r="V75" s="24" t="s">
        <v>244</v>
      </c>
      <c r="W75" s="115" t="s">
        <v>244</v>
      </c>
      <c r="X75" s="115"/>
      <c r="Y75" s="24" t="s">
        <v>244</v>
      </c>
    </row>
    <row r="76" spans="1:25" x14ac:dyDescent="0.25">
      <c r="A76" s="25" t="s">
        <v>245</v>
      </c>
      <c r="B76" s="19">
        <v>56559011</v>
      </c>
      <c r="C76" s="19">
        <v>56559011</v>
      </c>
      <c r="D76" s="19">
        <v>56559011</v>
      </c>
      <c r="U76" s="23"/>
      <c r="V76" s="27" t="s">
        <v>246</v>
      </c>
      <c r="W76" s="120" t="s">
        <v>246</v>
      </c>
      <c r="X76" s="120"/>
      <c r="Y76" s="27" t="s">
        <v>246</v>
      </c>
    </row>
    <row r="77" spans="1:25" x14ac:dyDescent="0.25">
      <c r="A77" s="28" t="s">
        <v>247</v>
      </c>
      <c r="B77" s="19">
        <v>8053006</v>
      </c>
      <c r="U77" s="30" t="s">
        <v>248</v>
      </c>
      <c r="V77" s="31" t="s">
        <v>249</v>
      </c>
      <c r="W77" s="119" t="s">
        <v>249</v>
      </c>
      <c r="X77" s="119"/>
      <c r="Y77" s="27" t="s">
        <v>250</v>
      </c>
    </row>
    <row r="78" spans="1:25" x14ac:dyDescent="0.25">
      <c r="A78" s="28" t="s">
        <v>251</v>
      </c>
      <c r="B78" s="29">
        <f>SUM(B75:B77)</f>
        <v>64942017</v>
      </c>
      <c r="C78" s="29">
        <f>SUM(C75:C76)</f>
        <v>56889011</v>
      </c>
      <c r="D78" s="29">
        <f>+D75+D76</f>
        <v>56889011</v>
      </c>
      <c r="E78" s="29">
        <v>30000</v>
      </c>
      <c r="U78" s="23" t="s">
        <v>252</v>
      </c>
      <c r="V78" s="55">
        <v>0</v>
      </c>
      <c r="W78" s="115" t="s">
        <v>134</v>
      </c>
      <c r="X78" s="115"/>
      <c r="Y78" s="31" t="s">
        <v>253</v>
      </c>
    </row>
    <row r="79" spans="1:25" x14ac:dyDescent="0.25">
      <c r="A79" s="56" t="s">
        <v>254</v>
      </c>
      <c r="B79" s="29"/>
      <c r="C79" s="19">
        <v>6470494</v>
      </c>
      <c r="E79" s="19">
        <v>4375058</v>
      </c>
      <c r="U79" s="30" t="s">
        <v>255</v>
      </c>
      <c r="V79" s="57">
        <v>0</v>
      </c>
      <c r="W79" s="119" t="s">
        <v>128</v>
      </c>
      <c r="X79" s="119"/>
      <c r="Y79" s="55">
        <v>0</v>
      </c>
    </row>
    <row r="80" spans="1:25" x14ac:dyDescent="0.25">
      <c r="A80" s="28" t="s">
        <v>256</v>
      </c>
      <c r="B80" s="29"/>
      <c r="C80" s="29">
        <f>+C79</f>
        <v>6470494</v>
      </c>
      <c r="D80" s="29"/>
      <c r="E80" s="29">
        <f>+E79</f>
        <v>4375058</v>
      </c>
      <c r="U80" s="36" t="s">
        <v>257</v>
      </c>
      <c r="V80" s="37" t="s">
        <v>249</v>
      </c>
      <c r="W80" s="121" t="s">
        <v>258</v>
      </c>
      <c r="X80" s="121"/>
      <c r="Y80" s="57">
        <v>0</v>
      </c>
    </row>
    <row r="81" spans="1:25" x14ac:dyDescent="0.25">
      <c r="A81" s="34" t="s">
        <v>259</v>
      </c>
      <c r="B81" s="35">
        <f>+B78</f>
        <v>64942017</v>
      </c>
      <c r="C81" s="35">
        <f>+C80+C78</f>
        <v>63359505</v>
      </c>
      <c r="D81" s="35">
        <f>+D78</f>
        <v>56889011</v>
      </c>
      <c r="E81" s="35">
        <f>SUM(E78:E79)</f>
        <v>4405058</v>
      </c>
      <c r="U81" s="23" t="s">
        <v>260</v>
      </c>
      <c r="V81" s="55">
        <v>0</v>
      </c>
      <c r="W81" s="115" t="s">
        <v>261</v>
      </c>
      <c r="X81" s="115"/>
      <c r="Y81" s="37" t="s">
        <v>253</v>
      </c>
    </row>
    <row r="82" spans="1:25" x14ac:dyDescent="0.25">
      <c r="A82" s="22" t="s">
        <v>262</v>
      </c>
      <c r="C82" s="19">
        <v>2107529</v>
      </c>
      <c r="D82" s="19">
        <v>0</v>
      </c>
      <c r="E82" s="19">
        <v>17696067</v>
      </c>
      <c r="U82" s="26" t="s">
        <v>263</v>
      </c>
      <c r="V82" s="27" t="s">
        <v>264</v>
      </c>
      <c r="W82" s="120" t="s">
        <v>265</v>
      </c>
      <c r="X82" s="120"/>
      <c r="Y82" s="55">
        <v>0</v>
      </c>
    </row>
    <row r="83" spans="1:25" ht="12.6" customHeight="1" x14ac:dyDescent="0.25">
      <c r="A83" s="25" t="s">
        <v>266</v>
      </c>
      <c r="B83" s="19">
        <v>1000000</v>
      </c>
      <c r="C83" s="19">
        <v>923850</v>
      </c>
      <c r="D83" s="19">
        <v>1000000</v>
      </c>
      <c r="E83" s="19">
        <v>2024632</v>
      </c>
      <c r="U83" s="30" t="s">
        <v>267</v>
      </c>
      <c r="V83" s="13" t="s">
        <v>268</v>
      </c>
      <c r="W83" s="127" t="s">
        <v>269</v>
      </c>
      <c r="X83" s="127"/>
      <c r="Y83" s="27" t="s">
        <v>264</v>
      </c>
    </row>
    <row r="84" spans="1:25" ht="13.2" customHeight="1" x14ac:dyDescent="0.25">
      <c r="A84" s="22" t="s">
        <v>270</v>
      </c>
      <c r="B84" s="29">
        <f>+B83</f>
        <v>1000000</v>
      </c>
      <c r="C84" s="29">
        <f>+C83+C82</f>
        <v>3031379</v>
      </c>
      <c r="D84" s="29"/>
      <c r="E84" s="29">
        <v>19720699</v>
      </c>
      <c r="U84" s="36" t="s">
        <v>267</v>
      </c>
      <c r="V84" s="31" t="s">
        <v>271</v>
      </c>
      <c r="W84" s="119" t="s">
        <v>272</v>
      </c>
      <c r="X84" s="119"/>
      <c r="Y84" s="13" t="s">
        <v>273</v>
      </c>
    </row>
    <row r="85" spans="1:25" x14ac:dyDescent="0.25">
      <c r="A85" s="28" t="s">
        <v>274</v>
      </c>
      <c r="B85" s="29">
        <v>5700907</v>
      </c>
      <c r="C85" s="29">
        <v>844837</v>
      </c>
      <c r="D85" s="29">
        <v>3391996</v>
      </c>
      <c r="U85" s="36"/>
      <c r="V85" s="37" t="s">
        <v>275</v>
      </c>
      <c r="W85" s="121" t="s">
        <v>276</v>
      </c>
      <c r="X85" s="121"/>
      <c r="Y85" s="31" t="s">
        <v>277</v>
      </c>
    </row>
    <row r="86" spans="1:25" x14ac:dyDescent="0.25">
      <c r="A86" s="42" t="s">
        <v>278</v>
      </c>
      <c r="B86" s="29">
        <f>+B84+B85</f>
        <v>6700907</v>
      </c>
      <c r="C86" s="29">
        <f>+C84+C85</f>
        <v>3876216</v>
      </c>
      <c r="D86" s="29">
        <v>4391996</v>
      </c>
      <c r="E86" s="29">
        <f>+E84</f>
        <v>19720699</v>
      </c>
      <c r="U86" s="23" t="s">
        <v>279</v>
      </c>
      <c r="V86" s="24" t="s">
        <v>280</v>
      </c>
      <c r="W86" s="120" t="s">
        <v>281</v>
      </c>
      <c r="X86" s="120"/>
      <c r="Y86" s="37" t="s">
        <v>282</v>
      </c>
    </row>
    <row r="87" spans="1:25" ht="27.6" x14ac:dyDescent="0.25">
      <c r="A87" s="22" t="s">
        <v>283</v>
      </c>
      <c r="C87" s="29"/>
      <c r="D87" s="29"/>
      <c r="U87" s="26" t="s">
        <v>284</v>
      </c>
      <c r="V87" s="27" t="s">
        <v>285</v>
      </c>
      <c r="W87" s="120" t="s">
        <v>286</v>
      </c>
      <c r="X87" s="120"/>
      <c r="Y87" s="24"/>
    </row>
    <row r="88" spans="1:25" x14ac:dyDescent="0.25">
      <c r="A88" s="25" t="s">
        <v>287</v>
      </c>
      <c r="B88" s="19">
        <v>18039462</v>
      </c>
      <c r="C88" s="19">
        <v>10133324</v>
      </c>
      <c r="D88" s="19">
        <v>8651077</v>
      </c>
      <c r="E88" s="19">
        <v>8586044</v>
      </c>
      <c r="U88" s="26" t="s">
        <v>288</v>
      </c>
      <c r="V88" s="32">
        <v>0</v>
      </c>
      <c r="W88" s="120" t="s">
        <v>289</v>
      </c>
      <c r="X88" s="120"/>
      <c r="Y88" s="58">
        <v>18039462</v>
      </c>
    </row>
    <row r="89" spans="1:25" x14ac:dyDescent="0.25">
      <c r="A89" s="25" t="s">
        <v>290</v>
      </c>
      <c r="B89" s="19">
        <v>0</v>
      </c>
      <c r="C89" s="19">
        <v>581909</v>
      </c>
      <c r="D89" s="19">
        <v>7834307</v>
      </c>
      <c r="E89" s="19">
        <v>6867138</v>
      </c>
      <c r="U89" s="26" t="s">
        <v>291</v>
      </c>
      <c r="V89" s="27" t="s">
        <v>292</v>
      </c>
      <c r="W89" s="120" t="s">
        <v>293</v>
      </c>
      <c r="X89" s="120"/>
      <c r="Y89" s="32">
        <v>0</v>
      </c>
    </row>
    <row r="90" spans="1:25" x14ac:dyDescent="0.25">
      <c r="A90" s="25" t="s">
        <v>294</v>
      </c>
      <c r="B90" s="19">
        <v>7452665</v>
      </c>
      <c r="C90" s="19">
        <v>9209762</v>
      </c>
      <c r="D90" s="19">
        <v>0</v>
      </c>
      <c r="E90" s="19">
        <v>6625685</v>
      </c>
      <c r="U90" s="26" t="s">
        <v>295</v>
      </c>
      <c r="V90" s="27" t="s">
        <v>296</v>
      </c>
      <c r="W90" s="120" t="s">
        <v>297</v>
      </c>
      <c r="X90" s="120"/>
      <c r="Y90" s="27" t="s">
        <v>298</v>
      </c>
    </row>
    <row r="91" spans="1:25" x14ac:dyDescent="0.25">
      <c r="A91" s="25" t="s">
        <v>299</v>
      </c>
      <c r="B91" s="19">
        <v>3033531</v>
      </c>
      <c r="C91" s="19">
        <v>2829683</v>
      </c>
      <c r="D91" s="19">
        <v>7617926</v>
      </c>
      <c r="E91" s="19">
        <v>2574509</v>
      </c>
      <c r="U91" s="26" t="s">
        <v>300</v>
      </c>
      <c r="V91" s="27" t="s">
        <v>301</v>
      </c>
      <c r="W91" s="26"/>
      <c r="X91" s="26"/>
      <c r="Y91" s="27" t="s">
        <v>302</v>
      </c>
    </row>
    <row r="92" spans="1:25" x14ac:dyDescent="0.25">
      <c r="A92" s="25" t="s">
        <v>303</v>
      </c>
      <c r="B92" s="19">
        <v>45379452</v>
      </c>
      <c r="C92" s="19">
        <v>65494254</v>
      </c>
      <c r="D92" s="19">
        <v>4087249</v>
      </c>
      <c r="E92" s="19">
        <v>32820995</v>
      </c>
      <c r="U92" s="30" t="s">
        <v>304</v>
      </c>
      <c r="V92" s="31" t="s">
        <v>305</v>
      </c>
      <c r="W92" s="119" t="s">
        <v>306</v>
      </c>
      <c r="X92" s="119"/>
      <c r="Y92" s="27" t="s">
        <v>307</v>
      </c>
    </row>
    <row r="93" spans="1:25" x14ac:dyDescent="0.25">
      <c r="B93" s="29"/>
      <c r="C93" s="29"/>
      <c r="D93" s="19">
        <v>42319259</v>
      </c>
      <c r="E93" s="19">
        <v>29041865</v>
      </c>
      <c r="U93" s="36" t="s">
        <v>308</v>
      </c>
      <c r="V93" s="53" t="s">
        <v>309</v>
      </c>
      <c r="W93" s="130" t="s">
        <v>310</v>
      </c>
      <c r="X93" s="130"/>
      <c r="Y93" s="59"/>
    </row>
    <row r="94" spans="1:25" x14ac:dyDescent="0.25">
      <c r="A94" s="42" t="s">
        <v>311</v>
      </c>
      <c r="B94" s="29">
        <f>SUM(B88:B93)</f>
        <v>73905110</v>
      </c>
      <c r="C94" s="29">
        <f t="shared" ref="C94" si="1">SUM(C88:C93)</f>
        <v>88248932</v>
      </c>
      <c r="D94" s="29">
        <f>SUM(D88:D93)</f>
        <v>70509818</v>
      </c>
      <c r="E94" s="19">
        <v>86516236</v>
      </c>
      <c r="U94" s="23" t="s">
        <v>312</v>
      </c>
      <c r="V94" s="24" t="s">
        <v>238</v>
      </c>
      <c r="W94" s="120" t="s">
        <v>239</v>
      </c>
      <c r="X94" s="120"/>
      <c r="Y94" s="37" t="s">
        <v>313</v>
      </c>
    </row>
    <row r="95" spans="1:25" x14ac:dyDescent="0.25">
      <c r="A95" s="34" t="s">
        <v>314</v>
      </c>
      <c r="B95" s="35">
        <f>+B94+B86</f>
        <v>80606017</v>
      </c>
      <c r="C95" s="35">
        <f>+C94+C86</f>
        <v>92125148</v>
      </c>
      <c r="D95" s="35">
        <f>+D94+D86</f>
        <v>74901814</v>
      </c>
      <c r="E95" s="35">
        <v>106236935</v>
      </c>
      <c r="U95" s="60"/>
      <c r="V95" s="61"/>
      <c r="W95" s="61"/>
      <c r="X95" s="61"/>
      <c r="Y95" s="37" t="s">
        <v>315</v>
      </c>
    </row>
    <row r="96" spans="1:25" x14ac:dyDescent="0.25">
      <c r="A96" s="34" t="s">
        <v>316</v>
      </c>
      <c r="B96" s="35">
        <f>+B95+B81</f>
        <v>145548034</v>
      </c>
      <c r="C96" s="35">
        <f>+C95+C81</f>
        <v>155484653</v>
      </c>
      <c r="D96" s="35">
        <f>+D95+D81</f>
        <v>131790825</v>
      </c>
      <c r="E96" s="35">
        <v>110641993</v>
      </c>
      <c r="U96" s="16">
        <v>2017</v>
      </c>
      <c r="V96" s="17">
        <v>2018</v>
      </c>
      <c r="W96" s="117">
        <v>2019</v>
      </c>
      <c r="X96" s="117"/>
      <c r="Y96" s="37" t="s">
        <v>240</v>
      </c>
    </row>
    <row r="97" spans="1:25" x14ac:dyDescent="0.25">
      <c r="A97" s="62"/>
      <c r="B97" s="63"/>
      <c r="C97" s="63"/>
      <c r="D97" s="63"/>
      <c r="E97" s="63"/>
      <c r="U97" s="26"/>
      <c r="V97" s="27"/>
      <c r="W97" s="26"/>
      <c r="X97" s="26"/>
      <c r="Y97" s="13"/>
    </row>
    <row r="98" spans="1:25" x14ac:dyDescent="0.25">
      <c r="U98" s="64"/>
      <c r="V98" s="65"/>
      <c r="W98" s="64"/>
      <c r="X98" s="64"/>
      <c r="Y98" s="37"/>
    </row>
    <row r="99" spans="1:25" x14ac:dyDescent="0.25">
      <c r="U99" s="64"/>
      <c r="V99" s="65"/>
      <c r="W99" s="64"/>
      <c r="X99" s="64"/>
      <c r="Y99" s="37"/>
    </row>
    <row r="100" spans="1:25" x14ac:dyDescent="0.25">
      <c r="U100" s="64"/>
      <c r="V100" s="65"/>
      <c r="W100" s="64"/>
      <c r="X100" s="64"/>
      <c r="Y100" s="37"/>
    </row>
    <row r="101" spans="1:25" x14ac:dyDescent="0.25">
      <c r="U101" s="64"/>
      <c r="V101" s="65"/>
      <c r="W101" s="64"/>
      <c r="X101" s="64"/>
      <c r="Y101" s="37"/>
    </row>
    <row r="102" spans="1:25" x14ac:dyDescent="0.25">
      <c r="U102" s="64"/>
      <c r="V102" s="65"/>
      <c r="W102" s="64"/>
      <c r="X102" s="64"/>
      <c r="Y102" s="37"/>
    </row>
    <row r="103" spans="1:25" x14ac:dyDescent="0.25">
      <c r="U103" s="20"/>
      <c r="V103" s="21"/>
      <c r="W103" s="118"/>
      <c r="X103" s="118"/>
      <c r="Y103" s="61"/>
    </row>
    <row r="104" spans="1:25" x14ac:dyDescent="0.25">
      <c r="U104" s="60"/>
      <c r="V104" s="24" t="s">
        <v>317</v>
      </c>
      <c r="W104" s="115" t="s">
        <v>318</v>
      </c>
      <c r="X104" s="115"/>
      <c r="Y104" s="17">
        <v>2020</v>
      </c>
    </row>
    <row r="105" spans="1:25" x14ac:dyDescent="0.25">
      <c r="U105" s="26" t="s">
        <v>319</v>
      </c>
      <c r="V105" s="27" t="s">
        <v>320</v>
      </c>
      <c r="W105" s="120" t="s">
        <v>321</v>
      </c>
      <c r="X105" s="120"/>
      <c r="Y105" s="21"/>
    </row>
    <row r="106" spans="1:25" x14ac:dyDescent="0.25">
      <c r="U106" s="26"/>
      <c r="V106" s="27"/>
      <c r="W106" s="26"/>
      <c r="X106" s="26"/>
      <c r="Y106" s="13"/>
    </row>
    <row r="107" spans="1:25" x14ac:dyDescent="0.25">
      <c r="U107" s="26"/>
      <c r="V107" s="27"/>
      <c r="W107" s="26"/>
      <c r="X107" s="26"/>
      <c r="Y107" s="13"/>
    </row>
    <row r="108" spans="1:25" x14ac:dyDescent="0.25">
      <c r="U108" s="26"/>
      <c r="V108" s="27"/>
      <c r="W108" s="26"/>
      <c r="X108" s="26"/>
      <c r="Y108" s="13"/>
    </row>
    <row r="109" spans="1:25" ht="14.4" customHeight="1" x14ac:dyDescent="0.25">
      <c r="U109" s="26"/>
      <c r="V109" s="27"/>
      <c r="W109" s="26"/>
      <c r="X109" s="26"/>
      <c r="Y109" s="13"/>
    </row>
    <row r="110" spans="1:25" x14ac:dyDescent="0.25">
      <c r="U110" s="26"/>
      <c r="V110" s="27"/>
      <c r="W110" s="26"/>
      <c r="X110" s="26"/>
      <c r="Y110" s="13"/>
    </row>
    <row r="111" spans="1:25" x14ac:dyDescent="0.25">
      <c r="U111" s="26"/>
      <c r="V111" s="27"/>
      <c r="W111" s="26"/>
      <c r="X111" s="26"/>
      <c r="Y111" s="13"/>
    </row>
    <row r="112" spans="1:25" x14ac:dyDescent="0.25">
      <c r="U112" s="26"/>
      <c r="V112" s="27"/>
      <c r="W112" s="26"/>
      <c r="X112" s="26"/>
      <c r="Y112" s="13"/>
    </row>
    <row r="113" spans="1:25" x14ac:dyDescent="0.25">
      <c r="U113" s="26"/>
      <c r="V113" s="27"/>
      <c r="W113" s="26"/>
      <c r="X113" s="26"/>
      <c r="Y113" s="13"/>
    </row>
    <row r="114" spans="1:25" x14ac:dyDescent="0.25">
      <c r="U114" s="26"/>
      <c r="V114" s="27"/>
      <c r="W114" s="26"/>
      <c r="X114" s="26"/>
      <c r="Y114" s="13"/>
    </row>
    <row r="115" spans="1:25" x14ac:dyDescent="0.25">
      <c r="U115" s="26"/>
      <c r="V115" s="27"/>
      <c r="W115" s="26"/>
      <c r="X115" s="26"/>
      <c r="Y115" s="13"/>
    </row>
    <row r="116" spans="1:25" x14ac:dyDescent="0.25">
      <c r="A116" s="62"/>
      <c r="B116" s="63"/>
      <c r="C116" s="63"/>
      <c r="D116" s="63"/>
      <c r="E116" s="63"/>
      <c r="U116" s="26"/>
      <c r="V116" s="27"/>
      <c r="W116" s="26"/>
      <c r="X116" s="26"/>
      <c r="Y116" s="13"/>
    </row>
    <row r="117" spans="1:25" x14ac:dyDescent="0.25">
      <c r="A117" s="62"/>
      <c r="B117" s="63"/>
      <c r="C117" s="63"/>
      <c r="D117" s="63"/>
      <c r="E117" s="63"/>
      <c r="U117" s="26"/>
      <c r="V117" s="27"/>
      <c r="W117" s="26"/>
      <c r="X117" s="26"/>
      <c r="Y117" s="13"/>
    </row>
    <row r="118" spans="1:25" x14ac:dyDescent="0.3">
      <c r="A118" s="62"/>
      <c r="B118" s="66"/>
      <c r="C118" s="66"/>
      <c r="D118" s="66"/>
      <c r="E118" s="66"/>
      <c r="U118" s="26"/>
      <c r="V118" s="27"/>
      <c r="W118" s="26"/>
      <c r="X118" s="26"/>
      <c r="Y118" s="13"/>
    </row>
    <row r="119" spans="1:25" x14ac:dyDescent="0.3">
      <c r="A119" s="62"/>
      <c r="B119" s="66"/>
      <c r="C119" s="66"/>
      <c r="D119" s="66"/>
      <c r="E119" s="66"/>
      <c r="U119" s="26"/>
      <c r="V119" s="27"/>
      <c r="W119" s="26"/>
      <c r="X119" s="26"/>
      <c r="Y119" s="13"/>
    </row>
    <row r="120" spans="1:25" x14ac:dyDescent="0.3">
      <c r="A120" s="62"/>
      <c r="B120" s="66"/>
      <c r="C120" s="66"/>
      <c r="D120" s="66"/>
      <c r="E120" s="66"/>
      <c r="U120" s="26"/>
      <c r="V120" s="27"/>
      <c r="W120" s="26"/>
      <c r="X120" s="26"/>
      <c r="Y120" s="13"/>
    </row>
    <row r="121" spans="1:25" x14ac:dyDescent="0.3">
      <c r="A121" s="62"/>
      <c r="B121" s="66"/>
      <c r="C121" s="66"/>
      <c r="D121" s="66"/>
      <c r="E121" s="66"/>
      <c r="U121" s="26"/>
      <c r="V121" s="27"/>
      <c r="W121" s="26"/>
      <c r="X121" s="26"/>
      <c r="Y121" s="13"/>
    </row>
    <row r="122" spans="1:25" x14ac:dyDescent="0.3">
      <c r="A122" s="62"/>
      <c r="B122" s="66"/>
      <c r="C122" s="66"/>
      <c r="D122" s="66"/>
      <c r="E122" s="66"/>
      <c r="U122" s="26"/>
      <c r="V122" s="27"/>
      <c r="W122" s="26"/>
      <c r="X122" s="26"/>
      <c r="Y122" s="13"/>
    </row>
    <row r="123" spans="1:25" x14ac:dyDescent="0.3">
      <c r="A123" s="62"/>
      <c r="B123" s="66"/>
      <c r="C123" s="66"/>
      <c r="D123" s="66"/>
      <c r="E123" s="66"/>
      <c r="U123" s="26"/>
      <c r="V123" s="27"/>
      <c r="W123" s="26"/>
      <c r="X123" s="26"/>
      <c r="Y123" s="13"/>
    </row>
    <row r="124" spans="1:25" x14ac:dyDescent="0.3">
      <c r="A124" s="62"/>
      <c r="B124" s="66"/>
      <c r="C124" s="66"/>
      <c r="D124" s="66"/>
      <c r="E124" s="66"/>
      <c r="U124" s="26"/>
      <c r="V124" s="27"/>
      <c r="W124" s="26"/>
      <c r="X124" s="26"/>
      <c r="Y124" s="13"/>
    </row>
    <row r="125" spans="1:25" x14ac:dyDescent="0.3">
      <c r="A125" s="62"/>
      <c r="B125" s="66"/>
      <c r="C125" s="66"/>
      <c r="D125" s="66"/>
      <c r="E125" s="66"/>
      <c r="U125" s="26"/>
      <c r="V125" s="27"/>
      <c r="W125" s="26"/>
      <c r="X125" s="26"/>
      <c r="Y125" s="13"/>
    </row>
    <row r="126" spans="1:25" x14ac:dyDescent="0.3">
      <c r="A126" s="62"/>
      <c r="B126" s="66"/>
      <c r="C126" s="66"/>
      <c r="D126" s="66"/>
      <c r="E126" s="66"/>
      <c r="U126" s="26"/>
      <c r="V126" s="27"/>
      <c r="W126" s="26"/>
      <c r="X126" s="26"/>
      <c r="Y126" s="13"/>
    </row>
    <row r="127" spans="1:25" x14ac:dyDescent="0.3">
      <c r="A127" s="62"/>
      <c r="B127" s="66"/>
      <c r="C127" s="66"/>
      <c r="D127" s="66"/>
      <c r="E127" s="66"/>
      <c r="U127" s="26"/>
      <c r="V127" s="27"/>
      <c r="W127" s="26"/>
      <c r="X127" s="26"/>
      <c r="Y127" s="13"/>
    </row>
    <row r="128" spans="1:25" x14ac:dyDescent="0.3">
      <c r="A128" s="62"/>
      <c r="B128" s="66"/>
      <c r="C128" s="66"/>
      <c r="D128" s="66"/>
      <c r="E128" s="66"/>
      <c r="U128" s="26"/>
      <c r="V128" s="27"/>
      <c r="W128" s="26"/>
      <c r="X128" s="26"/>
      <c r="Y128" s="13"/>
    </row>
    <row r="129" spans="1:25" x14ac:dyDescent="0.3">
      <c r="A129" s="62"/>
      <c r="B129" s="66"/>
      <c r="C129" s="66"/>
      <c r="D129" s="66"/>
      <c r="E129" s="66"/>
      <c r="U129" s="26"/>
      <c r="V129" s="27"/>
      <c r="W129" s="26"/>
      <c r="X129" s="26"/>
      <c r="Y129" s="13"/>
    </row>
    <row r="130" spans="1:25" x14ac:dyDescent="0.3">
      <c r="A130" s="62"/>
      <c r="B130" s="66"/>
      <c r="C130" s="66"/>
      <c r="D130" s="66"/>
      <c r="E130" s="66"/>
      <c r="U130" s="26"/>
      <c r="V130" s="27"/>
      <c r="W130" s="26"/>
      <c r="X130" s="26"/>
      <c r="Y130" s="13"/>
    </row>
    <row r="131" spans="1:25" x14ac:dyDescent="0.3">
      <c r="A131" s="62"/>
      <c r="B131" s="66"/>
      <c r="C131" s="66"/>
      <c r="D131" s="66"/>
      <c r="E131" s="66"/>
      <c r="U131" s="26"/>
      <c r="V131" s="27"/>
      <c r="W131" s="26"/>
      <c r="X131" s="26"/>
      <c r="Y131" s="13"/>
    </row>
    <row r="132" spans="1:25" x14ac:dyDescent="0.3">
      <c r="A132" s="62"/>
      <c r="B132" s="66"/>
      <c r="C132" s="66"/>
      <c r="D132" s="66"/>
      <c r="E132" s="66"/>
      <c r="U132" s="26"/>
      <c r="V132" s="27"/>
      <c r="W132" s="26"/>
      <c r="X132" s="26"/>
      <c r="Y132" s="13"/>
    </row>
    <row r="133" spans="1:25" x14ac:dyDescent="0.3">
      <c r="A133" s="62"/>
      <c r="B133" s="66"/>
      <c r="C133" s="66"/>
      <c r="D133" s="66"/>
      <c r="E133" s="66"/>
      <c r="U133" s="26"/>
      <c r="V133" s="27"/>
      <c r="W133" s="26"/>
      <c r="X133" s="26"/>
      <c r="Y133" s="13"/>
    </row>
    <row r="134" spans="1:25" x14ac:dyDescent="0.3">
      <c r="A134" s="62"/>
      <c r="B134" s="66"/>
      <c r="C134" s="66"/>
      <c r="D134" s="66"/>
      <c r="E134" s="66"/>
      <c r="U134" s="26"/>
      <c r="V134" s="27"/>
      <c r="W134" s="26"/>
      <c r="X134" s="26"/>
      <c r="Y134" s="13"/>
    </row>
    <row r="135" spans="1:25" x14ac:dyDescent="0.3">
      <c r="A135" s="62"/>
      <c r="B135" s="66"/>
      <c r="C135" s="66"/>
      <c r="D135" s="66"/>
      <c r="E135" s="66"/>
      <c r="U135" s="26"/>
      <c r="V135" s="27"/>
      <c r="W135" s="26"/>
      <c r="X135" s="26"/>
      <c r="Y135" s="13"/>
    </row>
    <row r="136" spans="1:25" x14ac:dyDescent="0.3">
      <c r="A136" s="62"/>
      <c r="B136" s="66"/>
      <c r="C136" s="66"/>
      <c r="D136" s="66"/>
      <c r="E136" s="66"/>
      <c r="U136" s="26"/>
      <c r="V136" s="27"/>
      <c r="W136" s="26"/>
      <c r="X136" s="26"/>
      <c r="Y136" s="13"/>
    </row>
    <row r="137" spans="1:25" x14ac:dyDescent="0.3">
      <c r="A137" s="62"/>
      <c r="B137" s="66"/>
      <c r="C137" s="66"/>
      <c r="D137" s="66"/>
      <c r="E137" s="66"/>
      <c r="U137" s="26"/>
      <c r="V137" s="27"/>
      <c r="W137" s="26"/>
      <c r="X137" s="26"/>
      <c r="Y137" s="13"/>
    </row>
    <row r="138" spans="1:25" x14ac:dyDescent="0.3">
      <c r="A138" s="62"/>
      <c r="B138" s="66"/>
      <c r="C138" s="66"/>
      <c r="D138" s="66"/>
      <c r="E138" s="66"/>
      <c r="U138" s="26"/>
      <c r="V138" s="27"/>
      <c r="W138" s="26"/>
      <c r="X138" s="26"/>
      <c r="Y138" s="13"/>
    </row>
    <row r="139" spans="1:25" x14ac:dyDescent="0.25">
      <c r="A139" s="42"/>
      <c r="B139" s="29"/>
      <c r="C139" s="29"/>
      <c r="D139" s="29"/>
      <c r="E139" s="29"/>
      <c r="U139" s="26" t="s">
        <v>322</v>
      </c>
      <c r="V139" s="31" t="s">
        <v>323</v>
      </c>
      <c r="W139" s="119" t="s">
        <v>324</v>
      </c>
      <c r="X139" s="119"/>
      <c r="Y139" s="24" t="s">
        <v>325</v>
      </c>
    </row>
  </sheetData>
  <mergeCells count="81">
    <mergeCell ref="W104:X104"/>
    <mergeCell ref="W105:X105"/>
    <mergeCell ref="W139:X139"/>
    <mergeCell ref="W103:X103"/>
    <mergeCell ref="W84:X84"/>
    <mergeCell ref="W85:X85"/>
    <mergeCell ref="W86:X86"/>
    <mergeCell ref="W87:X87"/>
    <mergeCell ref="W88:X88"/>
    <mergeCell ref="W89:X89"/>
    <mergeCell ref="W90:X90"/>
    <mergeCell ref="W92:X92"/>
    <mergeCell ref="W93:X93"/>
    <mergeCell ref="W94:X94"/>
    <mergeCell ref="W96:X96"/>
    <mergeCell ref="W83:X83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1:X81"/>
    <mergeCell ref="W82:X82"/>
    <mergeCell ref="W71:X71"/>
    <mergeCell ref="W59:X59"/>
    <mergeCell ref="W60:X60"/>
    <mergeCell ref="W61:X61"/>
    <mergeCell ref="W62:X62"/>
    <mergeCell ref="W63:X63"/>
    <mergeCell ref="W65:X65"/>
    <mergeCell ref="W66:X66"/>
    <mergeCell ref="W67:X67"/>
    <mergeCell ref="W68:X68"/>
    <mergeCell ref="W69:X69"/>
    <mergeCell ref="W70:X70"/>
    <mergeCell ref="W58:X58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46:X46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34:X34"/>
    <mergeCell ref="W22:X22"/>
    <mergeCell ref="W23:X23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21:X21"/>
    <mergeCell ref="A1:E1"/>
    <mergeCell ref="A5:E5"/>
    <mergeCell ref="A12:E12"/>
    <mergeCell ref="W19:X19"/>
    <mergeCell ref="W20:X20"/>
  </mergeCells>
  <pageMargins left="0.7" right="0.7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1"/>
  <sheetViews>
    <sheetView zoomScaleNormal="100" workbookViewId="0">
      <selection activeCell="N30" sqref="N30"/>
    </sheetView>
  </sheetViews>
  <sheetFormatPr defaultColWidth="11.5546875" defaultRowHeight="14.4" x14ac:dyDescent="0.3"/>
  <cols>
    <col min="1" max="1" width="4.88671875" style="67" customWidth="1"/>
    <col min="2" max="2" width="9.88671875" style="67" customWidth="1"/>
    <col min="3" max="3" width="4.21875" style="67" customWidth="1"/>
    <col min="4" max="4" width="8.21875" style="67" customWidth="1"/>
    <col min="5" max="5" width="10" style="67" customWidth="1"/>
    <col min="6" max="6" width="5.77734375" style="67" customWidth="1"/>
    <col min="7" max="7" width="10.33203125" style="67" customWidth="1"/>
    <col min="8" max="9" width="7" style="67" customWidth="1"/>
    <col min="10" max="10" width="9.88671875" style="67" customWidth="1"/>
    <col min="11" max="11" width="18.21875" style="67" customWidth="1"/>
    <col min="12" max="12" width="4.77734375" style="67" customWidth="1"/>
    <col min="13" max="24" width="11.5546875" style="67"/>
    <col min="25" max="25" width="9.6640625" style="67" customWidth="1"/>
    <col min="26" max="16384" width="11.5546875" style="67"/>
  </cols>
  <sheetData>
    <row r="1" spans="2:25" ht="18" customHeight="1" x14ac:dyDescent="0.3">
      <c r="B1" s="136" t="s">
        <v>336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O1" s="136" t="s">
        <v>336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2:25" ht="18" customHeight="1" x14ac:dyDescent="0.3">
      <c r="B2" s="156" t="s">
        <v>354</v>
      </c>
      <c r="C2" s="157"/>
      <c r="D2" s="157"/>
      <c r="E2" s="68"/>
      <c r="F2" s="68"/>
      <c r="G2" s="68"/>
      <c r="H2" s="68"/>
      <c r="I2" s="68"/>
      <c r="J2" s="68"/>
      <c r="K2" s="179">
        <v>2020</v>
      </c>
      <c r="L2" s="179"/>
      <c r="O2" s="156" t="s">
        <v>354</v>
      </c>
      <c r="P2" s="157"/>
      <c r="Q2" s="157"/>
      <c r="R2" s="68"/>
      <c r="S2" s="68"/>
      <c r="T2" s="68"/>
      <c r="U2" s="68"/>
      <c r="V2" s="68"/>
      <c r="W2" s="68"/>
      <c r="X2" s="179">
        <v>2021</v>
      </c>
      <c r="Y2" s="179"/>
    </row>
    <row r="3" spans="2:25" x14ac:dyDescent="0.3">
      <c r="B3" s="68"/>
      <c r="C3" s="68"/>
      <c r="D3" s="68"/>
      <c r="E3" s="137" t="s">
        <v>326</v>
      </c>
      <c r="F3" s="137"/>
      <c r="G3" s="68"/>
      <c r="H3" s="68"/>
      <c r="I3" s="68"/>
      <c r="J3" s="68"/>
      <c r="K3" s="68"/>
      <c r="L3" s="68"/>
      <c r="O3" s="88"/>
      <c r="P3" s="88"/>
      <c r="Q3" s="88"/>
      <c r="R3" s="158" t="s">
        <v>326</v>
      </c>
      <c r="S3" s="158"/>
      <c r="T3" s="88"/>
      <c r="U3" s="88"/>
      <c r="V3" s="88"/>
      <c r="W3" s="68"/>
      <c r="X3" s="68"/>
      <c r="Y3" s="68"/>
    </row>
    <row r="4" spans="2:25" x14ac:dyDescent="0.3">
      <c r="B4" s="68"/>
      <c r="C4" s="68"/>
      <c r="D4" s="68"/>
      <c r="E4" s="137"/>
      <c r="F4" s="137"/>
      <c r="G4" s="68"/>
      <c r="H4" s="134" t="s">
        <v>327</v>
      </c>
      <c r="I4" s="135"/>
      <c r="J4" s="68"/>
      <c r="K4" s="180" t="s">
        <v>361</v>
      </c>
      <c r="L4" s="180"/>
      <c r="O4" s="88"/>
      <c r="P4" s="88"/>
      <c r="Q4" s="88"/>
      <c r="R4" s="158"/>
      <c r="S4" s="158"/>
      <c r="T4" s="88"/>
      <c r="U4" s="159" t="s">
        <v>327</v>
      </c>
      <c r="V4" s="160"/>
      <c r="W4" s="68"/>
      <c r="X4" s="68"/>
      <c r="Y4" s="68"/>
    </row>
    <row r="5" spans="2:25" ht="14.4" customHeight="1" x14ac:dyDescent="0.3">
      <c r="B5" s="68"/>
      <c r="C5" s="68"/>
      <c r="D5" s="68"/>
      <c r="E5" s="138">
        <f>+H5/H10</f>
        <v>1.3441340474763792</v>
      </c>
      <c r="F5" s="139"/>
      <c r="G5" s="69">
        <f>+J5/H10</f>
        <v>1.5993887202023347</v>
      </c>
      <c r="H5" s="142">
        <f>+'DEL A Regnskap'!B23/1000</f>
        <v>202314.14199999999</v>
      </c>
      <c r="I5" s="143"/>
      <c r="J5" s="70">
        <f>+H5+J6</f>
        <v>240734.14199999999</v>
      </c>
      <c r="K5" s="180"/>
      <c r="L5" s="180"/>
      <c r="N5" s="87"/>
      <c r="O5" s="88"/>
      <c r="P5" s="88"/>
      <c r="Q5" s="88"/>
      <c r="R5" s="161">
        <f>+U5/U10</f>
        <v>1.675977759577516</v>
      </c>
      <c r="S5" s="162"/>
      <c r="T5" s="89">
        <f>+W5/U10</f>
        <v>1.8500267259149767</v>
      </c>
      <c r="U5" s="165">
        <f>+'DEL A Regnskap'!C23/1000</f>
        <v>240733.65599999999</v>
      </c>
      <c r="V5" s="166"/>
      <c r="W5" s="70">
        <f>+U5+W6</f>
        <v>265733.65599999996</v>
      </c>
      <c r="X5" s="154" t="s">
        <v>355</v>
      </c>
      <c r="Y5" s="154"/>
    </row>
    <row r="6" spans="2:25" x14ac:dyDescent="0.3">
      <c r="B6" s="68"/>
      <c r="C6" s="68"/>
      <c r="D6" s="68"/>
      <c r="E6" s="140"/>
      <c r="F6" s="141"/>
      <c r="G6" s="71">
        <f>+H5/J10</f>
        <v>1.6478579665598136</v>
      </c>
      <c r="H6" s="144"/>
      <c r="I6" s="145"/>
      <c r="J6" s="72">
        <v>38420</v>
      </c>
      <c r="K6" s="180"/>
      <c r="L6" s="180"/>
      <c r="M6" s="79">
        <f>+U5-H5</f>
        <v>38419.513999999996</v>
      </c>
      <c r="O6" s="88"/>
      <c r="P6" s="88"/>
      <c r="Q6" s="88"/>
      <c r="R6" s="163"/>
      <c r="S6" s="164"/>
      <c r="T6" s="90">
        <f>+U5/W10</f>
        <v>2.0291490551754361</v>
      </c>
      <c r="U6" s="167"/>
      <c r="V6" s="168"/>
      <c r="W6" s="72">
        <v>25000</v>
      </c>
      <c r="X6" s="154"/>
      <c r="Y6" s="154"/>
    </row>
    <row r="7" spans="2:25" x14ac:dyDescent="0.3">
      <c r="B7" s="68"/>
      <c r="C7" s="68"/>
      <c r="D7" s="68"/>
      <c r="E7" s="73" t="s">
        <v>328</v>
      </c>
      <c r="F7" s="74"/>
      <c r="G7" s="68"/>
      <c r="H7" s="131" t="s">
        <v>329</v>
      </c>
      <c r="I7" s="131"/>
      <c r="J7" s="68"/>
      <c r="K7" s="180"/>
      <c r="L7" s="180"/>
      <c r="O7" s="88"/>
      <c r="P7" s="88"/>
      <c r="Q7" s="88"/>
      <c r="R7" s="73" t="s">
        <v>328</v>
      </c>
      <c r="S7" s="74"/>
      <c r="T7" s="88"/>
      <c r="U7" s="182" t="s">
        <v>329</v>
      </c>
      <c r="V7" s="182"/>
      <c r="W7" s="68"/>
      <c r="X7" s="154"/>
      <c r="Y7" s="154"/>
    </row>
    <row r="8" spans="2:25" x14ac:dyDescent="0.3">
      <c r="B8" s="68"/>
      <c r="C8" s="68"/>
      <c r="D8" s="68"/>
      <c r="E8" s="133" t="s">
        <v>330</v>
      </c>
      <c r="F8" s="133"/>
      <c r="G8" s="68"/>
      <c r="H8" s="132"/>
      <c r="I8" s="132"/>
      <c r="J8" s="68"/>
      <c r="K8" s="180"/>
      <c r="L8" s="180"/>
      <c r="O8" s="88"/>
      <c r="P8" s="88"/>
      <c r="Q8" s="88"/>
      <c r="R8" s="184" t="s">
        <v>330</v>
      </c>
      <c r="S8" s="184"/>
      <c r="T8" s="88"/>
      <c r="U8" s="183"/>
      <c r="V8" s="183"/>
      <c r="W8" s="68"/>
      <c r="X8" s="154"/>
      <c r="Y8" s="154"/>
    </row>
    <row r="9" spans="2:25" ht="14.4" customHeight="1" x14ac:dyDescent="0.3">
      <c r="B9" s="68"/>
      <c r="C9" s="68"/>
      <c r="D9" s="68"/>
      <c r="E9" s="133"/>
      <c r="F9" s="133"/>
      <c r="G9" s="68"/>
      <c r="H9" s="134" t="s">
        <v>331</v>
      </c>
      <c r="I9" s="135"/>
      <c r="J9" s="72">
        <f>+('DEL A Regnskap'!H6-'DEL A Regnskap'!B6)/1000</f>
        <v>-45548.034</v>
      </c>
      <c r="K9" s="181" t="s">
        <v>359</v>
      </c>
      <c r="L9" s="181"/>
      <c r="O9" s="88"/>
      <c r="P9" s="88"/>
      <c r="Q9" s="88"/>
      <c r="R9" s="184"/>
      <c r="S9" s="184"/>
      <c r="T9" s="88"/>
      <c r="U9" s="159" t="s">
        <v>331</v>
      </c>
      <c r="V9" s="160"/>
      <c r="W9" s="72">
        <v>-25000</v>
      </c>
      <c r="X9" s="185" t="s">
        <v>356</v>
      </c>
      <c r="Y9" s="185"/>
    </row>
    <row r="10" spans="2:25" ht="14.4" customHeight="1" x14ac:dyDescent="0.3">
      <c r="B10" s="137" t="s">
        <v>332</v>
      </c>
      <c r="C10" s="137"/>
      <c r="D10" s="68"/>
      <c r="E10" s="133"/>
      <c r="F10" s="133"/>
      <c r="G10" s="68"/>
      <c r="H10" s="142">
        <f>+'DEL A Regnskap'!B7/1000</f>
        <v>150516.34349999999</v>
      </c>
      <c r="I10" s="143"/>
      <c r="J10" s="146">
        <f>+'DEL A Regnskap'!H7/1000</f>
        <v>122774.01700000001</v>
      </c>
      <c r="K10" s="181"/>
      <c r="L10" s="181"/>
      <c r="N10" s="75"/>
      <c r="O10" s="158" t="s">
        <v>332</v>
      </c>
      <c r="P10" s="158"/>
      <c r="Q10" s="88"/>
      <c r="R10" s="184"/>
      <c r="S10" s="184"/>
      <c r="T10" s="88"/>
      <c r="U10" s="165">
        <f>+'DEL A Regnskap'!C7/1000</f>
        <v>143637.739</v>
      </c>
      <c r="V10" s="166"/>
      <c r="W10" s="146">
        <f>+U10+W9</f>
        <v>118637.739</v>
      </c>
      <c r="X10" s="185"/>
      <c r="Y10" s="185"/>
    </row>
    <row r="11" spans="2:25" ht="14.4" customHeight="1" x14ac:dyDescent="0.3">
      <c r="B11" s="137"/>
      <c r="C11" s="137"/>
      <c r="D11" s="68"/>
      <c r="E11" s="133"/>
      <c r="F11" s="133"/>
      <c r="G11" s="68"/>
      <c r="H11" s="144"/>
      <c r="I11" s="145"/>
      <c r="J11" s="147"/>
      <c r="K11" s="181"/>
      <c r="L11" s="181"/>
      <c r="O11" s="158"/>
      <c r="P11" s="158"/>
      <c r="Q11" s="88"/>
      <c r="R11" s="184"/>
      <c r="S11" s="184"/>
      <c r="T11" s="88"/>
      <c r="U11" s="167"/>
      <c r="V11" s="168"/>
      <c r="W11" s="147"/>
      <c r="X11" s="185"/>
      <c r="Y11" s="185"/>
    </row>
    <row r="12" spans="2:25" x14ac:dyDescent="0.3">
      <c r="B12" s="148" t="s">
        <v>6</v>
      </c>
      <c r="C12" s="149"/>
      <c r="D12" s="91">
        <f>+G5*D17</f>
        <v>0.13005662257959263</v>
      </c>
      <c r="E12" s="133"/>
      <c r="F12" s="133"/>
      <c r="G12" s="68"/>
      <c r="H12" s="68"/>
      <c r="I12" s="68"/>
      <c r="J12" s="68"/>
      <c r="K12" s="181"/>
      <c r="L12" s="181"/>
      <c r="O12" s="148" t="s">
        <v>6</v>
      </c>
      <c r="P12" s="149"/>
      <c r="Q12" s="91">
        <f>+T5*R16</f>
        <v>0.12706730919769996</v>
      </c>
      <c r="R12" s="184"/>
      <c r="S12" s="184"/>
      <c r="T12" s="88"/>
      <c r="U12" s="88"/>
      <c r="V12" s="88"/>
      <c r="W12" s="68"/>
      <c r="X12" s="185"/>
      <c r="Y12" s="185"/>
    </row>
    <row r="13" spans="2:25" ht="17.399999999999999" customHeight="1" x14ac:dyDescent="0.3">
      <c r="B13" s="150">
        <f>+E5*E16</f>
        <v>2.7209397363549426E-2</v>
      </c>
      <c r="C13" s="151"/>
      <c r="D13" s="92">
        <f>+G6*E16</f>
        <v>3.3357701410063008E-2</v>
      </c>
      <c r="E13" s="133"/>
      <c r="F13" s="133"/>
      <c r="G13" s="68"/>
      <c r="H13" s="137" t="s">
        <v>333</v>
      </c>
      <c r="I13" s="137"/>
      <c r="J13" s="68"/>
      <c r="K13" s="181"/>
      <c r="L13" s="181"/>
      <c r="O13" s="175">
        <f>+R5*R16</f>
        <v>0.11511292307378913</v>
      </c>
      <c r="P13" s="176"/>
      <c r="Q13" s="92">
        <f>+T6*R16</f>
        <v>0.13937015438232517</v>
      </c>
      <c r="R13" s="184"/>
      <c r="S13" s="184"/>
      <c r="T13" s="88"/>
      <c r="U13" s="158" t="s">
        <v>333</v>
      </c>
      <c r="V13" s="158"/>
      <c r="W13" s="68"/>
      <c r="X13" s="185"/>
      <c r="Y13" s="185"/>
    </row>
    <row r="14" spans="2:25" ht="24.6" customHeight="1" x14ac:dyDescent="0.3">
      <c r="B14" s="152"/>
      <c r="C14" s="153"/>
      <c r="D14" s="68"/>
      <c r="E14" s="132"/>
      <c r="F14" s="132"/>
      <c r="G14" s="68"/>
      <c r="H14" s="137"/>
      <c r="I14" s="137"/>
      <c r="J14" s="68"/>
      <c r="K14" s="181"/>
      <c r="L14" s="181"/>
      <c r="O14" s="177"/>
      <c r="P14" s="178"/>
      <c r="Q14" s="88"/>
      <c r="R14" s="183"/>
      <c r="S14" s="183"/>
      <c r="T14" s="88"/>
      <c r="U14" s="158"/>
      <c r="V14" s="158"/>
      <c r="W14" s="68"/>
      <c r="X14" s="68"/>
      <c r="Y14" s="68"/>
    </row>
    <row r="15" spans="2:25" x14ac:dyDescent="0.3">
      <c r="B15" s="68"/>
      <c r="C15" s="68"/>
      <c r="D15" s="68"/>
      <c r="E15" s="134" t="s">
        <v>334</v>
      </c>
      <c r="F15" s="135"/>
      <c r="G15" s="68"/>
      <c r="H15" s="142">
        <f>+('DEL A Regnskap'!B43+'DEL A Regnskap'!B41)/1000</f>
        <v>4095.4589999999998</v>
      </c>
      <c r="I15" s="143"/>
      <c r="J15" s="70">
        <f>+('DEL A Regnskap'!H43+'DEL A Regnskap'!B41)/1000</f>
        <v>19575.647278639823</v>
      </c>
      <c r="K15" s="68"/>
      <c r="L15" s="68"/>
      <c r="O15" s="88"/>
      <c r="P15" s="88"/>
      <c r="Q15" s="88"/>
      <c r="R15" s="159" t="s">
        <v>334</v>
      </c>
      <c r="S15" s="160"/>
      <c r="T15" s="88"/>
      <c r="U15" s="165">
        <f>+('DEL A Regnskap'!C43+'DEL A Regnskap'!C41)/1000</f>
        <v>16534.560000000001</v>
      </c>
      <c r="V15" s="166"/>
      <c r="W15" s="68"/>
      <c r="X15" s="68"/>
      <c r="Y15" s="68"/>
    </row>
    <row r="16" spans="2:25" x14ac:dyDescent="0.3">
      <c r="B16" s="68"/>
      <c r="C16" s="68"/>
      <c r="D16" s="68"/>
      <c r="E16" s="169">
        <f>+H15/H20</f>
        <v>2.0243068326879492E-2</v>
      </c>
      <c r="F16" s="170"/>
      <c r="G16" s="68"/>
      <c r="H16" s="144"/>
      <c r="I16" s="145"/>
      <c r="J16" s="72"/>
      <c r="K16" s="68"/>
      <c r="L16" s="68"/>
      <c r="O16" s="88"/>
      <c r="P16" s="88"/>
      <c r="Q16" s="88"/>
      <c r="R16" s="169">
        <f>+U15/U20</f>
        <v>6.8684039758861143E-2</v>
      </c>
      <c r="S16" s="170"/>
      <c r="T16" s="88"/>
      <c r="U16" s="167"/>
      <c r="V16" s="168"/>
      <c r="W16" s="68"/>
      <c r="X16" s="68"/>
      <c r="Y16" s="68"/>
    </row>
    <row r="17" spans="2:25" x14ac:dyDescent="0.3">
      <c r="B17" s="68"/>
      <c r="C17" s="68"/>
      <c r="D17" s="91">
        <f>+J15/J20</f>
        <v>8.1316456053997621E-2</v>
      </c>
      <c r="E17" s="171"/>
      <c r="F17" s="172"/>
      <c r="G17" s="68"/>
      <c r="H17" s="131" t="s">
        <v>329</v>
      </c>
      <c r="I17" s="131"/>
      <c r="J17" s="68"/>
      <c r="K17" s="68"/>
      <c r="L17" s="68"/>
      <c r="O17" s="88"/>
      <c r="P17" s="88"/>
      <c r="Q17" s="88"/>
      <c r="R17" s="171"/>
      <c r="S17" s="172"/>
      <c r="T17" s="88"/>
      <c r="U17" s="182" t="s">
        <v>329</v>
      </c>
      <c r="V17" s="182"/>
      <c r="W17" s="68"/>
      <c r="X17" s="68"/>
      <c r="Y17" s="68"/>
    </row>
    <row r="18" spans="2:25" x14ac:dyDescent="0.3">
      <c r="B18" s="68"/>
      <c r="C18" s="68"/>
      <c r="D18" s="68"/>
      <c r="E18" s="173" t="s">
        <v>335</v>
      </c>
      <c r="F18" s="173"/>
      <c r="G18" s="68"/>
      <c r="H18" s="132"/>
      <c r="I18" s="132"/>
      <c r="J18" s="68"/>
      <c r="K18" s="68"/>
      <c r="L18" s="68"/>
      <c r="O18" s="88"/>
      <c r="P18" s="88"/>
      <c r="Q18" s="88"/>
      <c r="R18" s="173" t="s">
        <v>335</v>
      </c>
      <c r="S18" s="173"/>
      <c r="T18" s="88"/>
      <c r="U18" s="183"/>
      <c r="V18" s="183"/>
      <c r="W18" s="68"/>
      <c r="X18" s="68"/>
      <c r="Y18" s="68"/>
    </row>
    <row r="19" spans="2:25" x14ac:dyDescent="0.3">
      <c r="B19" s="68"/>
      <c r="C19" s="68"/>
      <c r="D19" s="68"/>
      <c r="E19" s="174"/>
      <c r="F19" s="174"/>
      <c r="G19" s="68"/>
      <c r="H19" s="134" t="str">
        <f>+H4</f>
        <v>Driftsinntekter</v>
      </c>
      <c r="I19" s="135"/>
      <c r="J19" s="68"/>
      <c r="K19" s="68"/>
      <c r="L19" s="68"/>
      <c r="O19" s="88"/>
      <c r="P19" s="88"/>
      <c r="Q19" s="88"/>
      <c r="R19" s="174"/>
      <c r="S19" s="174"/>
      <c r="T19" s="88"/>
      <c r="U19" s="159" t="str">
        <f>+U4</f>
        <v>Driftsinntekter</v>
      </c>
      <c r="V19" s="160"/>
      <c r="W19" s="68"/>
      <c r="X19" s="68"/>
      <c r="Y19" s="68"/>
    </row>
    <row r="20" spans="2:25" x14ac:dyDescent="0.3">
      <c r="B20" s="68"/>
      <c r="C20" s="68"/>
      <c r="D20" s="68"/>
      <c r="E20" s="174"/>
      <c r="F20" s="174"/>
      <c r="G20" s="68"/>
      <c r="H20" s="142">
        <f>+'DEL A Regnskap'!B23/1000</f>
        <v>202314.14199999999</v>
      </c>
      <c r="I20" s="143"/>
      <c r="J20" s="70">
        <f>+J5</f>
        <v>240734.14199999999</v>
      </c>
      <c r="K20" s="68"/>
      <c r="L20" s="68"/>
      <c r="O20" s="88"/>
      <c r="P20" s="88"/>
      <c r="Q20" s="88"/>
      <c r="R20" s="174"/>
      <c r="S20" s="174"/>
      <c r="T20" s="88"/>
      <c r="U20" s="165">
        <f>+U5</f>
        <v>240733.65599999999</v>
      </c>
      <c r="V20" s="166"/>
      <c r="W20" s="68"/>
      <c r="X20" s="68"/>
      <c r="Y20" s="68"/>
    </row>
    <row r="21" spans="2:25" x14ac:dyDescent="0.3">
      <c r="B21" s="68"/>
      <c r="C21" s="68"/>
      <c r="D21" s="68"/>
      <c r="E21" s="174"/>
      <c r="F21" s="174"/>
      <c r="G21" s="68"/>
      <c r="H21" s="144"/>
      <c r="I21" s="145"/>
      <c r="J21" s="72">
        <f>+J6</f>
        <v>38420</v>
      </c>
      <c r="K21" s="68"/>
      <c r="L21" s="68"/>
      <c r="O21" s="88"/>
      <c r="P21" s="88"/>
      <c r="Q21" s="88"/>
      <c r="R21" s="174"/>
      <c r="S21" s="174"/>
      <c r="T21" s="88"/>
      <c r="U21" s="167"/>
      <c r="V21" s="168"/>
      <c r="W21" s="68"/>
      <c r="X21" s="68"/>
      <c r="Y21" s="68"/>
    </row>
    <row r="22" spans="2:25" x14ac:dyDescent="0.3">
      <c r="B22" s="68"/>
      <c r="C22" s="68"/>
      <c r="D22" s="68"/>
      <c r="E22" s="76"/>
      <c r="F22" s="76"/>
      <c r="G22" s="68"/>
      <c r="H22" s="77"/>
      <c r="I22" s="77"/>
      <c r="J22" s="68"/>
      <c r="K22" s="68"/>
      <c r="L22" s="68"/>
    </row>
    <row r="23" spans="2:25" x14ac:dyDescent="0.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 ht="14.4" customHeight="1" x14ac:dyDescent="0.3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78"/>
    </row>
    <row r="25" spans="2:25" x14ac:dyDescent="0.3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78"/>
    </row>
    <row r="26" spans="2:25" x14ac:dyDescent="0.3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68"/>
    </row>
    <row r="27" spans="2:25" x14ac:dyDescent="0.3"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68"/>
    </row>
    <row r="28" spans="2:25" x14ac:dyDescent="0.3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2:25" x14ac:dyDescent="0.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1" spans="2:25" ht="18" customHeight="1" x14ac:dyDescent="0.3"/>
  </sheetData>
  <mergeCells count="52">
    <mergeCell ref="X2:Y2"/>
    <mergeCell ref="K4:L8"/>
    <mergeCell ref="K9:L14"/>
    <mergeCell ref="R15:S15"/>
    <mergeCell ref="U15:V16"/>
    <mergeCell ref="R16:S17"/>
    <mergeCell ref="U17:V18"/>
    <mergeCell ref="R18:S21"/>
    <mergeCell ref="U19:V19"/>
    <mergeCell ref="U20:V21"/>
    <mergeCell ref="U7:V8"/>
    <mergeCell ref="R8:S14"/>
    <mergeCell ref="U9:V9"/>
    <mergeCell ref="X9:Y13"/>
    <mergeCell ref="O10:P11"/>
    <mergeCell ref="U10:V11"/>
    <mergeCell ref="W10:W11"/>
    <mergeCell ref="O12:P12"/>
    <mergeCell ref="O13:P14"/>
    <mergeCell ref="U13:V14"/>
    <mergeCell ref="B24:K27"/>
    <mergeCell ref="B28:L28"/>
    <mergeCell ref="B2:D2"/>
    <mergeCell ref="O1:Y1"/>
    <mergeCell ref="O2:Q2"/>
    <mergeCell ref="R3:S4"/>
    <mergeCell ref="U4:V4"/>
    <mergeCell ref="R5:S6"/>
    <mergeCell ref="U5:V6"/>
    <mergeCell ref="X5:Y8"/>
    <mergeCell ref="E15:F15"/>
    <mergeCell ref="H15:I16"/>
    <mergeCell ref="E16:F17"/>
    <mergeCell ref="H17:I18"/>
    <mergeCell ref="E18:F21"/>
    <mergeCell ref="H19:I19"/>
    <mergeCell ref="H20:I21"/>
    <mergeCell ref="B10:C11"/>
    <mergeCell ref="H10:I11"/>
    <mergeCell ref="J10:J11"/>
    <mergeCell ref="B12:C12"/>
    <mergeCell ref="B13:C14"/>
    <mergeCell ref="H13:I14"/>
    <mergeCell ref="H7:I8"/>
    <mergeCell ref="E8:F14"/>
    <mergeCell ref="H9:I9"/>
    <mergeCell ref="B1:L1"/>
    <mergeCell ref="E3:F4"/>
    <mergeCell ref="H4:I4"/>
    <mergeCell ref="E5:F6"/>
    <mergeCell ref="H5:I6"/>
    <mergeCell ref="K2:L2"/>
  </mergeCells>
  <pageMargins left="0.7" right="0.7" top="0.75" bottom="0.75" header="0.3" footer="0.3"/>
  <pageSetup paperSize="9" scale="70" orientation="portrait" r:id="rId1"/>
  <headerFooter>
    <oddHeader xml:space="preserve">&amp;CBedrift: Oppgave 2 Regnskap del b) 1
&amp;R&amp;"-,Kursiv"Monika Niziolek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zoomScaleNormal="100" workbookViewId="0">
      <selection activeCell="I4" sqref="I4"/>
    </sheetView>
  </sheetViews>
  <sheetFormatPr defaultColWidth="11.5546875" defaultRowHeight="14.4" x14ac:dyDescent="0.3"/>
  <cols>
    <col min="1" max="1" width="16.33203125" style="67" customWidth="1"/>
    <col min="2" max="2" width="11.21875" style="67" customWidth="1"/>
    <col min="3" max="3" width="12.5546875" style="67" customWidth="1"/>
    <col min="4" max="5" width="11.5546875" style="67"/>
    <col min="6" max="6" width="7.33203125" style="67" customWidth="1"/>
    <col min="7" max="7" width="14.109375" style="67" customWidth="1"/>
    <col min="8" max="16384" width="11.5546875" style="67"/>
  </cols>
  <sheetData>
    <row r="1" spans="1:7" ht="18.600000000000001" customHeight="1" x14ac:dyDescent="0.3">
      <c r="A1" s="136" t="s">
        <v>337</v>
      </c>
      <c r="B1" s="136"/>
      <c r="C1" s="136"/>
      <c r="D1" s="136"/>
      <c r="E1" s="136"/>
      <c r="F1" s="136"/>
      <c r="G1" s="136"/>
    </row>
    <row r="2" spans="1:7" x14ac:dyDescent="0.3">
      <c r="B2" s="79"/>
      <c r="C2" s="79"/>
      <c r="D2" s="79"/>
      <c r="E2" s="79"/>
    </row>
    <row r="3" spans="1:7" x14ac:dyDescent="0.3">
      <c r="A3" s="187" t="s">
        <v>338</v>
      </c>
      <c r="B3" s="187"/>
      <c r="C3" s="187"/>
      <c r="D3" s="187"/>
      <c r="E3" s="187"/>
      <c r="F3" s="187"/>
      <c r="G3" s="187"/>
    </row>
    <row r="4" spans="1:7" x14ac:dyDescent="0.3">
      <c r="A4" s="187" t="s">
        <v>339</v>
      </c>
      <c r="B4" s="187"/>
      <c r="C4" s="187"/>
      <c r="D4" s="187"/>
      <c r="E4" s="187"/>
      <c r="F4" s="187"/>
      <c r="G4" s="187"/>
    </row>
    <row r="5" spans="1:7" x14ac:dyDescent="0.3">
      <c r="A5" s="187" t="s">
        <v>340</v>
      </c>
      <c r="B5" s="187"/>
      <c r="C5" s="187"/>
      <c r="D5" s="187"/>
      <c r="E5" s="187"/>
      <c r="F5" s="187"/>
      <c r="G5" s="187"/>
    </row>
    <row r="6" spans="1:7" x14ac:dyDescent="0.3">
      <c r="A6" s="80"/>
      <c r="B6" s="81"/>
      <c r="C6" s="81"/>
      <c r="D6" s="81"/>
      <c r="E6" s="81"/>
      <c r="F6" s="82"/>
    </row>
    <row r="7" spans="1:7" x14ac:dyDescent="0.3">
      <c r="A7" s="80" t="s">
        <v>341</v>
      </c>
      <c r="B7" s="81"/>
      <c r="C7" s="81"/>
      <c r="D7" s="81"/>
      <c r="E7" s="81"/>
      <c r="F7" s="82"/>
    </row>
    <row r="8" spans="1:7" x14ac:dyDescent="0.3">
      <c r="A8" s="80"/>
      <c r="B8" s="81"/>
      <c r="C8" s="81"/>
      <c r="D8" s="81"/>
      <c r="E8" s="81"/>
      <c r="F8" s="82"/>
    </row>
    <row r="9" spans="1:7" ht="14.4" customHeight="1" x14ac:dyDescent="0.3">
      <c r="A9" s="136" t="s">
        <v>360</v>
      </c>
      <c r="B9" s="136"/>
      <c r="C9" s="136"/>
      <c r="D9" s="136"/>
      <c r="E9" s="136"/>
      <c r="F9" s="82"/>
    </row>
    <row r="10" spans="1:7" ht="15" thickBot="1" x14ac:dyDescent="0.35">
      <c r="A10" s="83"/>
      <c r="B10" s="96">
        <v>2020</v>
      </c>
      <c r="C10" s="96">
        <v>2019</v>
      </c>
      <c r="D10" s="96">
        <v>2018</v>
      </c>
      <c r="E10" s="97">
        <v>2017</v>
      </c>
      <c r="F10" s="82"/>
    </row>
    <row r="11" spans="1:7" x14ac:dyDescent="0.3">
      <c r="A11" s="25" t="s">
        <v>203</v>
      </c>
      <c r="B11" s="19">
        <f>+[1]Regnskap!B54</f>
        <v>35159</v>
      </c>
      <c r="C11" s="19">
        <f>+[1]Regnskap!C54</f>
        <v>64496</v>
      </c>
      <c r="D11" s="19">
        <f>+[1]Regnskap!D54</f>
        <v>52268</v>
      </c>
      <c r="E11" s="19">
        <f>+[1]Regnskap!E54</f>
        <v>45146</v>
      </c>
      <c r="F11" s="82"/>
    </row>
    <row r="12" spans="1:7" x14ac:dyDescent="0.3">
      <c r="A12" s="25" t="s">
        <v>287</v>
      </c>
      <c r="B12" s="19">
        <f>+[1]Regnskap!B76</f>
        <v>18039</v>
      </c>
      <c r="C12" s="19">
        <f>+[1]Regnskap!C76</f>
        <v>10133</v>
      </c>
      <c r="D12" s="19">
        <f>+[1]Regnskap!D76</f>
        <v>7834</v>
      </c>
      <c r="E12" s="19">
        <f>+[1]Regnskap!E76</f>
        <v>6867</v>
      </c>
      <c r="F12" s="82"/>
    </row>
    <row r="13" spans="1:7" x14ac:dyDescent="0.3">
      <c r="A13" s="25" t="s">
        <v>342</v>
      </c>
      <c r="B13" s="19">
        <f>+[1]Regnskap!B53</f>
        <v>7296</v>
      </c>
      <c r="C13" s="19">
        <f>+[1]Regnskap!C53</f>
        <v>11283</v>
      </c>
      <c r="D13" s="19">
        <f>+[1]Regnskap!D53</f>
        <v>11784</v>
      </c>
      <c r="E13" s="19">
        <f>+[1]Regnskap!E53</f>
        <v>10697</v>
      </c>
      <c r="F13" s="82"/>
    </row>
    <row r="14" spans="1:7" x14ac:dyDescent="0.3">
      <c r="A14" s="25" t="s">
        <v>343</v>
      </c>
      <c r="B14" s="19">
        <f>+[1]Regnskap!B7</f>
        <v>202314</v>
      </c>
      <c r="C14" s="19">
        <f>+[1]Regnskap!C7</f>
        <v>240734</v>
      </c>
      <c r="D14" s="19">
        <f>+[1]Regnskap!D7</f>
        <v>210884</v>
      </c>
      <c r="E14" s="19">
        <f>+[1]Regnskap!E7</f>
        <v>213338</v>
      </c>
      <c r="F14" s="82"/>
    </row>
    <row r="15" spans="1:7" x14ac:dyDescent="0.3">
      <c r="A15" s="25" t="s">
        <v>34</v>
      </c>
      <c r="B15" s="19">
        <f>+[1]Regnskap!B8</f>
        <v>55081</v>
      </c>
      <c r="C15" s="19">
        <f>+[1]Regnskap!C8</f>
        <v>70359</v>
      </c>
      <c r="D15" s="19">
        <f>+[1]Regnskap!D8</f>
        <v>69639</v>
      </c>
      <c r="E15" s="19">
        <f>+[1]Regnskap!E8</f>
        <v>67548</v>
      </c>
      <c r="F15" s="82"/>
    </row>
    <row r="16" spans="1:7" x14ac:dyDescent="0.3">
      <c r="C16" s="84"/>
      <c r="D16" s="84"/>
      <c r="E16" s="79"/>
    </row>
    <row r="17" spans="1:11" x14ac:dyDescent="0.3">
      <c r="A17" s="68"/>
      <c r="B17" s="68"/>
      <c r="C17" s="98" t="s">
        <v>344</v>
      </c>
      <c r="D17" s="98" t="s">
        <v>345</v>
      </c>
      <c r="E17" s="93"/>
      <c r="F17" s="68"/>
    </row>
    <row r="18" spans="1:11" x14ac:dyDescent="0.3">
      <c r="A18" s="186" t="s">
        <v>346</v>
      </c>
      <c r="B18" s="99">
        <v>2020</v>
      </c>
      <c r="C18" s="93">
        <f>+(B13+C13)/2</f>
        <v>9289.5</v>
      </c>
      <c r="D18" s="93">
        <f>+B15</f>
        <v>55081</v>
      </c>
      <c r="E18" s="100">
        <f>+(C18/D18)*365</f>
        <v>61.557842087108078</v>
      </c>
      <c r="F18" s="68"/>
    </row>
    <row r="19" spans="1:11" x14ac:dyDescent="0.3">
      <c r="A19" s="186"/>
      <c r="B19" s="99">
        <v>2019</v>
      </c>
      <c r="C19" s="93">
        <f>+(C12+D12)/2</f>
        <v>8983.5</v>
      </c>
      <c r="D19" s="93">
        <f>+C15</f>
        <v>70359</v>
      </c>
      <c r="E19" s="101">
        <f>+(C19/D19)*365</f>
        <v>46.603526201338845</v>
      </c>
      <c r="F19" s="68"/>
    </row>
    <row r="20" spans="1:11" x14ac:dyDescent="0.3">
      <c r="A20" s="186"/>
      <c r="B20" s="99">
        <v>2018</v>
      </c>
      <c r="C20" s="93">
        <f>+(E13+D13)/2</f>
        <v>11240.5</v>
      </c>
      <c r="D20" s="93">
        <f>+D15</f>
        <v>69639</v>
      </c>
      <c r="E20" s="102">
        <f>+(C20/D20)*365</f>
        <v>58.915011703212272</v>
      </c>
      <c r="F20" s="68"/>
    </row>
    <row r="21" spans="1:11" ht="43.2" x14ac:dyDescent="0.3">
      <c r="A21" s="103"/>
      <c r="B21" s="68"/>
      <c r="C21" s="104" t="s">
        <v>347</v>
      </c>
      <c r="D21" s="104" t="s">
        <v>348</v>
      </c>
      <c r="E21" s="105"/>
      <c r="F21" s="68"/>
    </row>
    <row r="22" spans="1:11" x14ac:dyDescent="0.3">
      <c r="A22" s="186" t="s">
        <v>349</v>
      </c>
      <c r="B22" s="99">
        <v>2020</v>
      </c>
      <c r="C22" s="93">
        <f>+(B11+C11)/2</f>
        <v>49827.5</v>
      </c>
      <c r="D22" s="93">
        <f>B14*1.25</f>
        <v>252892.5</v>
      </c>
      <c r="E22" s="100">
        <f>+(C22/D22)*365</f>
        <v>71.916080943483891</v>
      </c>
      <c r="F22" s="68"/>
    </row>
    <row r="23" spans="1:11" x14ac:dyDescent="0.3">
      <c r="A23" s="186"/>
      <c r="B23" s="99">
        <v>2019</v>
      </c>
      <c r="C23" s="93">
        <f>+(C11+D11)/2</f>
        <v>58382</v>
      </c>
      <c r="D23" s="93">
        <f>+C14*1.25</f>
        <v>300917.5</v>
      </c>
      <c r="E23" s="100">
        <f>+(C23/D23)*365</f>
        <v>70.814857892944076</v>
      </c>
      <c r="F23" s="68"/>
    </row>
    <row r="24" spans="1:11" x14ac:dyDescent="0.3">
      <c r="A24" s="186"/>
      <c r="B24" s="99">
        <v>2018</v>
      </c>
      <c r="C24" s="93">
        <f>+(D11+E11)/2</f>
        <v>48707</v>
      </c>
      <c r="D24" s="93">
        <f>+D14*1.25</f>
        <v>263605</v>
      </c>
      <c r="E24" s="101">
        <f>+(C24/D24)*365</f>
        <v>67.442024999525813</v>
      </c>
      <c r="F24" s="68"/>
      <c r="H24" s="85"/>
      <c r="I24" s="85"/>
      <c r="J24" s="85"/>
      <c r="K24" s="85"/>
    </row>
    <row r="25" spans="1:11" ht="28.8" x14ac:dyDescent="0.3">
      <c r="A25" s="103"/>
      <c r="B25" s="68"/>
      <c r="C25" s="104" t="s">
        <v>350</v>
      </c>
      <c r="D25" s="104" t="s">
        <v>351</v>
      </c>
      <c r="E25" s="105"/>
      <c r="F25" s="68"/>
      <c r="H25" s="85"/>
      <c r="I25" s="85"/>
      <c r="J25" s="85"/>
      <c r="K25" s="85"/>
    </row>
    <row r="26" spans="1:11" x14ac:dyDescent="0.3">
      <c r="A26" s="186" t="s">
        <v>352</v>
      </c>
      <c r="B26" s="99">
        <v>2020</v>
      </c>
      <c r="C26" s="93">
        <f>+(B12+C12)/2</f>
        <v>14086</v>
      </c>
      <c r="D26" s="93">
        <f>(B13-C13+B15)*1.25</f>
        <v>63867.5</v>
      </c>
      <c r="E26" s="101">
        <f>+(C26/D26)*365</f>
        <v>80.500880729635583</v>
      </c>
      <c r="F26" s="68"/>
    </row>
    <row r="27" spans="1:11" x14ac:dyDescent="0.3">
      <c r="A27" s="186"/>
      <c r="B27" s="99">
        <v>2019</v>
      </c>
      <c r="C27" s="93">
        <f>+(C12+D12)/2</f>
        <v>8983.5</v>
      </c>
      <c r="D27" s="93">
        <f>(+C13-D13+C15)*1.25</f>
        <v>87322.5</v>
      </c>
      <c r="E27" s="100">
        <f>+(C27/D27)*365</f>
        <v>37.550201838014253</v>
      </c>
      <c r="F27" s="68"/>
    </row>
    <row r="28" spans="1:11" x14ac:dyDescent="0.3">
      <c r="A28" s="186"/>
      <c r="B28" s="99">
        <v>2018</v>
      </c>
      <c r="C28" s="93">
        <f>+(D12+E12)/2</f>
        <v>7350.5</v>
      </c>
      <c r="D28" s="93">
        <f>(+D13-E13+D15)*1.25</f>
        <v>88407.5</v>
      </c>
      <c r="E28" s="102">
        <f>+(C28/D28)*365</f>
        <v>30.347340440573479</v>
      </c>
      <c r="F28" s="68"/>
    </row>
    <row r="29" spans="1:11" x14ac:dyDescent="0.3">
      <c r="A29" s="68"/>
      <c r="B29" s="68"/>
      <c r="C29" s="68"/>
      <c r="D29" s="93"/>
      <c r="E29" s="106"/>
      <c r="F29" s="68"/>
    </row>
    <row r="30" spans="1:11" x14ac:dyDescent="0.3">
      <c r="A30" s="68"/>
      <c r="B30" s="68"/>
      <c r="C30" s="103">
        <v>2020</v>
      </c>
      <c r="D30" s="103">
        <v>2019</v>
      </c>
      <c r="E30" s="103">
        <v>2018</v>
      </c>
      <c r="F30" s="68"/>
    </row>
    <row r="31" spans="1:11" x14ac:dyDescent="0.3">
      <c r="A31" s="68"/>
      <c r="B31" s="107" t="s">
        <v>353</v>
      </c>
      <c r="C31" s="108">
        <f>+E18+E22-E26</f>
        <v>52.973042300956394</v>
      </c>
      <c r="D31" s="109">
        <f>+E19+E23-E27</f>
        <v>79.868182256268653</v>
      </c>
      <c r="E31" s="109">
        <f>+E20+E24-E28</f>
        <v>96.00969626216461</v>
      </c>
      <c r="F31" s="68"/>
    </row>
    <row r="32" spans="1:11" x14ac:dyDescent="0.3">
      <c r="A32" s="68"/>
      <c r="B32" s="68"/>
      <c r="C32" s="68"/>
      <c r="D32" s="68"/>
      <c r="E32" s="68"/>
      <c r="F32" s="68"/>
    </row>
    <row r="33" spans="1:6" x14ac:dyDescent="0.3">
      <c r="A33" s="86"/>
      <c r="B33" s="86"/>
      <c r="C33" s="86"/>
      <c r="D33" s="86"/>
      <c r="E33" s="86"/>
      <c r="F33" s="86"/>
    </row>
    <row r="34" spans="1:6" x14ac:dyDescent="0.3">
      <c r="A34" s="86"/>
      <c r="B34" s="86"/>
      <c r="C34" s="86"/>
      <c r="D34" s="86"/>
      <c r="E34" s="86"/>
      <c r="F34" s="86"/>
    </row>
    <row r="35" spans="1:6" x14ac:dyDescent="0.3">
      <c r="A35" s="86"/>
      <c r="B35" s="86"/>
      <c r="C35" s="86"/>
      <c r="D35" s="86"/>
      <c r="E35" s="86"/>
      <c r="F35" s="86"/>
    </row>
    <row r="36" spans="1:6" x14ac:dyDescent="0.3">
      <c r="A36" s="86"/>
      <c r="B36" s="86"/>
      <c r="C36" s="86"/>
      <c r="D36" s="86"/>
      <c r="E36" s="86"/>
      <c r="F36" s="86"/>
    </row>
    <row r="37" spans="1:6" x14ac:dyDescent="0.3">
      <c r="A37" s="86"/>
      <c r="B37" s="86"/>
      <c r="C37" s="86"/>
      <c r="D37" s="86"/>
      <c r="E37" s="86"/>
      <c r="F37" s="86"/>
    </row>
    <row r="38" spans="1:6" x14ac:dyDescent="0.3">
      <c r="A38" s="86"/>
      <c r="B38" s="86"/>
      <c r="C38" s="86"/>
      <c r="D38" s="86"/>
      <c r="E38" s="86"/>
      <c r="F38" s="86"/>
    </row>
  </sheetData>
  <mergeCells count="9">
    <mergeCell ref="A22:A24"/>
    <mergeCell ref="A26:A28"/>
    <mergeCell ref="A1:E1"/>
    <mergeCell ref="F1:G1"/>
    <mergeCell ref="A3:G3"/>
    <mergeCell ref="A4:G4"/>
    <mergeCell ref="A5:G5"/>
    <mergeCell ref="A9:E9"/>
    <mergeCell ref="A18:A20"/>
  </mergeCells>
  <pageMargins left="0.7" right="0.7" top="0.75" bottom="0.75" header="0.3" footer="0.3"/>
  <pageSetup paperSize="9" scale="70" orientation="portrait" r:id="rId1"/>
  <headerFooter>
    <oddHeader>&amp;CBedrift: Oppgave 2 Regnskap del b) 2
&amp;R&amp;"-,Kursiv"Monika Niziolek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4" ma:contentTypeDescription="Create a new document." ma:contentTypeScope="" ma:versionID="69de1a618b6888528b149bb6d9170c46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29e71785aa4c1ef5033ad9f53c1c2222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BFD60B-3E27-4C70-B315-A735DA891594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2.xml><?xml version="1.0" encoding="utf-8"?>
<ds:datastoreItem xmlns:ds="http://schemas.openxmlformats.org/officeDocument/2006/customXml" ds:itemID="{29266D64-B6BD-4472-BA55-38E09F59E8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9FD0B-6E51-49FC-B0CD-035B2CB66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 A Regnskap</vt:lpstr>
      <vt:lpstr>DuPont- modellen</vt:lpstr>
      <vt:lpstr>CCC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Mikkelsen, Sissel Merete</cp:lastModifiedBy>
  <dcterms:created xsi:type="dcterms:W3CDTF">2022-04-23T11:38:30Z</dcterms:created>
  <dcterms:modified xsi:type="dcterms:W3CDTF">2022-11-15T10:08:57Z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