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biedu-my.sharepoint.com/personal/sissel_m_mikkelsen_bi_no/Documents/Desktop/"/>
    </mc:Choice>
  </mc:AlternateContent>
  <xr:revisionPtr revIDLastSave="0" documentId="8_{56B37DA3-84D0-4DF6-9154-11FFF4016B21}" xr6:coauthVersionLast="45" xr6:coauthVersionMax="45" xr10:uidLastSave="{00000000-0000-0000-0000-000000000000}"/>
  <bookViews>
    <workbookView xWindow="-108" yWindow="-108" windowWidth="30936" windowHeight="16896" activeTab="4" xr2:uid="{00000000-000D-0000-FFFF-FFFF00000000}"/>
  </bookViews>
  <sheets>
    <sheet name="finansiering med 7,5%" sheetId="2" r:id="rId1"/>
    <sheet name="Finansiering med IN" sheetId="4" r:id="rId2"/>
    <sheet name="Følsomhetsanalyse_" sheetId="10" r:id="rId3"/>
    <sheet name="Best case Scenario" sheetId="5" r:id="rId4"/>
    <sheet name="Negativt scenario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H14" i="12" l="1"/>
  <c r="H14" i="5"/>
  <c r="B5" i="12"/>
  <c r="B59" i="12"/>
  <c r="B54" i="12"/>
  <c r="B55" i="12" s="1"/>
  <c r="B48" i="12"/>
  <c r="B45" i="12"/>
  <c r="B44" i="12"/>
  <c r="B46" i="12" s="1"/>
  <c r="C43" i="12"/>
  <c r="C42" i="12"/>
  <c r="G39" i="12"/>
  <c r="B33" i="12"/>
  <c r="B34" i="12" s="1"/>
  <c r="B29" i="12"/>
  <c r="B50" i="12" s="1"/>
  <c r="B23" i="12"/>
  <c r="B24" i="12" s="1"/>
  <c r="G41" i="12" s="1"/>
  <c r="G47" i="12" s="1"/>
  <c r="F20" i="12"/>
  <c r="G40" i="12" s="1"/>
  <c r="E20" i="12"/>
  <c r="F40" i="12" s="1"/>
  <c r="D20" i="12"/>
  <c r="E38" i="12" s="1"/>
  <c r="C20" i="12"/>
  <c r="D38" i="12" s="1"/>
  <c r="B20" i="12"/>
  <c r="C38" i="12" s="1"/>
  <c r="H13" i="12"/>
  <c r="H12" i="12"/>
  <c r="B8" i="12"/>
  <c r="B29" i="5"/>
  <c r="G38" i="12" l="1"/>
  <c r="G58" i="12" s="1"/>
  <c r="F38" i="12"/>
  <c r="F54" i="12" s="1"/>
  <c r="F55" i="12" s="1"/>
  <c r="C58" i="12"/>
  <c r="C54" i="12"/>
  <c r="C55" i="12" s="1"/>
  <c r="B56" i="12" s="1"/>
  <c r="C32" i="12"/>
  <c r="E50" i="12"/>
  <c r="E58" i="12"/>
  <c r="E54" i="12"/>
  <c r="E55" i="12" s="1"/>
  <c r="D58" i="12"/>
  <c r="D59" i="12" s="1"/>
  <c r="D54" i="12"/>
  <c r="D55" i="12" s="1"/>
  <c r="D41" i="12"/>
  <c r="D47" i="12" s="1"/>
  <c r="C41" i="12"/>
  <c r="C47" i="12" s="1"/>
  <c r="E41" i="12"/>
  <c r="E47" i="12" s="1"/>
  <c r="C40" i="12"/>
  <c r="C44" i="12" s="1"/>
  <c r="F41" i="12"/>
  <c r="F47" i="12" s="1"/>
  <c r="D40" i="12"/>
  <c r="E40" i="12"/>
  <c r="B30" i="12"/>
  <c r="C29" i="12" s="1"/>
  <c r="C20" i="5"/>
  <c r="D20" i="5"/>
  <c r="E20" i="5"/>
  <c r="F20" i="5"/>
  <c r="B20" i="5"/>
  <c r="C38" i="5"/>
  <c r="H5" i="10"/>
  <c r="H8" i="10"/>
  <c r="F7" i="10"/>
  <c r="B8" i="5"/>
  <c r="H12" i="5"/>
  <c r="B57" i="10"/>
  <c r="G53" i="10"/>
  <c r="F53" i="10"/>
  <c r="F54" i="10" s="1"/>
  <c r="F47" i="10" s="1"/>
  <c r="G52" i="10"/>
  <c r="F52" i="10"/>
  <c r="E52" i="10"/>
  <c r="E53" i="10" s="1"/>
  <c r="E54" i="10" s="1"/>
  <c r="E47" i="10" s="1"/>
  <c r="D52" i="10"/>
  <c r="D53" i="10" s="1"/>
  <c r="D54" i="10" s="1"/>
  <c r="D47" i="10" s="1"/>
  <c r="C52" i="10"/>
  <c r="C53" i="10" s="1"/>
  <c r="C54" i="10" s="1"/>
  <c r="C47" i="10" s="1"/>
  <c r="B52" i="10"/>
  <c r="B53" i="10" s="1"/>
  <c r="B54" i="10" s="1"/>
  <c r="B47" i="10" s="1"/>
  <c r="B48" i="10"/>
  <c r="G47" i="10"/>
  <c r="B46" i="10"/>
  <c r="B43" i="10"/>
  <c r="B44" i="10" s="1"/>
  <c r="B42" i="10"/>
  <c r="C41" i="10"/>
  <c r="C40" i="10"/>
  <c r="G37" i="10"/>
  <c r="G36" i="10"/>
  <c r="F36" i="10"/>
  <c r="E36" i="10"/>
  <c r="D36" i="10"/>
  <c r="C36" i="10"/>
  <c r="F57" i="10" s="1"/>
  <c r="B32" i="10"/>
  <c r="C30" i="10" s="1"/>
  <c r="B31" i="10"/>
  <c r="B28" i="10"/>
  <c r="C27" i="10" s="1"/>
  <c r="B21" i="10"/>
  <c r="B22" i="10" s="1"/>
  <c r="B19" i="10"/>
  <c r="G38" i="10" s="1"/>
  <c r="B12" i="10"/>
  <c r="H7" i="10"/>
  <c r="F6" i="10"/>
  <c r="H6" i="10" s="1"/>
  <c r="G54" i="12" l="1"/>
  <c r="G55" i="12" s="1"/>
  <c r="G56" i="12" s="1"/>
  <c r="G49" i="12" s="1"/>
  <c r="E56" i="12"/>
  <c r="E49" i="12" s="1"/>
  <c r="G59" i="12"/>
  <c r="F58" i="12"/>
  <c r="F59" i="12" s="1"/>
  <c r="E59" i="12"/>
  <c r="C59" i="12"/>
  <c r="D56" i="12"/>
  <c r="D49" i="12" s="1"/>
  <c r="F50" i="12"/>
  <c r="C45" i="12"/>
  <c r="C46" i="12" s="1"/>
  <c r="G50" i="12"/>
  <c r="D32" i="12"/>
  <c r="D42" i="12"/>
  <c r="B49" i="12"/>
  <c r="C50" i="12"/>
  <c r="D43" i="12"/>
  <c r="D44" i="12" s="1"/>
  <c r="D29" i="12"/>
  <c r="D50" i="12"/>
  <c r="C56" i="12"/>
  <c r="C49" i="12" s="1"/>
  <c r="C38" i="10"/>
  <c r="D38" i="10"/>
  <c r="F38" i="10"/>
  <c r="E38" i="10"/>
  <c r="D41" i="10"/>
  <c r="D27" i="10"/>
  <c r="F39" i="10"/>
  <c r="F45" i="10" s="1"/>
  <c r="G39" i="10"/>
  <c r="G45" i="10" s="1"/>
  <c r="E39" i="10"/>
  <c r="E45" i="10" s="1"/>
  <c r="D39" i="10"/>
  <c r="D45" i="10" s="1"/>
  <c r="C39" i="10"/>
  <c r="C45" i="10" s="1"/>
  <c r="B49" i="10"/>
  <c r="D30" i="10"/>
  <c r="D40" i="10"/>
  <c r="C48" i="10"/>
  <c r="E57" i="10"/>
  <c r="D48" i="10"/>
  <c r="E48" i="10"/>
  <c r="G57" i="10"/>
  <c r="F48" i="10"/>
  <c r="G48" i="10"/>
  <c r="C57" i="10"/>
  <c r="D57" i="10"/>
  <c r="F56" i="12" l="1"/>
  <c r="F49" i="12" s="1"/>
  <c r="H49" i="12" s="1"/>
  <c r="H50" i="12"/>
  <c r="C51" i="12"/>
  <c r="D45" i="12"/>
  <c r="D46" i="12" s="1"/>
  <c r="D51" i="12" s="1"/>
  <c r="B51" i="12"/>
  <c r="E42" i="12"/>
  <c r="E32" i="12"/>
  <c r="E43" i="12"/>
  <c r="E29" i="12"/>
  <c r="C42" i="10"/>
  <c r="C43" i="10" s="1"/>
  <c r="C44" i="10" s="1"/>
  <c r="C49" i="10" s="1"/>
  <c r="E41" i="10"/>
  <c r="E27" i="10"/>
  <c r="E40" i="10"/>
  <c r="E42" i="10" s="1"/>
  <c r="E30" i="10"/>
  <c r="D42" i="10"/>
  <c r="H56" i="12" l="1"/>
  <c r="F43" i="12"/>
  <c r="F29" i="12"/>
  <c r="G43" i="12" s="1"/>
  <c r="F32" i="12"/>
  <c r="G42" i="12" s="1"/>
  <c r="G44" i="12" s="1"/>
  <c r="F42" i="12"/>
  <c r="F44" i="12" s="1"/>
  <c r="E44" i="12"/>
  <c r="F30" i="10"/>
  <c r="G40" i="10" s="1"/>
  <c r="G42" i="10" s="1"/>
  <c r="F40" i="10"/>
  <c r="F42" i="10" s="1"/>
  <c r="E43" i="10"/>
  <c r="E44" i="10" s="1"/>
  <c r="E49" i="10" s="1"/>
  <c r="F41" i="10"/>
  <c r="F27" i="10"/>
  <c r="G41" i="10" s="1"/>
  <c r="D43" i="10"/>
  <c r="D44" i="10" s="1"/>
  <c r="D49" i="10" s="1"/>
  <c r="F45" i="12" l="1"/>
  <c r="F46" i="12" s="1"/>
  <c r="F51" i="12" s="1"/>
  <c r="E45" i="12"/>
  <c r="E46" i="12" s="1"/>
  <c r="E51" i="12" s="1"/>
  <c r="G45" i="12"/>
  <c r="G46" i="12" s="1"/>
  <c r="G51" i="12" s="1"/>
  <c r="F43" i="10"/>
  <c r="F44" i="10" s="1"/>
  <c r="F49" i="10" s="1"/>
  <c r="G43" i="10"/>
  <c r="G44" i="10" s="1"/>
  <c r="G49" i="10" s="1"/>
  <c r="F18" i="12" l="1"/>
  <c r="F19" i="12"/>
  <c r="F12" i="10"/>
  <c r="F11" i="10"/>
  <c r="C36" i="4"/>
  <c r="G47" i="4"/>
  <c r="C33" i="2"/>
  <c r="C42" i="5" l="1"/>
  <c r="B12" i="4"/>
  <c r="B59" i="5"/>
  <c r="B54" i="5"/>
  <c r="B55" i="5" s="1"/>
  <c r="B48" i="5"/>
  <c r="B44" i="5"/>
  <c r="G39" i="5"/>
  <c r="B33" i="5"/>
  <c r="B23" i="5"/>
  <c r="B24" i="5" s="1"/>
  <c r="G41" i="5" s="1"/>
  <c r="G47" i="5" s="1"/>
  <c r="H13" i="5"/>
  <c r="F7" i="4"/>
  <c r="B31" i="4"/>
  <c r="B21" i="4"/>
  <c r="B19" i="4"/>
  <c r="B57" i="4"/>
  <c r="F6" i="4"/>
  <c r="B17" i="2"/>
  <c r="B25" i="2"/>
  <c r="C35" i="2" s="1"/>
  <c r="B23" i="2"/>
  <c r="B28" i="2"/>
  <c r="D46" i="2"/>
  <c r="E46" i="2"/>
  <c r="F46" i="2"/>
  <c r="G46" i="2"/>
  <c r="C46" i="2"/>
  <c r="B16" i="2" s="1"/>
  <c r="B46" i="2"/>
  <c r="D40" i="5" l="1"/>
  <c r="E38" i="5"/>
  <c r="F38" i="5"/>
  <c r="G38" i="5"/>
  <c r="G58" i="5" s="1"/>
  <c r="B50" i="5"/>
  <c r="B34" i="5"/>
  <c r="C32" i="5" s="1"/>
  <c r="C43" i="5"/>
  <c r="E40" i="5"/>
  <c r="F40" i="5"/>
  <c r="C41" i="5"/>
  <c r="C47" i="5" s="1"/>
  <c r="D41" i="5"/>
  <c r="D47" i="5" s="1"/>
  <c r="E41" i="5"/>
  <c r="E47" i="5" s="1"/>
  <c r="F41" i="5"/>
  <c r="F47" i="5" s="1"/>
  <c r="B30" i="5"/>
  <c r="C29" i="5" s="1"/>
  <c r="B45" i="5"/>
  <c r="B46" i="5" s="1"/>
  <c r="C38" i="4"/>
  <c r="F6" i="2"/>
  <c r="H6" i="2" s="1"/>
  <c r="E54" i="5" l="1"/>
  <c r="E55" i="5" s="1"/>
  <c r="E58" i="5"/>
  <c r="F54" i="5"/>
  <c r="F55" i="5" s="1"/>
  <c r="F58" i="5"/>
  <c r="D38" i="5"/>
  <c r="G40" i="5"/>
  <c r="G50" i="5"/>
  <c r="F50" i="5"/>
  <c r="G54" i="5"/>
  <c r="G55" i="5" s="1"/>
  <c r="G56" i="5" s="1"/>
  <c r="G49" i="5" s="1"/>
  <c r="D43" i="5"/>
  <c r="D29" i="5"/>
  <c r="D42" i="5"/>
  <c r="D32" i="5"/>
  <c r="C50" i="5"/>
  <c r="D50" i="5"/>
  <c r="E50" i="5"/>
  <c r="H5" i="2"/>
  <c r="H7" i="4"/>
  <c r="H6" i="4"/>
  <c r="H5" i="4"/>
  <c r="E56" i="5" l="1"/>
  <c r="E49" i="5" s="1"/>
  <c r="D54" i="5"/>
  <c r="D55" i="5" s="1"/>
  <c r="D56" i="5" s="1"/>
  <c r="D49" i="5" s="1"/>
  <c r="D58" i="5"/>
  <c r="D44" i="5"/>
  <c r="D45" i="5" s="1"/>
  <c r="D46" i="5" s="1"/>
  <c r="F56" i="5"/>
  <c r="F49" i="5" s="1"/>
  <c r="H50" i="5"/>
  <c r="E42" i="5"/>
  <c r="E32" i="5"/>
  <c r="E29" i="5"/>
  <c r="E43" i="5"/>
  <c r="B52" i="4"/>
  <c r="B53" i="4" s="1"/>
  <c r="B48" i="4"/>
  <c r="C41" i="4"/>
  <c r="C40" i="4"/>
  <c r="B28" i="4"/>
  <c r="C27" i="4" s="1"/>
  <c r="D41" i="4" s="1"/>
  <c r="B32" i="4"/>
  <c r="B46" i="4"/>
  <c r="B42" i="4"/>
  <c r="G38" i="4"/>
  <c r="F38" i="4"/>
  <c r="E38" i="4"/>
  <c r="D38" i="4"/>
  <c r="G37" i="4"/>
  <c r="G36" i="4"/>
  <c r="G52" i="4" s="1"/>
  <c r="G53" i="4" s="1"/>
  <c r="F36" i="4"/>
  <c r="F52" i="4" s="1"/>
  <c r="F53" i="4" s="1"/>
  <c r="E36" i="4"/>
  <c r="E52" i="4" s="1"/>
  <c r="E53" i="4" s="1"/>
  <c r="D36" i="4"/>
  <c r="C52" i="4"/>
  <c r="C53" i="4" s="1"/>
  <c r="B22" i="4"/>
  <c r="G39" i="4" s="1"/>
  <c r="G45" i="4" s="1"/>
  <c r="B42" i="2"/>
  <c r="B36" i="2"/>
  <c r="B37" i="2" s="1"/>
  <c r="G32" i="2"/>
  <c r="B27" i="2"/>
  <c r="D42" i="2" s="1"/>
  <c r="D51" i="5" l="1"/>
  <c r="D52" i="4"/>
  <c r="D53" i="4" s="1"/>
  <c r="F57" i="4"/>
  <c r="D57" i="4"/>
  <c r="E57" i="4"/>
  <c r="G57" i="4"/>
  <c r="C57" i="4"/>
  <c r="F29" i="5"/>
  <c r="G43" i="5" s="1"/>
  <c r="F43" i="5"/>
  <c r="E44" i="5"/>
  <c r="F42" i="5"/>
  <c r="F32" i="5"/>
  <c r="G42" i="5" s="1"/>
  <c r="H41" i="2"/>
  <c r="C54" i="4"/>
  <c r="C47" i="4" s="1"/>
  <c r="F54" i="4"/>
  <c r="F47" i="4" s="1"/>
  <c r="D48" i="4"/>
  <c r="C30" i="4"/>
  <c r="D30" i="4" s="1"/>
  <c r="E40" i="4" s="1"/>
  <c r="E54" i="4"/>
  <c r="E47" i="4" s="1"/>
  <c r="G48" i="4"/>
  <c r="B54" i="4"/>
  <c r="B47" i="4" s="1"/>
  <c r="D54" i="4"/>
  <c r="D47" i="4" s="1"/>
  <c r="F48" i="4"/>
  <c r="C48" i="4"/>
  <c r="E48" i="4"/>
  <c r="D27" i="4"/>
  <c r="C39" i="4"/>
  <c r="C45" i="4" s="1"/>
  <c r="D39" i="4"/>
  <c r="D45" i="4" s="1"/>
  <c r="B43" i="4"/>
  <c r="B44" i="4" s="1"/>
  <c r="E39" i="4"/>
  <c r="E45" i="4" s="1"/>
  <c r="F39" i="4"/>
  <c r="F45" i="4" s="1"/>
  <c r="E42" i="2"/>
  <c r="F42" i="2"/>
  <c r="C25" i="2"/>
  <c r="B38" i="2"/>
  <c r="G42" i="2"/>
  <c r="C42" i="2"/>
  <c r="G44" i="5" l="1"/>
  <c r="F44" i="5"/>
  <c r="E45" i="5"/>
  <c r="E46" i="5" s="1"/>
  <c r="E51" i="5" s="1"/>
  <c r="B49" i="4"/>
  <c r="H42" i="2"/>
  <c r="H47" i="4"/>
  <c r="C42" i="4"/>
  <c r="C43" i="4" s="1"/>
  <c r="E27" i="4"/>
  <c r="E41" i="4"/>
  <c r="E42" i="4" s="1"/>
  <c r="E43" i="4" s="1"/>
  <c r="E44" i="4" s="1"/>
  <c r="E49" i="4" s="1"/>
  <c r="D40" i="4"/>
  <c r="D42" i="4" s="1"/>
  <c r="D43" i="4" s="1"/>
  <c r="D44" i="4" s="1"/>
  <c r="D49" i="4" s="1"/>
  <c r="E30" i="4"/>
  <c r="F30" i="4" s="1"/>
  <c r="G40" i="4" s="1"/>
  <c r="H48" i="4"/>
  <c r="D25" i="2"/>
  <c r="D35" i="2"/>
  <c r="G45" i="5" l="1"/>
  <c r="G46" i="5" s="1"/>
  <c r="G51" i="5" s="1"/>
  <c r="F45" i="5"/>
  <c r="F46" i="5" s="1"/>
  <c r="F51" i="5" s="1"/>
  <c r="F27" i="4"/>
  <c r="G41" i="4" s="1"/>
  <c r="G42" i="4" s="1"/>
  <c r="G43" i="4" s="1"/>
  <c r="G44" i="4" s="1"/>
  <c r="G49" i="4" s="1"/>
  <c r="F41" i="4"/>
  <c r="F40" i="4"/>
  <c r="C44" i="4"/>
  <c r="C49" i="4" s="1"/>
  <c r="E25" i="2"/>
  <c r="E35" i="2"/>
  <c r="F42" i="4" l="1"/>
  <c r="F43" i="4" s="1"/>
  <c r="F44" i="4" s="1"/>
  <c r="F49" i="4" s="1"/>
  <c r="F12" i="4" s="1"/>
  <c r="F25" i="2"/>
  <c r="G35" i="2" s="1"/>
  <c r="F35" i="2"/>
  <c r="F13" i="4" l="1"/>
  <c r="B40" i="2" l="1"/>
  <c r="B43" i="2" s="1"/>
  <c r="B20" i="2"/>
  <c r="F34" i="2" s="1"/>
  <c r="E34" i="2" l="1"/>
  <c r="E39" i="2" s="1"/>
  <c r="D34" i="2"/>
  <c r="D39" i="2" s="1"/>
  <c r="G34" i="2"/>
  <c r="G39" i="2" s="1"/>
  <c r="F39" i="2"/>
  <c r="C34" i="2"/>
  <c r="C39" i="2" l="1"/>
  <c r="C31" i="2" l="1"/>
  <c r="C36" i="2" l="1"/>
  <c r="C37" i="2" s="1"/>
  <c r="C38" i="2" s="1"/>
  <c r="C43" i="2" s="1"/>
  <c r="E16" i="2"/>
  <c r="F33" i="2" s="1"/>
  <c r="C16" i="2"/>
  <c r="D33" i="2" s="1"/>
  <c r="F16" i="2"/>
  <c r="G33" i="2" s="1"/>
  <c r="D16" i="2"/>
  <c r="E33" i="2" s="1"/>
  <c r="D31" i="2" l="1"/>
  <c r="D36" i="2" s="1"/>
  <c r="D37" i="2" s="1"/>
  <c r="D38" i="2" s="1"/>
  <c r="D43" i="2" s="1"/>
  <c r="F31" i="2"/>
  <c r="F36" i="2" s="1"/>
  <c r="E31" i="2"/>
  <c r="E36" i="2" s="1"/>
  <c r="G31" i="2"/>
  <c r="G36" i="2" s="1"/>
  <c r="F37" i="2" l="1"/>
  <c r="F38" i="2" s="1"/>
  <c r="F43" i="2" s="1"/>
  <c r="E37" i="2"/>
  <c r="E38" i="2" s="1"/>
  <c r="E43" i="2" s="1"/>
  <c r="G37" i="2"/>
  <c r="G38" i="2" s="1"/>
  <c r="G43" i="2" s="1"/>
  <c r="F14" i="2" l="1"/>
  <c r="C40" i="5" l="1"/>
  <c r="C58" i="5" l="1"/>
  <c r="C59" i="5" s="1"/>
  <c r="G59" i="5"/>
  <c r="F59" i="5"/>
  <c r="E59" i="5"/>
  <c r="D59" i="5"/>
  <c r="C44" i="5"/>
  <c r="C45" i="5" s="1"/>
  <c r="C46" i="5" s="1"/>
  <c r="C54" i="5"/>
  <c r="C55" i="5" s="1"/>
  <c r="C56" i="5" l="1"/>
  <c r="C49" i="5" s="1"/>
  <c r="C51" i="5" s="1"/>
  <c r="B56" i="5"/>
  <c r="H56" i="5" l="1"/>
  <c r="B49" i="5"/>
  <c r="B51" i="5" l="1"/>
  <c r="H49" i="5"/>
  <c r="F19" i="5" l="1"/>
  <c r="F18" i="5"/>
</calcChain>
</file>

<file path=xl/sharedStrings.xml><?xml version="1.0" encoding="utf-8"?>
<sst xmlns="http://schemas.openxmlformats.org/spreadsheetml/2006/main" count="288" uniqueCount="76">
  <si>
    <t>Inntekter</t>
  </si>
  <si>
    <t>Kostnader (betalbare)</t>
  </si>
  <si>
    <t>Skatt</t>
  </si>
  <si>
    <t>Levetid (år)</t>
  </si>
  <si>
    <t>Avskrivninger (lineære)</t>
  </si>
  <si>
    <t>Arbeidskapital (AK)</t>
  </si>
  <si>
    <t>Investering</t>
  </si>
  <si>
    <t>Restverdi</t>
  </si>
  <si>
    <t>Serielån</t>
  </si>
  <si>
    <t>Løpetid (år)</t>
  </si>
  <si>
    <t>Avdrag</t>
  </si>
  <si>
    <t>Rente</t>
  </si>
  <si>
    <t>Avksatningskrav EK</t>
  </si>
  <si>
    <t>Tid</t>
  </si>
  <si>
    <t>Nåverdi etter EK metode</t>
  </si>
  <si>
    <t>Salgsinntekt</t>
  </si>
  <si>
    <t>Intern rente</t>
  </si>
  <si>
    <t>Utrangeringsverdi AM</t>
  </si>
  <si>
    <t>Betalbarkostnader</t>
  </si>
  <si>
    <t>Avskrivinger (-)</t>
  </si>
  <si>
    <t>Renter</t>
  </si>
  <si>
    <t>Resultat før skatt</t>
  </si>
  <si>
    <t>Skatt x%</t>
  </si>
  <si>
    <t>Resultat etter skatt</t>
  </si>
  <si>
    <t>Avskrivinger (+)</t>
  </si>
  <si>
    <t>Investeringer</t>
  </si>
  <si>
    <t>Endringer i arbeidskapital</t>
  </si>
  <si>
    <t>Lån og avdrag</t>
  </si>
  <si>
    <t>Kontantsstrøm for egenkapital metoden</t>
  </si>
  <si>
    <t>Finansiering fra IN</t>
  </si>
  <si>
    <t xml:space="preserve">IN Rente </t>
  </si>
  <si>
    <t>Renter IN</t>
  </si>
  <si>
    <t>Arbeidskapital %10 SI</t>
  </si>
  <si>
    <t>Endringer i Arbeidskapital</t>
  </si>
  <si>
    <t>Reduksjon i rentekostnader på 50%</t>
  </si>
  <si>
    <t>IN lån</t>
  </si>
  <si>
    <t>Reduksjon i skattekostnader (fra 140 250 til 3 750)</t>
  </si>
  <si>
    <t>Forventet</t>
  </si>
  <si>
    <t>Basis info</t>
  </si>
  <si>
    <t>Margin</t>
  </si>
  <si>
    <t>Margin i%</t>
  </si>
  <si>
    <t>Lånets rentesats</t>
  </si>
  <si>
    <t xml:space="preserve">Skatt </t>
  </si>
  <si>
    <t>Avkastningkrav EK</t>
  </si>
  <si>
    <t>Årlig vekst i markedsandel</t>
  </si>
  <si>
    <t xml:space="preserve">Totale inntekter </t>
  </si>
  <si>
    <t>Betalbare kostnader</t>
  </si>
  <si>
    <t>Inntekter i %</t>
  </si>
  <si>
    <t>Levetid</t>
  </si>
  <si>
    <t>Margin i %</t>
  </si>
  <si>
    <t xml:space="preserve">IN  Lån </t>
  </si>
  <si>
    <t>Lån IN</t>
  </si>
  <si>
    <t>Finansiering med IN</t>
  </si>
  <si>
    <t>Finansiering med et lån 7,5%</t>
  </si>
  <si>
    <t>Scenarioanalyse "Best case"</t>
  </si>
  <si>
    <t xml:space="preserve">Inntekter </t>
  </si>
  <si>
    <t>Avkastningskrav</t>
  </si>
  <si>
    <t>Investeringsbeløp</t>
  </si>
  <si>
    <t>Investeringssbeløp</t>
  </si>
  <si>
    <t>Ansettelse av prosjektleder</t>
  </si>
  <si>
    <t>90% fakturerbare timer</t>
  </si>
  <si>
    <t xml:space="preserve">Leie inn en Ingeniør </t>
  </si>
  <si>
    <t xml:space="preserve">Leie inn Driftoperatør </t>
  </si>
  <si>
    <t>en fra bransjen med et bredt nettverk</t>
  </si>
  <si>
    <t>100% fakturerbare timer</t>
  </si>
  <si>
    <t>Reduksjon av kostnader</t>
  </si>
  <si>
    <t>Man sparer AGA, Pensjonskostnader og antall time ikke egnet for fakturering ut til kunden</t>
  </si>
  <si>
    <t xml:space="preserve">Besparelse </t>
  </si>
  <si>
    <t>Inntektene går opp med</t>
  </si>
  <si>
    <t>Inntektene går ned med</t>
  </si>
  <si>
    <t>Scenarioanalyse "Worst case"</t>
  </si>
  <si>
    <t>Økning av kostnader</t>
  </si>
  <si>
    <t>Økning av Olje og gasspriser</t>
  </si>
  <si>
    <t>pga krigen i Ukraina</t>
  </si>
  <si>
    <t xml:space="preserve">Valutasvinginger </t>
  </si>
  <si>
    <t>kostnadene kan gå betydelig 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</si>
</sst>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kr&quot;\ #,##0.00;[Red]\-&quot;kr&quot;\ #,##0.00"/>
    <numFmt numFmtId="164" formatCode="0.0\ %"/>
    <numFmt numFmtId="165" formatCode="0.000\ 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8" tint="-0.499984740745262"/>
      </right>
      <top/>
      <bottom style="medium">
        <color indexed="64"/>
      </bottom>
      <diagonal/>
    </border>
    <border>
      <left/>
      <right style="medium">
        <color theme="8" tint="-0.499984740745262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3" borderId="0" xfId="0" applyFill="1"/>
    <xf numFmtId="0" fontId="0" fillId="3" borderId="9" xfId="0" applyFill="1" applyBorder="1"/>
    <xf numFmtId="3" fontId="0" fillId="3" borderId="9" xfId="0" applyNumberFormat="1" applyFill="1" applyBorder="1"/>
    <xf numFmtId="9" fontId="0" fillId="3" borderId="0" xfId="0" applyNumberFormat="1" applyFill="1"/>
    <xf numFmtId="3" fontId="0" fillId="3" borderId="0" xfId="0" applyNumberFormat="1" applyFill="1"/>
    <xf numFmtId="0" fontId="0" fillId="0" borderId="1" xfId="0" applyFont="1" applyBorder="1" applyAlignment="1">
      <alignment horizontal="right"/>
    </xf>
    <xf numFmtId="3" fontId="0" fillId="2" borderId="2" xfId="0" applyNumberFormat="1" applyFont="1" applyFill="1" applyBorder="1"/>
    <xf numFmtId="0" fontId="0" fillId="3" borderId="0" xfId="0" applyFont="1" applyFill="1"/>
    <xf numFmtId="0" fontId="0" fillId="0" borderId="4" xfId="0" applyFont="1" applyBorder="1" applyAlignment="1">
      <alignment horizontal="right"/>
    </xf>
    <xf numFmtId="9" fontId="0" fillId="2" borderId="0" xfId="0" applyNumberFormat="1" applyFont="1" applyFill="1"/>
    <xf numFmtId="0" fontId="0" fillId="0" borderId="0" xfId="0" applyFont="1"/>
    <xf numFmtId="0" fontId="0" fillId="0" borderId="5" xfId="0" applyFont="1" applyBorder="1"/>
    <xf numFmtId="3" fontId="0" fillId="2" borderId="0" xfId="0" applyNumberFormat="1" applyFont="1" applyFill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6" xfId="0" applyFont="1" applyBorder="1" applyAlignment="1">
      <alignment horizontal="right"/>
    </xf>
    <xf numFmtId="0" fontId="0" fillId="0" borderId="7" xfId="0" applyFont="1" applyBorder="1"/>
    <xf numFmtId="0" fontId="0" fillId="0" borderId="8" xfId="0" applyFont="1" applyBorder="1"/>
    <xf numFmtId="0" fontId="0" fillId="3" borderId="9" xfId="0" applyFont="1" applyFill="1" applyBorder="1"/>
    <xf numFmtId="3" fontId="0" fillId="3" borderId="9" xfId="0" applyNumberFormat="1" applyFont="1" applyFill="1" applyBorder="1"/>
    <xf numFmtId="9" fontId="0" fillId="3" borderId="0" xfId="0" applyNumberFormat="1" applyFont="1" applyFill="1"/>
    <xf numFmtId="3" fontId="0" fillId="3" borderId="0" xfId="0" applyNumberFormat="1" applyFont="1" applyFill="1"/>
    <xf numFmtId="164" fontId="0" fillId="2" borderId="7" xfId="0" applyNumberFormat="1" applyFont="1" applyFill="1" applyBorder="1"/>
    <xf numFmtId="0" fontId="6" fillId="3" borderId="0" xfId="0" applyFont="1" applyFill="1"/>
    <xf numFmtId="0" fontId="7" fillId="0" borderId="4" xfId="0" applyFont="1" applyBorder="1" applyAlignment="1">
      <alignment horizontal="right"/>
    </xf>
    <xf numFmtId="3" fontId="7" fillId="2" borderId="0" xfId="0" applyNumberFormat="1" applyFont="1" applyFill="1"/>
    <xf numFmtId="3" fontId="7" fillId="0" borderId="0" xfId="0" applyNumberFormat="1" applyFont="1"/>
    <xf numFmtId="3" fontId="7" fillId="0" borderId="5" xfId="0" applyNumberFormat="1" applyFont="1" applyBorder="1"/>
    <xf numFmtId="0" fontId="7" fillId="0" borderId="4" xfId="0" applyFont="1" applyFill="1" applyBorder="1" applyAlignment="1">
      <alignment horizontal="right"/>
    </xf>
    <xf numFmtId="0" fontId="7" fillId="0" borderId="0" xfId="0" applyFont="1"/>
    <xf numFmtId="164" fontId="7" fillId="2" borderId="7" xfId="0" applyNumberFormat="1" applyFont="1" applyFill="1" applyBorder="1"/>
    <xf numFmtId="0" fontId="4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3" fillId="3" borderId="0" xfId="0" applyFont="1" applyFill="1"/>
    <xf numFmtId="0" fontId="6" fillId="3" borderId="9" xfId="0" applyFont="1" applyFill="1" applyBorder="1" applyAlignment="1">
      <alignment horizontal="right"/>
    </xf>
    <xf numFmtId="3" fontId="8" fillId="4" borderId="9" xfId="0" applyNumberFormat="1" applyFont="1" applyFill="1" applyBorder="1"/>
    <xf numFmtId="10" fontId="0" fillId="3" borderId="9" xfId="0" applyNumberFormat="1" applyFill="1" applyBorder="1"/>
    <xf numFmtId="3" fontId="6" fillId="4" borderId="9" xfId="0" applyNumberFormat="1" applyFont="1" applyFill="1" applyBorder="1"/>
    <xf numFmtId="9" fontId="6" fillId="4" borderId="9" xfId="0" applyNumberFormat="1" applyFont="1" applyFill="1" applyBorder="1"/>
    <xf numFmtId="164" fontId="6" fillId="4" borderId="9" xfId="0" applyNumberFormat="1" applyFont="1" applyFill="1" applyBorder="1"/>
    <xf numFmtId="9" fontId="0" fillId="3" borderId="0" xfId="1" applyFont="1" applyFill="1"/>
    <xf numFmtId="164" fontId="0" fillId="3" borderId="0" xfId="0" applyNumberFormat="1" applyFill="1"/>
    <xf numFmtId="164" fontId="9" fillId="4" borderId="9" xfId="1" applyNumberFormat="1" applyFont="1" applyFill="1" applyBorder="1"/>
    <xf numFmtId="9" fontId="8" fillId="4" borderId="9" xfId="1" applyFont="1" applyFill="1" applyBorder="1"/>
    <xf numFmtId="165" fontId="3" fillId="3" borderId="0" xfId="1" applyNumberFormat="1" applyFont="1" applyFill="1"/>
    <xf numFmtId="165" fontId="0" fillId="3" borderId="0" xfId="0" applyNumberFormat="1" applyFill="1"/>
    <xf numFmtId="0" fontId="0" fillId="3" borderId="0" xfId="0" applyFont="1" applyFill="1" applyBorder="1"/>
    <xf numFmtId="164" fontId="0" fillId="3" borderId="9" xfId="0" applyNumberFormat="1" applyFill="1" applyBorder="1"/>
    <xf numFmtId="10" fontId="0" fillId="3" borderId="9" xfId="1" applyNumberFormat="1" applyFont="1" applyFill="1" applyBorder="1"/>
    <xf numFmtId="0" fontId="0" fillId="3" borderId="0" xfId="0" applyFill="1" applyBorder="1"/>
    <xf numFmtId="0" fontId="2" fillId="3" borderId="0" xfId="0" applyFont="1" applyFill="1"/>
    <xf numFmtId="9" fontId="2" fillId="3" borderId="0" xfId="0" applyNumberFormat="1" applyFont="1" applyFill="1"/>
    <xf numFmtId="0" fontId="2" fillId="0" borderId="0" xfId="0" applyFont="1"/>
    <xf numFmtId="0" fontId="2" fillId="5" borderId="9" xfId="0" applyFont="1" applyFill="1" applyBorder="1" applyAlignment="1">
      <alignment horizontal="center"/>
    </xf>
    <xf numFmtId="0" fontId="0" fillId="6" borderId="9" xfId="0" applyFont="1" applyFill="1" applyBorder="1"/>
    <xf numFmtId="3" fontId="0" fillId="6" borderId="9" xfId="0" applyNumberFormat="1" applyFont="1" applyFill="1" applyBorder="1"/>
    <xf numFmtId="0" fontId="5" fillId="7" borderId="9" xfId="0" applyFont="1" applyFill="1" applyBorder="1"/>
    <xf numFmtId="3" fontId="5" fillId="7" borderId="9" xfId="0" applyNumberFormat="1" applyFont="1" applyFill="1" applyBorder="1"/>
    <xf numFmtId="0" fontId="2" fillId="3" borderId="9" xfId="0" applyFont="1" applyFill="1" applyBorder="1" applyAlignment="1">
      <alignment horizontal="center"/>
    </xf>
    <xf numFmtId="10" fontId="6" fillId="6" borderId="10" xfId="0" applyNumberFormat="1" applyFont="1" applyFill="1" applyBorder="1"/>
    <xf numFmtId="8" fontId="6" fillId="3" borderId="11" xfId="0" applyNumberFormat="1" applyFont="1" applyFill="1" applyBorder="1"/>
    <xf numFmtId="9" fontId="6" fillId="3" borderId="12" xfId="0" applyNumberFormat="1" applyFont="1" applyFill="1" applyBorder="1"/>
    <xf numFmtId="3" fontId="8" fillId="5" borderId="13" xfId="0" applyNumberFormat="1" applyFont="1" applyFill="1" applyBorder="1"/>
    <xf numFmtId="3" fontId="0" fillId="3" borderId="13" xfId="0" applyNumberFormat="1" applyFill="1" applyBorder="1"/>
    <xf numFmtId="10" fontId="11" fillId="5" borderId="9" xfId="1" applyNumberFormat="1" applyFont="1" applyFill="1" applyBorder="1"/>
    <xf numFmtId="1" fontId="8" fillId="5" borderId="16" xfId="0" applyNumberFormat="1" applyFont="1" applyFill="1" applyBorder="1" applyAlignment="1">
      <alignment horizontal="right"/>
    </xf>
    <xf numFmtId="0" fontId="8" fillId="3" borderId="16" xfId="0" applyFont="1" applyFill="1" applyBorder="1" applyAlignment="1">
      <alignment horizontal="right"/>
    </xf>
    <xf numFmtId="0" fontId="8" fillId="3" borderId="17" xfId="0" applyFont="1" applyFill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10" fontId="0" fillId="3" borderId="19" xfId="0" applyNumberFormat="1" applyFill="1" applyBorder="1"/>
    <xf numFmtId="0" fontId="6" fillId="3" borderId="20" xfId="0" applyFont="1" applyFill="1" applyBorder="1" applyAlignment="1">
      <alignment horizontal="right"/>
    </xf>
    <xf numFmtId="10" fontId="0" fillId="3" borderId="21" xfId="0" applyNumberFormat="1" applyFill="1" applyBorder="1"/>
    <xf numFmtId="0" fontId="6" fillId="3" borderId="22" xfId="0" applyFont="1" applyFill="1" applyBorder="1" applyAlignment="1">
      <alignment horizontal="right"/>
    </xf>
    <xf numFmtId="3" fontId="8" fillId="5" borderId="23" xfId="0" applyNumberFormat="1" applyFont="1" applyFill="1" applyBorder="1"/>
    <xf numFmtId="3" fontId="0" fillId="3" borderId="23" xfId="0" applyNumberFormat="1" applyFill="1" applyBorder="1"/>
    <xf numFmtId="10" fontId="0" fillId="3" borderId="24" xfId="0" applyNumberFormat="1" applyFill="1" applyBorder="1"/>
    <xf numFmtId="0" fontId="6" fillId="3" borderId="15" xfId="0" applyFont="1" applyFill="1" applyBorder="1" applyAlignment="1">
      <alignment horizontal="right"/>
    </xf>
    <xf numFmtId="1" fontId="6" fillId="5" borderId="17" xfId="0" applyNumberFormat="1" applyFont="1" applyFill="1" applyBorder="1" applyAlignment="1">
      <alignment horizontal="right"/>
    </xf>
    <xf numFmtId="3" fontId="6" fillId="5" borderId="19" xfId="0" applyNumberFormat="1" applyFont="1" applyFill="1" applyBorder="1"/>
    <xf numFmtId="3" fontId="6" fillId="5" borderId="21" xfId="0" applyNumberFormat="1" applyFont="1" applyFill="1" applyBorder="1"/>
    <xf numFmtId="164" fontId="6" fillId="5" borderId="21" xfId="0" applyNumberFormat="1" applyFont="1" applyFill="1" applyBorder="1"/>
    <xf numFmtId="9" fontId="6" fillId="5" borderId="21" xfId="0" applyNumberFormat="1" applyFont="1" applyFill="1" applyBorder="1"/>
    <xf numFmtId="9" fontId="6" fillId="5" borderId="24" xfId="0" applyNumberFormat="1" applyFont="1" applyFill="1" applyBorder="1"/>
    <xf numFmtId="1" fontId="6" fillId="6" borderId="17" xfId="0" applyNumberFormat="1" applyFont="1" applyFill="1" applyBorder="1" applyAlignment="1">
      <alignment horizontal="right"/>
    </xf>
    <xf numFmtId="3" fontId="6" fillId="6" borderId="19" xfId="0" applyNumberFormat="1" applyFont="1" applyFill="1" applyBorder="1"/>
    <xf numFmtId="9" fontId="6" fillId="6" borderId="21" xfId="1" applyFont="1" applyFill="1" applyBorder="1"/>
    <xf numFmtId="3" fontId="6" fillId="6" borderId="21" xfId="0" applyNumberFormat="1" applyFont="1" applyFill="1" applyBorder="1"/>
    <xf numFmtId="164" fontId="6" fillId="6" borderId="21" xfId="0" applyNumberFormat="1" applyFont="1" applyFill="1" applyBorder="1"/>
    <xf numFmtId="9" fontId="6" fillId="6" borderId="21" xfId="0" applyNumberFormat="1" applyFont="1" applyFill="1" applyBorder="1"/>
    <xf numFmtId="9" fontId="6" fillId="6" borderId="24" xfId="0" applyNumberFormat="1" applyFont="1" applyFill="1" applyBorder="1"/>
    <xf numFmtId="1" fontId="8" fillId="6" borderId="16" xfId="0" applyNumberFormat="1" applyFont="1" applyFill="1" applyBorder="1" applyAlignment="1">
      <alignment horizontal="right"/>
    </xf>
    <xf numFmtId="3" fontId="8" fillId="6" borderId="13" xfId="0" applyNumberFormat="1" applyFont="1" applyFill="1" applyBorder="1"/>
    <xf numFmtId="10" fontId="11" fillId="6" borderId="9" xfId="1" applyNumberFormat="1" applyFont="1" applyFill="1" applyBorder="1"/>
    <xf numFmtId="3" fontId="8" fillId="6" borderId="23" xfId="0" applyNumberFormat="1" applyFont="1" applyFill="1" applyBorder="1"/>
    <xf numFmtId="3" fontId="0" fillId="2" borderId="3" xfId="0" applyNumberFormat="1" applyFont="1" applyFill="1" applyBorder="1"/>
    <xf numFmtId="9" fontId="8" fillId="5" borderId="21" xfId="1" applyFont="1" applyFill="1" applyBorder="1"/>
    <xf numFmtId="0" fontId="8" fillId="3" borderId="20" xfId="0" applyFont="1" applyFill="1" applyBorder="1" applyAlignment="1">
      <alignment horizontal="right"/>
    </xf>
    <xf numFmtId="0" fontId="12" fillId="8" borderId="0" xfId="0" applyFont="1" applyFill="1" applyAlignment="1">
      <alignment horizontal="center"/>
    </xf>
    <xf numFmtId="3" fontId="8" fillId="4" borderId="13" xfId="0" applyNumberFormat="1" applyFon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3" fontId="8" fillId="4" borderId="23" xfId="0" applyNumberFormat="1" applyFont="1" applyFill="1" applyBorder="1"/>
    <xf numFmtId="0" fontId="1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2" fillId="8" borderId="0" xfId="0" applyFont="1" applyFill="1" applyAlignment="1">
      <alignment horizontal="center"/>
    </xf>
    <xf numFmtId="3" fontId="0" fillId="3" borderId="6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0" fontId="0" fillId="3" borderId="4" xfId="0" applyFont="1" applyFill="1" applyBorder="1"/>
    <xf numFmtId="3" fontId="8" fillId="6" borderId="22" xfId="0" applyNumberFormat="1" applyFont="1" applyFill="1" applyBorder="1"/>
    <xf numFmtId="0" fontId="10" fillId="3" borderId="1" xfId="0" applyFont="1" applyFill="1" applyBorder="1" applyAlignment="1"/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10" fillId="3" borderId="8" xfId="0" applyFont="1" applyFill="1" applyBorder="1" applyAlignment="1"/>
    <xf numFmtId="10" fontId="0" fillId="0" borderId="0" xfId="0" applyNumberFormat="1"/>
    <xf numFmtId="0" fontId="0" fillId="3" borderId="0" xfId="0" applyFill="1" applyAlignment="1">
      <alignment wrapText="1"/>
    </xf>
    <xf numFmtId="0" fontId="0" fillId="3" borderId="14" xfId="0" applyFill="1" applyBorder="1" applyAlignment="1">
      <alignment wrapText="1"/>
    </xf>
    <xf numFmtId="0" fontId="0" fillId="3" borderId="14" xfId="0" applyFill="1" applyBorder="1" applyAlignment="1">
      <alignment horizontal="left" vertical="top" wrapText="1"/>
    </xf>
    <xf numFmtId="9" fontId="0" fillId="9" borderId="0" xfId="0" applyNumberFormat="1" applyFont="1" applyFill="1"/>
    <xf numFmtId="3" fontId="0" fillId="9" borderId="0" xfId="0" applyNumberFormat="1" applyFont="1" applyFill="1"/>
    <xf numFmtId="3" fontId="7" fillId="9" borderId="0" xfId="0" applyNumberFormat="1" applyFont="1" applyFill="1"/>
    <xf numFmtId="164" fontId="7" fillId="9" borderId="7" xfId="0" applyNumberFormat="1" applyFont="1" applyFill="1" applyBorder="1"/>
    <xf numFmtId="164" fontId="0" fillId="9" borderId="7" xfId="0" applyNumberFormat="1" applyFont="1" applyFill="1" applyBorder="1"/>
    <xf numFmtId="9" fontId="13" fillId="5" borderId="21" xfId="1" applyFont="1" applyFill="1" applyBorder="1"/>
    <xf numFmtId="10" fontId="14" fillId="0" borderId="0" xfId="0" applyNumberFormat="1" applyFont="1"/>
    <xf numFmtId="3" fontId="13" fillId="5" borderId="21" xfId="0" applyNumberFormat="1" applyFont="1" applyFill="1" applyBorder="1"/>
    <xf numFmtId="3" fontId="15" fillId="9" borderId="2" xfId="0" applyNumberFormat="1" applyFont="1" applyFill="1" applyBorder="1"/>
    <xf numFmtId="3" fontId="15" fillId="9" borderId="3" xfId="0" applyNumberFormat="1" applyFont="1" applyFill="1" applyBorder="1"/>
    <xf numFmtId="9" fontId="15" fillId="9" borderId="0" xfId="0" applyNumberFormat="1" applyFont="1" applyFill="1"/>
    <xf numFmtId="3" fontId="15" fillId="9" borderId="0" xfId="0" applyNumberFormat="1" applyFont="1" applyFill="1"/>
    <xf numFmtId="0" fontId="12" fillId="8" borderId="0" xfId="0" applyFont="1" applyFill="1" applyAlignment="1">
      <alignment horizontal="center"/>
    </xf>
    <xf numFmtId="3" fontId="0" fillId="3" borderId="28" xfId="0" applyNumberFormat="1" applyFill="1" applyBorder="1" applyAlignment="1">
      <alignment horizontal="right"/>
    </xf>
    <xf numFmtId="3" fontId="0" fillId="3" borderId="29" xfId="0" applyNumberFormat="1" applyFill="1" applyBorder="1" applyAlignment="1">
      <alignment horizontal="right"/>
    </xf>
    <xf numFmtId="3" fontId="0" fillId="3" borderId="26" xfId="0" applyNumberFormat="1" applyFill="1" applyBorder="1" applyAlignment="1">
      <alignment horizontal="right"/>
    </xf>
    <xf numFmtId="3" fontId="0" fillId="3" borderId="27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10" fontId="6" fillId="6" borderId="1" xfId="0" applyNumberFormat="1" applyFont="1" applyFill="1" applyBorder="1" applyAlignment="1">
      <alignment horizontal="right"/>
    </xf>
    <xf numFmtId="10" fontId="6" fillId="6" borderId="3" xfId="0" applyNumberFormat="1" applyFont="1" applyFill="1" applyBorder="1" applyAlignment="1">
      <alignment horizontal="right"/>
    </xf>
    <xf numFmtId="8" fontId="6" fillId="3" borderId="4" xfId="0" applyNumberFormat="1" applyFont="1" applyFill="1" applyBorder="1" applyAlignment="1">
      <alignment horizontal="right"/>
    </xf>
    <xf numFmtId="8" fontId="6" fillId="3" borderId="5" xfId="0" applyNumberFormat="1" applyFont="1" applyFill="1" applyBorder="1" applyAlignment="1">
      <alignment horizontal="right"/>
    </xf>
    <xf numFmtId="9" fontId="6" fillId="3" borderId="6" xfId="0" applyNumberFormat="1" applyFont="1" applyFill="1" applyBorder="1" applyAlignment="1">
      <alignment horizontal="right"/>
    </xf>
    <xf numFmtId="9" fontId="6" fillId="3" borderId="8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0" fillId="3" borderId="25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left" wrapText="1"/>
    </xf>
    <xf numFmtId="10" fontId="6" fillId="6" borderId="1" xfId="0" applyNumberFormat="1" applyFont="1" applyFill="1" applyBorder="1" applyAlignment="1">
      <alignment horizontal="center"/>
    </xf>
    <xf numFmtId="10" fontId="6" fillId="6" borderId="31" xfId="0" applyNumberFormat="1" applyFont="1" applyFill="1" applyBorder="1" applyAlignment="1">
      <alignment horizontal="center"/>
    </xf>
    <xf numFmtId="8" fontId="6" fillId="3" borderId="4" xfId="0" applyNumberFormat="1" applyFont="1" applyFill="1" applyBorder="1" applyAlignment="1">
      <alignment horizontal="center"/>
    </xf>
    <xf numFmtId="8" fontId="6" fillId="3" borderId="11" xfId="0" applyNumberFormat="1" applyFont="1" applyFill="1" applyBorder="1" applyAlignment="1">
      <alignment horizontal="center"/>
    </xf>
    <xf numFmtId="9" fontId="6" fillId="3" borderId="6" xfId="0" applyNumberFormat="1" applyFont="1" applyFill="1" applyBorder="1" applyAlignment="1">
      <alignment horizontal="center"/>
    </xf>
    <xf numFmtId="9" fontId="6" fillId="3" borderId="30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3" fontId="6" fillId="5" borderId="32" xfId="0" applyNumberFormat="1" applyFont="1" applyFill="1" applyBorder="1" applyAlignment="1">
      <alignment horizontal="center"/>
    </xf>
    <xf numFmtId="3" fontId="6" fillId="5" borderId="27" xfId="0" applyNumberFormat="1" applyFont="1" applyFill="1" applyBorder="1" applyAlignment="1">
      <alignment horizontal="center"/>
    </xf>
    <xf numFmtId="3" fontId="8" fillId="5" borderId="25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297180</xdr:colOff>
      <xdr:row>2</xdr:row>
      <xdr:rowOff>13334</xdr:rowOff>
    </xdr:from>
    <xdr:to>
      <xdr:col>15</xdr:col>
      <xdr:colOff>764598</xdr:colOff>
      <xdr:row>39</xdr:row>
      <xdr:rowOff>112394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6899792-5802-43F4-9AF4-2C85C57BD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5360" y="470534"/>
          <a:ext cx="7515918" cy="7179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297180</xdr:colOff>
      <xdr:row>2</xdr:row>
      <xdr:rowOff>13334</xdr:rowOff>
    </xdr:from>
    <xdr:to>
      <xdr:col>15</xdr:col>
      <xdr:colOff>764598</xdr:colOff>
      <xdr:row>39</xdr:row>
      <xdr:rowOff>95249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245FB19-3DBA-41F0-8A3F-09C00379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4850" y="474344"/>
          <a:ext cx="7203498" cy="716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Blå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showWhiteSpace="0" view="pageLayout" topLeftCell="A22" zoomScaleNormal="100" workbookViewId="0">
      <selection activeCell="B25" sqref="B25"/>
    </sheetView>
  </sheetViews>
  <sheetFormatPr defaultColWidth="11.5546875" defaultRowHeight="14.4" x14ac:dyDescent="0.3"/>
  <cols>
    <col min="1" max="1" width="27.88671875" customWidth="1"/>
    <col min="2" max="2" width="12.109375" bestFit="1" customWidth="1"/>
    <col min="3" max="3" width="12.6640625" customWidth="1"/>
    <col min="4" max="4" width="13.6640625" customWidth="1"/>
    <col min="5" max="5" width="13.77734375" customWidth="1"/>
    <col min="6" max="6" width="12.109375" customWidth="1"/>
    <col min="9" max="9" width="22.33203125" customWidth="1"/>
    <col min="10" max="10" width="18" customWidth="1"/>
  </cols>
  <sheetData>
    <row r="1" spans="1:20" ht="18" x14ac:dyDescent="0.35">
      <c r="A1" s="132" t="s">
        <v>53</v>
      </c>
      <c r="B1" s="132"/>
      <c r="C1" s="132"/>
      <c r="D1" s="132"/>
      <c r="E1" s="132"/>
      <c r="F1" s="132"/>
      <c r="G1" s="132"/>
      <c r="H1" s="13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8" x14ac:dyDescent="0.35">
      <c r="A2" s="98"/>
      <c r="B2" s="98"/>
      <c r="C2" s="98"/>
      <c r="D2" s="98"/>
      <c r="E2" s="98"/>
      <c r="F2" s="98"/>
      <c r="G2" s="98"/>
      <c r="H2" s="98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600000000000001" thickBot="1" x14ac:dyDescent="0.4">
      <c r="A3" s="103"/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x14ac:dyDescent="0.3">
      <c r="B4" s="104" t="s">
        <v>37</v>
      </c>
      <c r="C4" s="1"/>
      <c r="D4" s="133"/>
      <c r="E4" s="134"/>
      <c r="F4" s="100" t="s">
        <v>38</v>
      </c>
      <c r="G4" s="100" t="s">
        <v>39</v>
      </c>
      <c r="H4" s="101" t="s">
        <v>40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15.6" x14ac:dyDescent="0.3">
      <c r="A5" s="35" t="s">
        <v>55</v>
      </c>
      <c r="B5" s="36">
        <v>22000000</v>
      </c>
      <c r="C5" s="1"/>
      <c r="D5" s="135" t="s">
        <v>45</v>
      </c>
      <c r="E5" s="136"/>
      <c r="F5" s="99">
        <v>22000000</v>
      </c>
      <c r="G5" s="64">
        <v>26809984</v>
      </c>
      <c r="H5" s="70">
        <f>(G5-F5)/F5</f>
        <v>0.21863563636363637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15.6" x14ac:dyDescent="0.3">
      <c r="A6" s="35" t="s">
        <v>46</v>
      </c>
      <c r="B6" s="44">
        <v>0.7</v>
      </c>
      <c r="C6" s="1"/>
      <c r="D6" s="135" t="s">
        <v>46</v>
      </c>
      <c r="E6" s="136"/>
      <c r="F6" s="43">
        <f>+B6</f>
        <v>0.7</v>
      </c>
      <c r="G6" s="48">
        <v>0.63400000000000001</v>
      </c>
      <c r="H6" s="72">
        <f>(G6-F6)/F6</f>
        <v>-9.4285714285714223E-2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16.2" thickBot="1" x14ac:dyDescent="0.35">
      <c r="A7" s="35" t="s">
        <v>48</v>
      </c>
      <c r="B7" s="36">
        <v>5</v>
      </c>
      <c r="C7" s="1"/>
      <c r="D7" s="137" t="s">
        <v>48</v>
      </c>
      <c r="E7" s="138"/>
      <c r="F7" s="102"/>
      <c r="G7" s="75"/>
      <c r="H7" s="7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15.6" x14ac:dyDescent="0.3">
      <c r="A8" s="35" t="s">
        <v>6</v>
      </c>
      <c r="B8" s="38">
        <v>6000000</v>
      </c>
      <c r="C8" s="1"/>
      <c r="D8" s="1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15.6" x14ac:dyDescent="0.3">
      <c r="A9" s="35" t="s">
        <v>8</v>
      </c>
      <c r="B9" s="38">
        <v>5500000</v>
      </c>
      <c r="C9" s="4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 ht="15.6" x14ac:dyDescent="0.3">
      <c r="A10" s="35" t="s">
        <v>41</v>
      </c>
      <c r="B10" s="40">
        <v>7.4999999999999997E-2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0" ht="16.2" thickBot="1" x14ac:dyDescent="0.35">
      <c r="A11" s="35" t="s">
        <v>42</v>
      </c>
      <c r="B11" s="39">
        <v>0.22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ht="15.6" x14ac:dyDescent="0.3">
      <c r="A12" s="35" t="s">
        <v>43</v>
      </c>
      <c r="B12" s="39">
        <v>0.15</v>
      </c>
      <c r="C12" s="1"/>
      <c r="D12" s="145" t="s">
        <v>12</v>
      </c>
      <c r="E12" s="146"/>
      <c r="F12" s="139">
        <v>0.15</v>
      </c>
      <c r="G12" s="14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0" ht="15.6" x14ac:dyDescent="0.3">
      <c r="A13" s="35" t="s">
        <v>44</v>
      </c>
      <c r="B13" s="39"/>
      <c r="C13" s="1"/>
      <c r="D13" s="147" t="s">
        <v>14</v>
      </c>
      <c r="E13" s="148"/>
      <c r="F13" s="141">
        <f>NPV(F12,C43:G43)+B43</f>
        <v>-930212.39157080301</v>
      </c>
      <c r="G13" s="14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0" ht="16.2" thickBot="1" x14ac:dyDescent="0.35">
      <c r="A14" s="1"/>
      <c r="B14" s="1"/>
      <c r="C14" s="1"/>
      <c r="D14" s="149" t="s">
        <v>16</v>
      </c>
      <c r="E14" s="150"/>
      <c r="F14" s="143">
        <f>IRR(B43:G43)</f>
        <v>-8.3109612175944925E-2</v>
      </c>
      <c r="G14" s="144"/>
      <c r="H14" s="45"/>
      <c r="I14" s="45"/>
      <c r="J14" s="45"/>
      <c r="K14" s="45"/>
      <c r="L14" s="45"/>
      <c r="M14" s="46"/>
      <c r="N14" s="1"/>
      <c r="O14" s="1"/>
      <c r="P14" s="1"/>
      <c r="Q14" s="1"/>
      <c r="R14" s="1"/>
    </row>
    <row r="15" spans="1:20" ht="15" thickBot="1" x14ac:dyDescent="0.35">
      <c r="A15" s="1"/>
      <c r="B15" s="1"/>
      <c r="C15" s="1"/>
      <c r="D15" s="1"/>
      <c r="E15" s="1"/>
      <c r="F15" s="1"/>
      <c r="G15" s="1"/>
      <c r="H15" s="45"/>
      <c r="I15" s="45"/>
      <c r="J15" s="45"/>
      <c r="K15" s="45"/>
      <c r="L15" s="45"/>
      <c r="M15" s="46"/>
      <c r="N15" s="1"/>
      <c r="O15" s="1"/>
      <c r="P15" s="1"/>
      <c r="Q15" s="1"/>
      <c r="R15" s="1"/>
    </row>
    <row r="16" spans="1:20" ht="14.4" customHeight="1" x14ac:dyDescent="0.3">
      <c r="A16" s="6" t="s">
        <v>0</v>
      </c>
      <c r="B16" s="7">
        <f>+$B$5*C46</f>
        <v>2000000</v>
      </c>
      <c r="C16" s="7">
        <f>+$B$5*D46</f>
        <v>4500000</v>
      </c>
      <c r="D16" s="7">
        <f>+$B$5*E46</f>
        <v>5000000</v>
      </c>
      <c r="E16" s="7">
        <f>+$B$5*F46</f>
        <v>5500000</v>
      </c>
      <c r="F16" s="95">
        <f>+$B$5*G46</f>
        <v>5000000</v>
      </c>
      <c r="G16" s="108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1" ht="14.4" customHeight="1" x14ac:dyDescent="0.3">
      <c r="A17" s="9" t="s">
        <v>1</v>
      </c>
      <c r="B17" s="10">
        <f>+B6</f>
        <v>0.7</v>
      </c>
      <c r="C17" s="11"/>
      <c r="D17" s="11"/>
      <c r="E17" s="11"/>
      <c r="F17" s="12"/>
      <c r="G17" s="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1" ht="14.4" customHeight="1" x14ac:dyDescent="0.3">
      <c r="A18" s="9" t="s">
        <v>2</v>
      </c>
      <c r="B18" s="10">
        <v>0.22</v>
      </c>
      <c r="C18" s="11"/>
      <c r="D18" s="11"/>
      <c r="E18" s="11"/>
      <c r="F18" s="12"/>
      <c r="G18" s="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1" ht="14.4" customHeight="1" x14ac:dyDescent="0.3">
      <c r="A19" s="9" t="s">
        <v>3</v>
      </c>
      <c r="B19" s="13">
        <v>5</v>
      </c>
      <c r="C19" s="11"/>
      <c r="D19" s="11"/>
      <c r="E19" s="11"/>
      <c r="F19" s="12"/>
      <c r="G19" s="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1" ht="14.4" customHeight="1" x14ac:dyDescent="0.3">
      <c r="A20" s="9" t="s">
        <v>4</v>
      </c>
      <c r="B20" s="14">
        <f>(B23-B24)/B19</f>
        <v>1200000</v>
      </c>
      <c r="C20" s="11"/>
      <c r="D20" s="11"/>
      <c r="E20" s="11"/>
      <c r="F20" s="12"/>
      <c r="G20" s="8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1" ht="14.4" customHeight="1" x14ac:dyDescent="0.3">
      <c r="A21" s="9" t="s">
        <v>5</v>
      </c>
      <c r="B21" s="10">
        <v>0.1</v>
      </c>
      <c r="C21" s="11"/>
      <c r="D21" s="11"/>
      <c r="E21" s="11"/>
      <c r="F21" s="12"/>
      <c r="G21" s="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1" ht="14.4" customHeight="1" x14ac:dyDescent="0.3">
      <c r="A22" s="9"/>
      <c r="B22" s="10"/>
      <c r="C22" s="11"/>
      <c r="D22" s="11"/>
      <c r="E22" s="11"/>
      <c r="F22" s="12"/>
      <c r="G22" s="8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1" ht="14.4" customHeight="1" x14ac:dyDescent="0.3">
      <c r="A23" s="9" t="s">
        <v>6</v>
      </c>
      <c r="B23" s="13">
        <f>+B8</f>
        <v>6000000</v>
      </c>
      <c r="C23" s="11"/>
      <c r="D23" s="11"/>
      <c r="E23" s="11"/>
      <c r="F23" s="12"/>
      <c r="G23" s="8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1" ht="14.4" customHeight="1" x14ac:dyDescent="0.3">
      <c r="A24" s="9" t="s">
        <v>7</v>
      </c>
      <c r="B24" s="13"/>
      <c r="C24" s="11"/>
      <c r="D24" s="11"/>
      <c r="E24" s="11"/>
      <c r="F24" s="12"/>
      <c r="G24" s="8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1" ht="14.4" customHeight="1" x14ac:dyDescent="0.3">
      <c r="A25" s="9" t="s">
        <v>8</v>
      </c>
      <c r="B25" s="13">
        <f>+B9</f>
        <v>5500000</v>
      </c>
      <c r="C25" s="14">
        <f>B25-$B$27</f>
        <v>4400000</v>
      </c>
      <c r="D25" s="14">
        <f t="shared" ref="D25:F25" si="0">C25-$B$27</f>
        <v>3300000</v>
      </c>
      <c r="E25" s="14">
        <f t="shared" si="0"/>
        <v>2200000</v>
      </c>
      <c r="F25" s="15">
        <f t="shared" si="0"/>
        <v>1100000</v>
      </c>
      <c r="G25" s="8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1" x14ac:dyDescent="0.3">
      <c r="A26" s="9" t="s">
        <v>9</v>
      </c>
      <c r="B26" s="13">
        <v>5</v>
      </c>
      <c r="C26" s="11"/>
      <c r="D26" s="11"/>
      <c r="E26" s="11"/>
      <c r="F26" s="1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1" x14ac:dyDescent="0.3">
      <c r="A27" s="9" t="s">
        <v>10</v>
      </c>
      <c r="B27" s="14">
        <f>B25/B26</f>
        <v>1100000</v>
      </c>
      <c r="C27" s="11"/>
      <c r="D27" s="11"/>
      <c r="E27" s="11"/>
      <c r="F27" s="1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1" ht="15" thickBot="1" x14ac:dyDescent="0.35">
      <c r="A28" s="16" t="s">
        <v>11</v>
      </c>
      <c r="B28" s="23">
        <f>+B10</f>
        <v>7.4999999999999997E-2</v>
      </c>
      <c r="C28" s="17"/>
      <c r="D28" s="17"/>
      <c r="E28" s="17"/>
      <c r="F28" s="1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1" x14ac:dyDescent="0.3">
      <c r="A29" s="8"/>
      <c r="B29" s="8"/>
      <c r="C29" s="8"/>
      <c r="D29" s="8"/>
      <c r="E29" s="8"/>
      <c r="F29" s="8"/>
      <c r="G29" s="1"/>
      <c r="H29" s="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21" ht="15.6" x14ac:dyDescent="0.3">
      <c r="A30" s="54" t="s">
        <v>13</v>
      </c>
      <c r="B30" s="54">
        <v>0</v>
      </c>
      <c r="C30" s="54">
        <v>1</v>
      </c>
      <c r="D30" s="54">
        <v>2</v>
      </c>
      <c r="E30" s="54">
        <v>3</v>
      </c>
      <c r="F30" s="54">
        <v>4</v>
      </c>
      <c r="G30" s="54">
        <v>5</v>
      </c>
      <c r="H30" s="24"/>
      <c r="I30" s="1"/>
      <c r="J30" s="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5.6" x14ac:dyDescent="0.3">
      <c r="A31" s="19" t="s">
        <v>15</v>
      </c>
      <c r="B31" s="20"/>
      <c r="C31" s="20">
        <f>+B16</f>
        <v>2000000</v>
      </c>
      <c r="D31" s="20">
        <f>+C16</f>
        <v>4500000</v>
      </c>
      <c r="E31" s="20">
        <f>+D16</f>
        <v>5000000</v>
      </c>
      <c r="F31" s="20">
        <f>+E16</f>
        <v>5500000</v>
      </c>
      <c r="G31" s="20">
        <f>+F16</f>
        <v>5000000</v>
      </c>
      <c r="H31" s="24"/>
      <c r="I31" s="1"/>
      <c r="J31" s="1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6" x14ac:dyDescent="0.3">
      <c r="A32" s="19" t="s">
        <v>17</v>
      </c>
      <c r="B32" s="19"/>
      <c r="C32" s="19"/>
      <c r="D32" s="19"/>
      <c r="E32" s="19"/>
      <c r="F32" s="19"/>
      <c r="G32" s="20">
        <f>B24</f>
        <v>0</v>
      </c>
      <c r="H32" s="24"/>
      <c r="I32" s="1"/>
      <c r="J32" s="1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3">
      <c r="A33" s="19" t="s">
        <v>18</v>
      </c>
      <c r="B33" s="20"/>
      <c r="C33" s="20">
        <f>-$B$17*B16</f>
        <v>-1400000</v>
      </c>
      <c r="D33" s="20">
        <f>-$B$17*C16</f>
        <v>-3150000</v>
      </c>
      <c r="E33" s="20">
        <f>-$B$17*D16</f>
        <v>-3500000</v>
      </c>
      <c r="F33" s="20">
        <f>-$B$17*E16</f>
        <v>-3849999.9999999995</v>
      </c>
      <c r="G33" s="20">
        <f>-$B$17*F16</f>
        <v>-3500000</v>
      </c>
      <c r="H33" s="8"/>
      <c r="I33" s="1"/>
      <c r="J33" s="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3">
      <c r="A34" s="19" t="s">
        <v>19</v>
      </c>
      <c r="B34" s="20"/>
      <c r="C34" s="20">
        <f>-$B$20</f>
        <v>-1200000</v>
      </c>
      <c r="D34" s="20">
        <f t="shared" ref="D34:G34" si="1">-$B$20</f>
        <v>-1200000</v>
      </c>
      <c r="E34" s="20">
        <f t="shared" si="1"/>
        <v>-1200000</v>
      </c>
      <c r="F34" s="20">
        <f t="shared" si="1"/>
        <v>-1200000</v>
      </c>
      <c r="G34" s="20">
        <f t="shared" si="1"/>
        <v>-1200000</v>
      </c>
      <c r="H34" s="8"/>
      <c r="I34" s="1"/>
      <c r="J34" s="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3">
      <c r="A35" s="19" t="s">
        <v>20</v>
      </c>
      <c r="B35" s="19"/>
      <c r="C35" s="20">
        <f>B25*$B$28*-1</f>
        <v>-412500</v>
      </c>
      <c r="D35" s="20">
        <f>C25*$B$28*-1</f>
        <v>-330000</v>
      </c>
      <c r="E35" s="20">
        <f>D25*$B$28*-1</f>
        <v>-247500</v>
      </c>
      <c r="F35" s="20">
        <f>E25*$B$28*-1</f>
        <v>-165000</v>
      </c>
      <c r="G35" s="20">
        <f>F25*$B$28*-1</f>
        <v>-82500</v>
      </c>
      <c r="H35" s="8"/>
      <c r="I35" s="1"/>
      <c r="J35" s="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53" customFormat="1" x14ac:dyDescent="0.3">
      <c r="A36" s="55" t="s">
        <v>21</v>
      </c>
      <c r="B36" s="56">
        <f>SUM(B31:B35)</f>
        <v>0</v>
      </c>
      <c r="C36" s="56">
        <f>SUM(C31:C35)</f>
        <v>-1012500</v>
      </c>
      <c r="D36" s="56">
        <f t="shared" ref="D36:F36" si="2">SUM(D31:D35)</f>
        <v>-180000</v>
      </c>
      <c r="E36" s="56">
        <f t="shared" si="2"/>
        <v>52500</v>
      </c>
      <c r="F36" s="56">
        <f t="shared" si="2"/>
        <v>285000.00000000047</v>
      </c>
      <c r="G36" s="56">
        <f>SUM(G31:G35)</f>
        <v>217500</v>
      </c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1"/>
      <c r="S36" s="51"/>
      <c r="T36" s="51"/>
      <c r="U36" s="51"/>
    </row>
    <row r="37" spans="1:21" x14ac:dyDescent="0.3">
      <c r="A37" s="19" t="s">
        <v>22</v>
      </c>
      <c r="B37" s="20">
        <f>-$B$18*B36</f>
        <v>0</v>
      </c>
      <c r="C37" s="20">
        <f>-$B$18*C36</f>
        <v>222750</v>
      </c>
      <c r="D37" s="20">
        <f t="shared" ref="D37:G37" si="3">-$B$18*D36</f>
        <v>39600</v>
      </c>
      <c r="E37" s="20">
        <f t="shared" si="3"/>
        <v>-11550</v>
      </c>
      <c r="F37" s="20">
        <f t="shared" si="3"/>
        <v>-62700.000000000102</v>
      </c>
      <c r="G37" s="20">
        <f t="shared" si="3"/>
        <v>-47850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s="53" customFormat="1" x14ac:dyDescent="0.3">
      <c r="A38" s="55" t="s">
        <v>23</v>
      </c>
      <c r="B38" s="56">
        <f>SUM(B36:B37)</f>
        <v>0</v>
      </c>
      <c r="C38" s="56">
        <f t="shared" ref="C38:G38" si="4">SUM(C36:C37)</f>
        <v>-789750</v>
      </c>
      <c r="D38" s="56">
        <f t="shared" si="4"/>
        <v>-140400</v>
      </c>
      <c r="E38" s="56">
        <f t="shared" si="4"/>
        <v>40950</v>
      </c>
      <c r="F38" s="56">
        <f t="shared" si="4"/>
        <v>222300.00000000035</v>
      </c>
      <c r="G38" s="56">
        <f t="shared" si="4"/>
        <v>169650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x14ac:dyDescent="0.3">
      <c r="A39" s="19" t="s">
        <v>24</v>
      </c>
      <c r="B39" s="20"/>
      <c r="C39" s="20">
        <f>-C34</f>
        <v>1200000</v>
      </c>
      <c r="D39" s="20">
        <f t="shared" ref="D39:G39" si="5">-D34</f>
        <v>1200000</v>
      </c>
      <c r="E39" s="20">
        <f t="shared" si="5"/>
        <v>1200000</v>
      </c>
      <c r="F39" s="20">
        <f t="shared" si="5"/>
        <v>1200000</v>
      </c>
      <c r="G39" s="20">
        <f t="shared" si="5"/>
        <v>1200000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3">
      <c r="A40" s="19" t="s">
        <v>25</v>
      </c>
      <c r="B40" s="20">
        <f>-B23</f>
        <v>-6000000</v>
      </c>
      <c r="C40" s="20"/>
      <c r="D40" s="20"/>
      <c r="E40" s="20"/>
      <c r="F40" s="20"/>
      <c r="G40" s="2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3">
      <c r="A41" s="19" t="s">
        <v>26</v>
      </c>
      <c r="B41" s="3">
        <v>-200000</v>
      </c>
      <c r="C41" s="3">
        <v>-250000</v>
      </c>
      <c r="D41" s="3">
        <v>-50000</v>
      </c>
      <c r="E41" s="3">
        <v>-50000</v>
      </c>
      <c r="F41" s="3">
        <v>50000</v>
      </c>
      <c r="G41" s="3">
        <v>500000</v>
      </c>
      <c r="H41" s="22">
        <f>SUM(B41:G41)</f>
        <v>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3">
      <c r="A42" s="19" t="s">
        <v>27</v>
      </c>
      <c r="B42" s="20">
        <f>B25</f>
        <v>5500000</v>
      </c>
      <c r="C42" s="20">
        <f>-$B$27</f>
        <v>-1100000</v>
      </c>
      <c r="D42" s="20">
        <f>-$B$27</f>
        <v>-1100000</v>
      </c>
      <c r="E42" s="20">
        <f t="shared" ref="E42:G42" si="6">-$B$27</f>
        <v>-1100000</v>
      </c>
      <c r="F42" s="20">
        <f t="shared" si="6"/>
        <v>-1100000</v>
      </c>
      <c r="G42" s="20">
        <f t="shared" si="6"/>
        <v>-1100000</v>
      </c>
      <c r="H42" s="22">
        <f>SUM(B42:G42)</f>
        <v>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3">
      <c r="A43" s="57" t="s">
        <v>28</v>
      </c>
      <c r="B43" s="58">
        <f>SUM(B38:B42)</f>
        <v>-700000</v>
      </c>
      <c r="C43" s="58">
        <f>SUM(C38:C42)</f>
        <v>-939750</v>
      </c>
      <c r="D43" s="58">
        <f t="shared" ref="D43:G43" si="7">SUM(D38:D42)</f>
        <v>-90400</v>
      </c>
      <c r="E43" s="58">
        <f t="shared" si="7"/>
        <v>90950</v>
      </c>
      <c r="F43" s="58">
        <f t="shared" si="7"/>
        <v>372300.00000000047</v>
      </c>
      <c r="G43" s="58">
        <f t="shared" si="7"/>
        <v>769650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3">
      <c r="A45" s="8"/>
      <c r="B45" s="20"/>
      <c r="C45" s="20">
        <v>2000000</v>
      </c>
      <c r="D45" s="20">
        <v>4500000</v>
      </c>
      <c r="E45" s="20">
        <v>5000000</v>
      </c>
      <c r="F45" s="20">
        <v>5500000</v>
      </c>
      <c r="G45" s="20">
        <v>5000000</v>
      </c>
      <c r="H45" s="20"/>
      <c r="I45" s="8"/>
      <c r="J45" s="8"/>
      <c r="K45" s="8"/>
      <c r="L45" s="8"/>
      <c r="M45" s="8"/>
      <c r="N45" s="8"/>
      <c r="O45" s="8"/>
      <c r="P45" s="8"/>
      <c r="Q45" s="8"/>
      <c r="R45" s="8"/>
      <c r="S45" s="11"/>
      <c r="T45" s="11"/>
      <c r="U45" s="11"/>
    </row>
    <row r="46" spans="1:21" x14ac:dyDescent="0.3">
      <c r="A46" s="47" t="s">
        <v>47</v>
      </c>
      <c r="B46" s="20">
        <f>+B31</f>
        <v>0</v>
      </c>
      <c r="C46" s="49">
        <f>+C45/$H$46</f>
        <v>9.0909090909090912E-2</v>
      </c>
      <c r="D46" s="49">
        <f t="shared" ref="D46:G46" si="8">+D45/$H$46</f>
        <v>0.20454545454545456</v>
      </c>
      <c r="E46" s="49">
        <f t="shared" si="8"/>
        <v>0.22727272727272727</v>
      </c>
      <c r="F46" s="49">
        <f t="shared" si="8"/>
        <v>0.25</v>
      </c>
      <c r="G46" s="49">
        <f t="shared" si="8"/>
        <v>0.22727272727272727</v>
      </c>
      <c r="H46" s="20">
        <v>22000000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11"/>
      <c r="T46" s="11"/>
      <c r="U46" s="11"/>
    </row>
    <row r="47" spans="1:2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1"/>
      <c r="T47" s="11"/>
      <c r="U47" s="11"/>
    </row>
    <row r="48" spans="1:2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</sheetData>
  <mergeCells count="11">
    <mergeCell ref="F12:G12"/>
    <mergeCell ref="F13:G13"/>
    <mergeCell ref="F14:G14"/>
    <mergeCell ref="D12:E12"/>
    <mergeCell ref="D13:E13"/>
    <mergeCell ref="D14:E14"/>
    <mergeCell ref="A1:H1"/>
    <mergeCell ref="D4:E4"/>
    <mergeCell ref="D5:E5"/>
    <mergeCell ref="D6:E6"/>
    <mergeCell ref="D7:E7"/>
  </mergeCells>
  <pageMargins left="0.7" right="0.7" top="0.75" bottom="0.75" header="0.3" footer="0.3"/>
  <pageSetup paperSize="9"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2"/>
  <sheetViews>
    <sheetView zoomScaleNormal="100" workbookViewId="0">
      <selection activeCell="H15" sqref="H15"/>
    </sheetView>
  </sheetViews>
  <sheetFormatPr defaultColWidth="11.5546875" defaultRowHeight="14.4" x14ac:dyDescent="0.3"/>
  <cols>
    <col min="1" max="1" width="23.6640625" customWidth="1"/>
    <col min="3" max="3" width="13" customWidth="1"/>
    <col min="4" max="4" width="12.33203125" customWidth="1"/>
    <col min="6" max="6" width="11" customWidth="1"/>
    <col min="7" max="7" width="12.21875" customWidth="1"/>
    <col min="9" max="9" width="22.44140625" customWidth="1"/>
    <col min="10" max="10" width="18" customWidth="1"/>
  </cols>
  <sheetData>
    <row r="1" spans="1:21" ht="18" x14ac:dyDescent="0.35">
      <c r="A1" s="132" t="s">
        <v>52</v>
      </c>
      <c r="B1" s="132"/>
      <c r="C1" s="132"/>
      <c r="D1" s="132"/>
      <c r="E1" s="132"/>
      <c r="F1" s="132"/>
      <c r="G1" s="132"/>
      <c r="H1" s="132"/>
      <c r="I1" s="1"/>
      <c r="J1" s="1"/>
      <c r="K1" s="1"/>
      <c r="L1" s="1"/>
      <c r="M1" s="1"/>
      <c r="N1" s="1"/>
      <c r="O1" s="1"/>
      <c r="P1" s="1"/>
      <c r="Q1" s="1"/>
    </row>
    <row r="2" spans="1:21" ht="18" x14ac:dyDescent="0.35">
      <c r="A2" s="98"/>
      <c r="B2" s="98"/>
      <c r="C2" s="98"/>
      <c r="D2" s="98"/>
      <c r="E2" s="98"/>
      <c r="F2" s="98"/>
      <c r="G2" s="98"/>
      <c r="H2" s="98"/>
      <c r="I2" s="1"/>
      <c r="J2" s="1"/>
      <c r="K2" s="1"/>
      <c r="L2" s="1"/>
      <c r="M2" s="1"/>
      <c r="N2" s="1"/>
      <c r="O2" s="1"/>
      <c r="P2" s="1"/>
      <c r="Q2" s="1"/>
    </row>
    <row r="3" spans="1:21" ht="18.600000000000001" thickBot="1" x14ac:dyDescent="0.4">
      <c r="A3" s="103"/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O3" s="1"/>
      <c r="P3" s="1"/>
      <c r="Q3" s="1"/>
    </row>
    <row r="4" spans="1:21" ht="15.6" x14ac:dyDescent="0.3">
      <c r="A4" s="77"/>
      <c r="B4" s="84" t="s">
        <v>37</v>
      </c>
      <c r="C4" s="1"/>
      <c r="D4" s="133"/>
      <c r="E4" s="134"/>
      <c r="F4" s="91" t="s">
        <v>38</v>
      </c>
      <c r="G4" s="67" t="s">
        <v>39</v>
      </c>
      <c r="H4" s="68" t="s">
        <v>49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6" x14ac:dyDescent="0.3">
      <c r="A5" s="69" t="s">
        <v>45</v>
      </c>
      <c r="B5" s="85">
        <v>22000000</v>
      </c>
      <c r="C5" s="1"/>
      <c r="D5" s="135" t="s">
        <v>45</v>
      </c>
      <c r="E5" s="136"/>
      <c r="F5" s="92">
        <v>22000000</v>
      </c>
      <c r="G5" s="64">
        <v>25804712</v>
      </c>
      <c r="H5" s="70">
        <f>(G5-F5)/F5</f>
        <v>0.17294145454545454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6" x14ac:dyDescent="0.3">
      <c r="A6" s="71" t="s">
        <v>46</v>
      </c>
      <c r="B6" s="86">
        <v>0.7</v>
      </c>
      <c r="C6" s="1"/>
      <c r="D6" s="135" t="s">
        <v>46</v>
      </c>
      <c r="E6" s="136"/>
      <c r="F6" s="93">
        <f>+B6</f>
        <v>0.7</v>
      </c>
      <c r="G6" s="37">
        <v>0.65100000000000002</v>
      </c>
      <c r="H6" s="72">
        <f>(G6-F6)/F6</f>
        <v>-6.999999999999991E-2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2" thickBot="1" x14ac:dyDescent="0.35">
      <c r="A7" s="71" t="s">
        <v>48</v>
      </c>
      <c r="B7" s="87">
        <v>5</v>
      </c>
      <c r="C7" s="1"/>
      <c r="D7" s="137" t="s">
        <v>48</v>
      </c>
      <c r="E7" s="138"/>
      <c r="F7" s="94">
        <f>+B7</f>
        <v>5</v>
      </c>
      <c r="G7" s="75">
        <v>6.3</v>
      </c>
      <c r="H7" s="76">
        <f>(G7-F7)/F7</f>
        <v>0.25999999999999995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6" x14ac:dyDescent="0.3">
      <c r="A8" s="71" t="s">
        <v>6</v>
      </c>
      <c r="B8" s="87">
        <v>6000000</v>
      </c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6" x14ac:dyDescent="0.3">
      <c r="A9" s="71" t="s">
        <v>8</v>
      </c>
      <c r="B9" s="87">
        <v>5500000</v>
      </c>
      <c r="C9" s="4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6.2" thickBot="1" x14ac:dyDescent="0.35">
      <c r="A10" s="71" t="s">
        <v>41</v>
      </c>
      <c r="B10" s="88">
        <v>7.4999999999999997E-2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6" x14ac:dyDescent="0.3">
      <c r="A11" s="71" t="s">
        <v>51</v>
      </c>
      <c r="B11" s="88">
        <v>2.5000000000000001E-2</v>
      </c>
      <c r="C11" s="1"/>
      <c r="D11" s="110" t="s">
        <v>12</v>
      </c>
      <c r="E11" s="111"/>
      <c r="F11" s="153">
        <v>0.15</v>
      </c>
      <c r="G11" s="15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6" x14ac:dyDescent="0.3">
      <c r="A12" s="71" t="s">
        <v>42</v>
      </c>
      <c r="B12" s="89">
        <f>+B20</f>
        <v>0.1</v>
      </c>
      <c r="C12" s="1"/>
      <c r="D12" s="112" t="s">
        <v>14</v>
      </c>
      <c r="E12" s="113"/>
      <c r="F12" s="155">
        <f>NPV(F11,C49:G49)+B49</f>
        <v>-620041.86616530479</v>
      </c>
      <c r="G12" s="15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2" thickBot="1" x14ac:dyDescent="0.35">
      <c r="A13" s="73" t="s">
        <v>43</v>
      </c>
      <c r="B13" s="90">
        <v>0.15</v>
      </c>
      <c r="C13" s="1"/>
      <c r="D13" s="114" t="s">
        <v>16</v>
      </c>
      <c r="E13" s="115"/>
      <c r="F13" s="157">
        <f>IRR(B49:G49)</f>
        <v>-5.6508031408400994E-3</v>
      </c>
      <c r="G13" s="1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3">
      <c r="A15" s="1"/>
      <c r="B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">
      <c r="A16" s="1"/>
      <c r="B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ht="15" thickBot="1" x14ac:dyDescent="0.35">
      <c r="A17" s="34"/>
      <c r="B17" s="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2" ht="14.4" customHeight="1" x14ac:dyDescent="0.3">
      <c r="A18" s="6" t="s">
        <v>0</v>
      </c>
      <c r="B18" s="7">
        <v>2000000</v>
      </c>
      <c r="C18" s="7">
        <v>4500000</v>
      </c>
      <c r="D18" s="7">
        <v>5000000</v>
      </c>
      <c r="E18" s="7">
        <v>5500000</v>
      </c>
      <c r="F18" s="95">
        <v>5000000</v>
      </c>
      <c r="H18" s="8"/>
      <c r="I18" s="8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3">
      <c r="A19" s="9" t="s">
        <v>1</v>
      </c>
      <c r="B19" s="10">
        <f>+B6</f>
        <v>0.7</v>
      </c>
      <c r="C19" s="11"/>
      <c r="D19" s="11"/>
      <c r="E19" s="11"/>
      <c r="F19" s="12"/>
      <c r="G19" s="8"/>
      <c r="H19" s="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x14ac:dyDescent="0.3">
      <c r="A20" s="9" t="s">
        <v>2</v>
      </c>
      <c r="B20" s="10">
        <v>0.1</v>
      </c>
      <c r="C20" s="11"/>
      <c r="D20" s="11"/>
      <c r="E20" s="11"/>
      <c r="F20" s="12"/>
      <c r="G20" s="8"/>
      <c r="H20" s="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2" x14ac:dyDescent="0.3">
      <c r="A21" s="9" t="s">
        <v>3</v>
      </c>
      <c r="B21" s="13">
        <f>+B7</f>
        <v>5</v>
      </c>
      <c r="C21" s="11"/>
      <c r="D21" s="11"/>
      <c r="E21" s="11"/>
      <c r="F21" s="12"/>
      <c r="G21" s="8"/>
      <c r="H21" s="8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2" x14ac:dyDescent="0.3">
      <c r="A22" s="9" t="s">
        <v>4</v>
      </c>
      <c r="B22" s="14">
        <f>(B25-B26)/B21</f>
        <v>1200000</v>
      </c>
      <c r="C22" s="11"/>
      <c r="D22" s="11"/>
      <c r="E22" s="11"/>
      <c r="F22" s="15"/>
      <c r="G22" s="8"/>
      <c r="H22" s="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2" x14ac:dyDescent="0.3">
      <c r="A23" s="9" t="s">
        <v>5</v>
      </c>
      <c r="B23" s="10">
        <v>0.1</v>
      </c>
      <c r="C23" s="11"/>
      <c r="D23" s="11"/>
      <c r="E23" s="11"/>
      <c r="F23" s="15"/>
      <c r="G23" s="8"/>
      <c r="H23" s="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2" x14ac:dyDescent="0.3">
      <c r="A24" s="9"/>
      <c r="B24" s="10"/>
      <c r="C24" s="11"/>
      <c r="D24" s="11"/>
      <c r="E24" s="11"/>
      <c r="F24" s="15"/>
      <c r="G24" s="8"/>
      <c r="H24" s="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x14ac:dyDescent="0.3">
      <c r="A25" s="9" t="s">
        <v>6</v>
      </c>
      <c r="B25" s="13">
        <v>6000000</v>
      </c>
      <c r="C25" s="11"/>
      <c r="D25" s="11"/>
      <c r="E25" s="11"/>
      <c r="F25" s="15"/>
      <c r="G25" s="8"/>
      <c r="H25" s="8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2" x14ac:dyDescent="0.3">
      <c r="A26" s="9" t="s">
        <v>7</v>
      </c>
      <c r="B26" s="13"/>
      <c r="C26" s="11"/>
      <c r="D26" s="11"/>
      <c r="E26" s="11"/>
      <c r="F26" s="15"/>
      <c r="G26" s="8"/>
      <c r="H26" s="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2" x14ac:dyDescent="0.3">
      <c r="A27" s="25" t="s">
        <v>29</v>
      </c>
      <c r="B27" s="26">
        <v>4000000</v>
      </c>
      <c r="C27" s="27">
        <f>B27-$B$28</f>
        <v>3200000</v>
      </c>
      <c r="D27" s="27">
        <f t="shared" ref="D27:F27" si="0">C27-$B$28</f>
        <v>2400000</v>
      </c>
      <c r="E27" s="27">
        <f t="shared" si="0"/>
        <v>1600000</v>
      </c>
      <c r="F27" s="28">
        <f t="shared" si="0"/>
        <v>800000</v>
      </c>
      <c r="G27" s="8"/>
      <c r="H27" s="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2" x14ac:dyDescent="0.3">
      <c r="A28" s="29" t="s">
        <v>10</v>
      </c>
      <c r="B28" s="27">
        <f>+B27/B31</f>
        <v>800000</v>
      </c>
      <c r="C28" s="27"/>
      <c r="D28" s="30"/>
      <c r="E28" s="30"/>
      <c r="F28" s="28"/>
      <c r="G28" s="8"/>
      <c r="H28" s="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2" ht="15" thickBot="1" x14ac:dyDescent="0.35">
      <c r="A29" s="25" t="s">
        <v>30</v>
      </c>
      <c r="B29" s="31">
        <v>2.5000000000000001E-2</v>
      </c>
      <c r="C29" s="27"/>
      <c r="D29" s="30"/>
      <c r="E29" s="30"/>
      <c r="F29" s="28"/>
      <c r="G29" s="8"/>
      <c r="H29" s="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x14ac:dyDescent="0.3">
      <c r="A30" s="9" t="s">
        <v>8</v>
      </c>
      <c r="B30" s="13">
        <v>1500000</v>
      </c>
      <c r="C30" s="14">
        <f>B30-$B$32</f>
        <v>1200000</v>
      </c>
      <c r="D30" s="14">
        <f t="shared" ref="D30:F30" si="1">C30-$B$32</f>
        <v>900000</v>
      </c>
      <c r="E30" s="14">
        <f t="shared" si="1"/>
        <v>600000</v>
      </c>
      <c r="F30" s="15">
        <f t="shared" si="1"/>
        <v>300000</v>
      </c>
      <c r="G30" s="8"/>
      <c r="H30" s="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2" x14ac:dyDescent="0.3">
      <c r="A31" s="9" t="s">
        <v>9</v>
      </c>
      <c r="B31" s="13">
        <f>+B7</f>
        <v>5</v>
      </c>
      <c r="C31" s="11"/>
      <c r="D31" s="11"/>
      <c r="E31" s="11"/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2" x14ac:dyDescent="0.3">
      <c r="A32" s="9" t="s">
        <v>10</v>
      </c>
      <c r="B32" s="14">
        <f>B30/B31</f>
        <v>300000</v>
      </c>
      <c r="C32" s="11"/>
      <c r="D32" s="11"/>
      <c r="E32" s="11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5" thickBot="1" x14ac:dyDescent="0.35">
      <c r="A33" s="16" t="s">
        <v>11</v>
      </c>
      <c r="B33" s="23">
        <v>7.4999999999999997E-2</v>
      </c>
      <c r="C33" s="17"/>
      <c r="D33" s="17"/>
      <c r="E33" s="17"/>
      <c r="F33" s="1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6" x14ac:dyDescent="0.3">
      <c r="A34" s="8"/>
      <c r="B34" s="8"/>
      <c r="C34" s="8"/>
      <c r="D34" s="8"/>
      <c r="E34" s="8"/>
      <c r="F34" s="8"/>
      <c r="G34" s="8"/>
      <c r="H34" s="24"/>
      <c r="I34" s="1"/>
      <c r="J34" s="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5.6" x14ac:dyDescent="0.3">
      <c r="A35" s="54" t="s">
        <v>13</v>
      </c>
      <c r="B35" s="54">
        <v>0</v>
      </c>
      <c r="C35" s="54">
        <v>1</v>
      </c>
      <c r="D35" s="54">
        <v>2</v>
      </c>
      <c r="E35" s="54">
        <v>3</v>
      </c>
      <c r="F35" s="54">
        <v>4</v>
      </c>
      <c r="G35" s="54">
        <v>5</v>
      </c>
      <c r="H35" s="24"/>
      <c r="I35" s="1"/>
      <c r="J35" s="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6" x14ac:dyDescent="0.3">
      <c r="A36" s="19" t="s">
        <v>15</v>
      </c>
      <c r="B36" s="20"/>
      <c r="C36" s="20">
        <f>+B18</f>
        <v>2000000</v>
      </c>
      <c r="D36" s="20">
        <f>C18</f>
        <v>4500000</v>
      </c>
      <c r="E36" s="20">
        <f>D18</f>
        <v>5000000</v>
      </c>
      <c r="F36" s="20">
        <f>E18</f>
        <v>5500000</v>
      </c>
      <c r="G36" s="20">
        <f>F18</f>
        <v>5000000</v>
      </c>
      <c r="H36" s="24"/>
      <c r="I36" s="1"/>
      <c r="J36" s="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5.6" x14ac:dyDescent="0.3">
      <c r="A37" s="19" t="s">
        <v>17</v>
      </c>
      <c r="B37" s="19"/>
      <c r="C37" s="19"/>
      <c r="D37" s="19"/>
      <c r="E37" s="19"/>
      <c r="F37" s="19"/>
      <c r="G37" s="20">
        <f>B26</f>
        <v>0</v>
      </c>
      <c r="H37" s="24"/>
      <c r="I37" s="1"/>
      <c r="J37" s="1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3">
      <c r="A38" s="19" t="s">
        <v>18</v>
      </c>
      <c r="B38" s="20"/>
      <c r="C38" s="20">
        <f>-$B$19*B18</f>
        <v>-1400000</v>
      </c>
      <c r="D38" s="20">
        <f>-$B$19*C18</f>
        <v>-3150000</v>
      </c>
      <c r="E38" s="20">
        <f>-$B$19*D18</f>
        <v>-3500000</v>
      </c>
      <c r="F38" s="20">
        <f>-$B$19*E18</f>
        <v>-3849999.9999999995</v>
      </c>
      <c r="G38" s="20">
        <f>-$B$19*F18</f>
        <v>-3500000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3">
      <c r="A39" s="19" t="s">
        <v>19</v>
      </c>
      <c r="B39" s="20"/>
      <c r="C39" s="20">
        <f>-$B$22</f>
        <v>-1200000</v>
      </c>
      <c r="D39" s="20">
        <f t="shared" ref="D39:G39" si="2">-$B$22</f>
        <v>-1200000</v>
      </c>
      <c r="E39" s="20">
        <f t="shared" si="2"/>
        <v>-1200000</v>
      </c>
      <c r="F39" s="20">
        <f t="shared" si="2"/>
        <v>-1200000</v>
      </c>
      <c r="G39" s="20">
        <f t="shared" si="2"/>
        <v>-1200000</v>
      </c>
      <c r="H39" s="8" t="s">
        <v>35</v>
      </c>
      <c r="I39" s="1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3">
      <c r="A40" s="19" t="s">
        <v>20</v>
      </c>
      <c r="B40" s="19"/>
      <c r="C40" s="20">
        <f>B30*$B$33*-1</f>
        <v>-112500</v>
      </c>
      <c r="D40" s="20">
        <f>C30*$B$33*-1</f>
        <v>-90000</v>
      </c>
      <c r="E40" s="20">
        <f>D30*$B$33*-1</f>
        <v>-67500</v>
      </c>
      <c r="F40" s="20">
        <f>E30*$B$33*-1</f>
        <v>-45000</v>
      </c>
      <c r="G40" s="20">
        <f>F30*$B$33*-1</f>
        <v>-22500</v>
      </c>
      <c r="H40" s="152" t="s">
        <v>34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3">
      <c r="A41" s="19" t="s">
        <v>31</v>
      </c>
      <c r="B41" s="19"/>
      <c r="C41" s="20">
        <f>-B27*$B$29</f>
        <v>-100000</v>
      </c>
      <c r="D41" s="20">
        <f>-C27*$B$29</f>
        <v>-80000</v>
      </c>
      <c r="E41" s="20">
        <f>-D27*$B$29</f>
        <v>-60000</v>
      </c>
      <c r="F41" s="20">
        <f>-E27*$B$29</f>
        <v>-40000</v>
      </c>
      <c r="G41" s="20">
        <f>-F27*$B$29</f>
        <v>-20000</v>
      </c>
      <c r="H41" s="152"/>
      <c r="I41" s="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3">
      <c r="A42" s="55" t="s">
        <v>21</v>
      </c>
      <c r="B42" s="56">
        <f>SUM(B36:B40)</f>
        <v>0</v>
      </c>
      <c r="C42" s="56">
        <f>SUM(C36:C41)</f>
        <v>-812500</v>
      </c>
      <c r="D42" s="56">
        <f t="shared" ref="D42:G42" si="3">SUM(D36:D41)</f>
        <v>-20000</v>
      </c>
      <c r="E42" s="56">
        <f t="shared" si="3"/>
        <v>172500</v>
      </c>
      <c r="F42" s="56">
        <f t="shared" si="3"/>
        <v>365000.00000000047</v>
      </c>
      <c r="G42" s="56">
        <f t="shared" si="3"/>
        <v>257500</v>
      </c>
      <c r="H42" s="8"/>
      <c r="I42" s="8"/>
      <c r="J42" s="8"/>
      <c r="K42" s="8"/>
      <c r="L42" s="8"/>
      <c r="M42" s="8"/>
      <c r="N42" s="21"/>
      <c r="O42" s="8"/>
      <c r="P42" s="8"/>
      <c r="Q42" s="8"/>
      <c r="R42" s="8"/>
      <c r="S42" s="8"/>
      <c r="T42" s="8"/>
      <c r="U42" s="8"/>
    </row>
    <row r="43" spans="1:21" ht="14.4" customHeight="1" x14ac:dyDescent="0.3">
      <c r="A43" s="19" t="s">
        <v>22</v>
      </c>
      <c r="B43" s="20">
        <f>-$B$20*B42</f>
        <v>0</v>
      </c>
      <c r="C43" s="20">
        <f>-$B$20*C42</f>
        <v>81250</v>
      </c>
      <c r="D43" s="20">
        <f t="shared" ref="D43:G43" si="4">-$B$20*D42</f>
        <v>2000</v>
      </c>
      <c r="E43" s="20">
        <f t="shared" si="4"/>
        <v>-17250</v>
      </c>
      <c r="F43" s="20">
        <f t="shared" si="4"/>
        <v>-36500.000000000051</v>
      </c>
      <c r="G43" s="20">
        <f t="shared" si="4"/>
        <v>-25750</v>
      </c>
      <c r="H43" s="151" t="s">
        <v>36</v>
      </c>
      <c r="I43" s="1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3">
      <c r="A44" s="55" t="s">
        <v>23</v>
      </c>
      <c r="B44" s="56">
        <f>SUM(B42:B43)</f>
        <v>0</v>
      </c>
      <c r="C44" s="56">
        <f t="shared" ref="C44:G44" si="5">SUM(C42:C43)</f>
        <v>-731250</v>
      </c>
      <c r="D44" s="56">
        <f t="shared" si="5"/>
        <v>-18000</v>
      </c>
      <c r="E44" s="56">
        <f t="shared" si="5"/>
        <v>155250</v>
      </c>
      <c r="F44" s="56">
        <f t="shared" si="5"/>
        <v>328500.00000000041</v>
      </c>
      <c r="G44" s="56">
        <f t="shared" si="5"/>
        <v>231750</v>
      </c>
      <c r="H44" s="15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3">
      <c r="A45" s="19" t="s">
        <v>24</v>
      </c>
      <c r="B45" s="20"/>
      <c r="C45" s="20">
        <f>-C39</f>
        <v>1200000</v>
      </c>
      <c r="D45" s="20">
        <f t="shared" ref="D45:G45" si="6">-D39</f>
        <v>1200000</v>
      </c>
      <c r="E45" s="20">
        <f t="shared" si="6"/>
        <v>1200000</v>
      </c>
      <c r="F45" s="20">
        <f t="shared" si="6"/>
        <v>1200000</v>
      </c>
      <c r="G45" s="20">
        <f t="shared" si="6"/>
        <v>1200000</v>
      </c>
      <c r="H45" s="15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3">
      <c r="A46" s="19" t="s">
        <v>25</v>
      </c>
      <c r="B46" s="20">
        <f>-B25</f>
        <v>-6000000</v>
      </c>
      <c r="C46" s="20"/>
      <c r="D46" s="20"/>
      <c r="E46" s="20"/>
      <c r="F46" s="20"/>
      <c r="G46" s="20"/>
      <c r="H46" s="15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3">
      <c r="A47" s="19" t="s">
        <v>26</v>
      </c>
      <c r="B47" s="20">
        <f>B54</f>
        <v>-200000</v>
      </c>
      <c r="C47" s="20">
        <f t="shared" ref="C47:F47" si="7">C54</f>
        <v>-250000</v>
      </c>
      <c r="D47" s="20">
        <f t="shared" si="7"/>
        <v>-50000</v>
      </c>
      <c r="E47" s="20">
        <f t="shared" si="7"/>
        <v>-50000</v>
      </c>
      <c r="F47" s="20">
        <f t="shared" si="7"/>
        <v>50000</v>
      </c>
      <c r="G47" s="20">
        <f>+G54</f>
        <v>500000</v>
      </c>
      <c r="H47" s="22">
        <f>SUM(B47:G47)</f>
        <v>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3">
      <c r="A48" s="19" t="s">
        <v>27</v>
      </c>
      <c r="B48" s="20">
        <f>B30+B27</f>
        <v>5500000</v>
      </c>
      <c r="C48" s="20">
        <f>-$B$32-$B$28</f>
        <v>-1100000</v>
      </c>
      <c r="D48" s="20">
        <f t="shared" ref="D48:G48" si="8">-$B$32-$B$28</f>
        <v>-1100000</v>
      </c>
      <c r="E48" s="20">
        <f t="shared" si="8"/>
        <v>-1100000</v>
      </c>
      <c r="F48" s="20">
        <f t="shared" si="8"/>
        <v>-1100000</v>
      </c>
      <c r="G48" s="20">
        <f t="shared" si="8"/>
        <v>-1100000</v>
      </c>
      <c r="H48" s="22">
        <f>SUM(B48:G48)</f>
        <v>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2" x14ac:dyDescent="0.3">
      <c r="A49" s="57" t="s">
        <v>28</v>
      </c>
      <c r="B49" s="58">
        <f>SUM(B44:B48)</f>
        <v>-700000</v>
      </c>
      <c r="C49" s="58">
        <f>SUM(C44:C48)</f>
        <v>-881250</v>
      </c>
      <c r="D49" s="58">
        <f t="shared" ref="D49:G49" si="9">SUM(D44:D48)</f>
        <v>32000</v>
      </c>
      <c r="E49" s="58">
        <f t="shared" si="9"/>
        <v>205250</v>
      </c>
      <c r="F49" s="58">
        <f t="shared" si="9"/>
        <v>478500.00000000047</v>
      </c>
      <c r="G49" s="58">
        <f t="shared" si="9"/>
        <v>831750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2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2" x14ac:dyDescent="0.3">
      <c r="A51" s="59" t="s">
        <v>13</v>
      </c>
      <c r="B51" s="59">
        <v>0</v>
      </c>
      <c r="C51" s="59">
        <v>1</v>
      </c>
      <c r="D51" s="59">
        <v>2</v>
      </c>
      <c r="E51" s="59">
        <v>3</v>
      </c>
      <c r="F51" s="59">
        <v>4</v>
      </c>
      <c r="G51" s="59">
        <v>5</v>
      </c>
      <c r="H51" s="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2" x14ac:dyDescent="0.3">
      <c r="A52" s="2" t="s">
        <v>15</v>
      </c>
      <c r="B52" s="3">
        <f t="shared" ref="B52:G52" si="10">B36</f>
        <v>0</v>
      </c>
      <c r="C52" s="3">
        <f>C36</f>
        <v>2000000</v>
      </c>
      <c r="D52" s="3">
        <f t="shared" si="10"/>
        <v>4500000</v>
      </c>
      <c r="E52" s="3">
        <f t="shared" si="10"/>
        <v>5000000</v>
      </c>
      <c r="F52" s="3">
        <f t="shared" si="10"/>
        <v>5500000</v>
      </c>
      <c r="G52" s="3">
        <f t="shared" si="10"/>
        <v>5000000</v>
      </c>
      <c r="H52" s="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2" x14ac:dyDescent="0.3">
      <c r="A53" s="2" t="s">
        <v>32</v>
      </c>
      <c r="B53" s="3">
        <f>B52*0.1</f>
        <v>0</v>
      </c>
      <c r="C53" s="3">
        <f t="shared" ref="C53:G53" si="11">C52*0.1</f>
        <v>200000</v>
      </c>
      <c r="D53" s="3">
        <f t="shared" si="11"/>
        <v>450000</v>
      </c>
      <c r="E53" s="3">
        <f t="shared" si="11"/>
        <v>500000</v>
      </c>
      <c r="F53" s="3">
        <f t="shared" si="11"/>
        <v>550000</v>
      </c>
      <c r="G53" s="3">
        <f t="shared" si="11"/>
        <v>500000</v>
      </c>
      <c r="H53" s="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2" x14ac:dyDescent="0.3">
      <c r="A54" s="2" t="s">
        <v>33</v>
      </c>
      <c r="B54" s="3">
        <f>B53-C53</f>
        <v>-200000</v>
      </c>
      <c r="C54" s="3">
        <f t="shared" ref="C54:F54" si="12">C53-D53</f>
        <v>-250000</v>
      </c>
      <c r="D54" s="3">
        <f t="shared" si="12"/>
        <v>-50000</v>
      </c>
      <c r="E54" s="3">
        <f t="shared" si="12"/>
        <v>-50000</v>
      </c>
      <c r="F54" s="3">
        <f t="shared" si="12"/>
        <v>50000</v>
      </c>
      <c r="G54" s="3">
        <v>500000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2" x14ac:dyDescent="0.3">
      <c r="A55" s="50"/>
      <c r="B55" s="3"/>
      <c r="C55" s="3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2" x14ac:dyDescent="0.3">
      <c r="A56" s="8"/>
      <c r="B56" s="20"/>
      <c r="C56" s="20">
        <v>2000000</v>
      </c>
      <c r="D56" s="20">
        <v>4500000</v>
      </c>
      <c r="E56" s="20">
        <v>5000000</v>
      </c>
      <c r="F56" s="20">
        <v>5500000</v>
      </c>
      <c r="G56" s="20">
        <v>5000000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2" x14ac:dyDescent="0.3">
      <c r="A57" s="47" t="s">
        <v>47</v>
      </c>
      <c r="B57" s="20">
        <f>+B41</f>
        <v>0</v>
      </c>
      <c r="C57" s="49">
        <f>+C56/(SUM($C$36:$G$36))</f>
        <v>9.0909090909090912E-2</v>
      </c>
      <c r="D57" s="49">
        <f t="shared" ref="D57:G57" si="13">+D56/(SUM($C$36:$G$36))</f>
        <v>0.20454545454545456</v>
      </c>
      <c r="E57" s="49">
        <f t="shared" si="13"/>
        <v>0.22727272727272727</v>
      </c>
      <c r="F57" s="49">
        <f t="shared" si="13"/>
        <v>0.25</v>
      </c>
      <c r="G57" s="49">
        <f t="shared" si="13"/>
        <v>0.22727272727272727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2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2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2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2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22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mergeCells count="10">
    <mergeCell ref="H43:H46"/>
    <mergeCell ref="H40:H41"/>
    <mergeCell ref="A1:H1"/>
    <mergeCell ref="D4:E4"/>
    <mergeCell ref="D5:E5"/>
    <mergeCell ref="D6:E6"/>
    <mergeCell ref="D7:E7"/>
    <mergeCell ref="F11:G11"/>
    <mergeCell ref="F12:G12"/>
    <mergeCell ref="F13:G13"/>
  </mergeCells>
  <pageMargins left="0.7" right="0.7" top="0.75" bottom="0.75" header="0.3" footer="0.3"/>
  <pageSetup paperSize="9" scale="70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83BE-26DD-48DB-87E6-E4E2A5376BD3}">
  <dimension ref="A1:V72"/>
  <sheetViews>
    <sheetView zoomScaleNormal="100" workbookViewId="0">
      <selection activeCell="G14" sqref="G14"/>
    </sheetView>
  </sheetViews>
  <sheetFormatPr defaultColWidth="11.5546875" defaultRowHeight="14.4" x14ac:dyDescent="0.3"/>
  <cols>
    <col min="1" max="1" width="27" customWidth="1"/>
    <col min="3" max="3" width="13" customWidth="1"/>
    <col min="4" max="4" width="12" customWidth="1"/>
    <col min="6" max="6" width="13.5546875" customWidth="1"/>
    <col min="7" max="7" width="12.21875" customWidth="1"/>
    <col min="9" max="9" width="22.44140625" customWidth="1"/>
    <col min="10" max="10" width="18" customWidth="1"/>
  </cols>
  <sheetData>
    <row r="1" spans="1:21" ht="18" x14ac:dyDescent="0.35">
      <c r="A1" s="132" t="s">
        <v>52</v>
      </c>
      <c r="B1" s="132"/>
      <c r="C1" s="132"/>
      <c r="D1" s="132"/>
      <c r="E1" s="132"/>
      <c r="F1" s="132"/>
      <c r="G1" s="132"/>
      <c r="H1" s="132"/>
      <c r="I1" s="1"/>
      <c r="J1" s="1"/>
      <c r="K1" s="1"/>
      <c r="L1" s="1"/>
      <c r="M1" s="1"/>
      <c r="N1" s="1"/>
      <c r="O1" s="1"/>
      <c r="P1" s="1"/>
      <c r="Q1" s="1"/>
    </row>
    <row r="2" spans="1:21" ht="18" x14ac:dyDescent="0.35">
      <c r="A2" s="105"/>
      <c r="B2" s="105"/>
      <c r="C2" s="105"/>
      <c r="D2" s="105"/>
      <c r="E2" s="105"/>
      <c r="F2" s="105"/>
      <c r="G2" s="105"/>
      <c r="H2" s="105"/>
      <c r="I2" s="1"/>
      <c r="J2" s="1"/>
      <c r="K2" s="1"/>
      <c r="L2" s="1"/>
      <c r="M2" s="1"/>
      <c r="N2" s="1"/>
      <c r="O2" s="1"/>
      <c r="P2" s="1"/>
      <c r="Q2" s="1"/>
    </row>
    <row r="3" spans="1:21" ht="18.600000000000001" thickBot="1" x14ac:dyDescent="0.4">
      <c r="A3" s="103"/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O3" s="1"/>
      <c r="P3" s="1"/>
      <c r="Q3" s="1"/>
    </row>
    <row r="4" spans="1:21" ht="15.6" x14ac:dyDescent="0.3">
      <c r="A4" s="77"/>
      <c r="B4" s="84" t="s">
        <v>37</v>
      </c>
      <c r="C4" s="1"/>
      <c r="D4" s="133"/>
      <c r="E4" s="134"/>
      <c r="F4" s="91" t="s">
        <v>38</v>
      </c>
      <c r="G4" s="67" t="s">
        <v>39</v>
      </c>
      <c r="H4" s="68" t="s">
        <v>49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6" x14ac:dyDescent="0.3">
      <c r="A5" s="69" t="s">
        <v>55</v>
      </c>
      <c r="B5" s="85">
        <v>22000000</v>
      </c>
      <c r="C5" s="1"/>
      <c r="D5" s="135" t="s">
        <v>55</v>
      </c>
      <c r="E5" s="136"/>
      <c r="F5" s="92">
        <v>22000000</v>
      </c>
      <c r="G5" s="64">
        <v>25804712</v>
      </c>
      <c r="H5" s="70">
        <f>(G5-F5)/F5</f>
        <v>0.17294145454545454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6" x14ac:dyDescent="0.3">
      <c r="A6" s="71" t="s">
        <v>46</v>
      </c>
      <c r="B6" s="86">
        <v>0.7</v>
      </c>
      <c r="C6" s="1"/>
      <c r="D6" s="135" t="s">
        <v>46</v>
      </c>
      <c r="E6" s="136"/>
      <c r="F6" s="93">
        <f>+B6</f>
        <v>0.7</v>
      </c>
      <c r="G6" s="37">
        <v>0.65100000000000002</v>
      </c>
      <c r="H6" s="72">
        <f>(G6-F6)/F6</f>
        <v>-6.999999999999991E-2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6" x14ac:dyDescent="0.3">
      <c r="A7" s="71" t="s">
        <v>48</v>
      </c>
      <c r="B7" s="87">
        <v>5</v>
      </c>
      <c r="C7" s="1"/>
      <c r="D7" s="135" t="s">
        <v>56</v>
      </c>
      <c r="E7" s="136"/>
      <c r="F7" s="93">
        <f>+B13</f>
        <v>0.15</v>
      </c>
      <c r="G7" s="37">
        <v>0</v>
      </c>
      <c r="H7" s="72">
        <f>(G7-F7)/F7</f>
        <v>-1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6.2" thickBot="1" x14ac:dyDescent="0.35">
      <c r="A8" s="71" t="s">
        <v>6</v>
      </c>
      <c r="B8" s="87">
        <v>6000000</v>
      </c>
      <c r="C8" s="1"/>
      <c r="D8" s="106"/>
      <c r="E8" s="107" t="s">
        <v>58</v>
      </c>
      <c r="F8" s="109">
        <v>6000000</v>
      </c>
      <c r="G8" s="75">
        <v>5335401</v>
      </c>
      <c r="H8" s="76">
        <f>(G8-F8)/F8</f>
        <v>-0.1107665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6.2" thickBot="1" x14ac:dyDescent="0.35">
      <c r="A9" s="71" t="s">
        <v>8</v>
      </c>
      <c r="B9" s="87">
        <v>5500000</v>
      </c>
      <c r="C9" s="4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6" x14ac:dyDescent="0.3">
      <c r="A10" s="71" t="s">
        <v>41</v>
      </c>
      <c r="B10" s="88">
        <v>7.4999999999999997E-2</v>
      </c>
      <c r="C10" s="1"/>
      <c r="D10" s="145" t="s">
        <v>12</v>
      </c>
      <c r="E10" s="161"/>
      <c r="F10" s="60">
        <v>0.15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6" x14ac:dyDescent="0.3">
      <c r="A11" s="71" t="s">
        <v>51</v>
      </c>
      <c r="B11" s="88">
        <v>2.5000000000000001E-2</v>
      </c>
      <c r="C11" s="1"/>
      <c r="D11" s="147" t="s">
        <v>14</v>
      </c>
      <c r="E11" s="159"/>
      <c r="F11" s="61">
        <f>NPV(F10,C49:G49)+B49</f>
        <v>-620041.86616530479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6.2" thickBot="1" x14ac:dyDescent="0.35">
      <c r="A12" s="71" t="s">
        <v>42</v>
      </c>
      <c r="B12" s="89">
        <f>+B20</f>
        <v>0.1</v>
      </c>
      <c r="C12" s="1"/>
      <c r="D12" s="149" t="s">
        <v>16</v>
      </c>
      <c r="E12" s="160"/>
      <c r="F12" s="62">
        <f>IRR(B49:G49)</f>
        <v>-5.6508031408400994E-3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2" thickBot="1" x14ac:dyDescent="0.35">
      <c r="A13" s="73" t="s">
        <v>43</v>
      </c>
      <c r="B13" s="90">
        <v>0.15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ht="15" thickBot="1" x14ac:dyDescent="0.35">
      <c r="A17" s="34"/>
      <c r="B17" s="34"/>
      <c r="C17" s="34"/>
      <c r="D17" s="34"/>
      <c r="E17" s="34"/>
      <c r="F17" s="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2" ht="14.4" customHeight="1" x14ac:dyDescent="0.3">
      <c r="A18" s="6" t="s">
        <v>0</v>
      </c>
      <c r="B18" s="7">
        <v>2000000</v>
      </c>
      <c r="C18" s="7">
        <v>4500000</v>
      </c>
      <c r="D18" s="7">
        <v>5000000</v>
      </c>
      <c r="E18" s="7">
        <v>5500000</v>
      </c>
      <c r="F18" s="95">
        <v>5000000</v>
      </c>
      <c r="H18" s="8"/>
      <c r="I18" s="8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3">
      <c r="A19" s="9" t="s">
        <v>1</v>
      </c>
      <c r="B19" s="10">
        <f>+B6</f>
        <v>0.7</v>
      </c>
      <c r="C19" s="11"/>
      <c r="D19" s="11"/>
      <c r="E19" s="11"/>
      <c r="F19" s="12"/>
      <c r="G19" s="8"/>
      <c r="H19" s="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x14ac:dyDescent="0.3">
      <c r="A20" s="9" t="s">
        <v>2</v>
      </c>
      <c r="B20" s="10">
        <v>0.1</v>
      </c>
      <c r="C20" s="11"/>
      <c r="D20" s="11"/>
      <c r="E20" s="11"/>
      <c r="F20" s="12"/>
      <c r="G20" s="8"/>
      <c r="H20" s="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2" x14ac:dyDescent="0.3">
      <c r="A21" s="9" t="s">
        <v>3</v>
      </c>
      <c r="B21" s="13">
        <f>+B7</f>
        <v>5</v>
      </c>
      <c r="C21" s="11"/>
      <c r="D21" s="11"/>
      <c r="E21" s="11"/>
      <c r="F21" s="12"/>
      <c r="G21" s="8"/>
      <c r="H21" s="8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2" x14ac:dyDescent="0.3">
      <c r="A22" s="9" t="s">
        <v>4</v>
      </c>
      <c r="B22" s="14">
        <f>(B25-B26)/B21</f>
        <v>1200000</v>
      </c>
      <c r="C22" s="11"/>
      <c r="D22" s="11"/>
      <c r="E22" s="11"/>
      <c r="F22" s="15"/>
      <c r="G22" s="8"/>
      <c r="H22" s="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2" x14ac:dyDescent="0.3">
      <c r="A23" s="9" t="s">
        <v>5</v>
      </c>
      <c r="B23" s="10">
        <v>0.1</v>
      </c>
      <c r="C23" s="11"/>
      <c r="D23" s="11"/>
      <c r="E23" s="11"/>
      <c r="F23" s="15"/>
      <c r="G23" s="8"/>
      <c r="H23" s="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2" x14ac:dyDescent="0.3">
      <c r="A24" s="9"/>
      <c r="B24" s="10"/>
      <c r="C24" s="11"/>
      <c r="D24" s="11"/>
      <c r="E24" s="11"/>
      <c r="F24" s="15"/>
      <c r="G24" s="8"/>
      <c r="H24" s="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x14ac:dyDescent="0.3">
      <c r="A25" s="9" t="s">
        <v>6</v>
      </c>
      <c r="B25" s="13">
        <v>6000000</v>
      </c>
      <c r="C25" s="11"/>
      <c r="D25" s="11"/>
      <c r="E25" s="11"/>
      <c r="F25" s="15"/>
      <c r="G25" s="8"/>
      <c r="H25" s="8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2" x14ac:dyDescent="0.3">
      <c r="A26" s="9" t="s">
        <v>7</v>
      </c>
      <c r="B26" s="13"/>
      <c r="C26" s="11"/>
      <c r="D26" s="11"/>
      <c r="E26" s="11"/>
      <c r="F26" s="15"/>
      <c r="G26" s="8"/>
      <c r="H26" s="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2" x14ac:dyDescent="0.3">
      <c r="A27" s="25" t="s">
        <v>29</v>
      </c>
      <c r="B27" s="26">
        <v>4000000</v>
      </c>
      <c r="C27" s="27">
        <f>B27-$B$28</f>
        <v>3200000</v>
      </c>
      <c r="D27" s="27">
        <f t="shared" ref="D27:F27" si="0">C27-$B$28</f>
        <v>2400000</v>
      </c>
      <c r="E27" s="27">
        <f t="shared" si="0"/>
        <v>1600000</v>
      </c>
      <c r="F27" s="28">
        <f t="shared" si="0"/>
        <v>800000</v>
      </c>
      <c r="G27" s="8"/>
      <c r="H27" s="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2" x14ac:dyDescent="0.3">
      <c r="A28" s="29" t="s">
        <v>10</v>
      </c>
      <c r="B28" s="27">
        <f>+B27/B31</f>
        <v>800000</v>
      </c>
      <c r="C28" s="27"/>
      <c r="D28" s="30"/>
      <c r="E28" s="30"/>
      <c r="F28" s="28"/>
      <c r="G28" s="8"/>
      <c r="H28" s="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2" ht="15" thickBot="1" x14ac:dyDescent="0.35">
      <c r="A29" s="25" t="s">
        <v>30</v>
      </c>
      <c r="B29" s="31">
        <v>2.5000000000000001E-2</v>
      </c>
      <c r="C29" s="27"/>
      <c r="D29" s="30"/>
      <c r="E29" s="30"/>
      <c r="F29" s="28"/>
      <c r="G29" s="8"/>
      <c r="H29" s="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x14ac:dyDescent="0.3">
      <c r="A30" s="9" t="s">
        <v>8</v>
      </c>
      <c r="B30" s="13">
        <v>1500000</v>
      </c>
      <c r="C30" s="14">
        <f>B30-$B$32</f>
        <v>1200000</v>
      </c>
      <c r="D30" s="14">
        <f t="shared" ref="D30:F30" si="1">C30-$B$32</f>
        <v>900000</v>
      </c>
      <c r="E30" s="14">
        <f t="shared" si="1"/>
        <v>600000</v>
      </c>
      <c r="F30" s="15">
        <f t="shared" si="1"/>
        <v>300000</v>
      </c>
      <c r="G30" s="8"/>
      <c r="H30" s="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2" x14ac:dyDescent="0.3">
      <c r="A31" s="9" t="s">
        <v>9</v>
      </c>
      <c r="B31" s="13">
        <f>+B7</f>
        <v>5</v>
      </c>
      <c r="C31" s="11"/>
      <c r="D31" s="11"/>
      <c r="E31" s="11"/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2" x14ac:dyDescent="0.3">
      <c r="A32" s="9" t="s">
        <v>10</v>
      </c>
      <c r="B32" s="14">
        <f>B30/B31</f>
        <v>300000</v>
      </c>
      <c r="C32" s="11"/>
      <c r="D32" s="11"/>
      <c r="E32" s="11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5" thickBot="1" x14ac:dyDescent="0.35">
      <c r="A33" s="16" t="s">
        <v>11</v>
      </c>
      <c r="B33" s="23">
        <v>7.4999999999999997E-2</v>
      </c>
      <c r="C33" s="17"/>
      <c r="D33" s="17"/>
      <c r="E33" s="17"/>
      <c r="F33" s="1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6" x14ac:dyDescent="0.3">
      <c r="A34" s="8"/>
      <c r="B34" s="8"/>
      <c r="C34" s="8"/>
      <c r="D34" s="8"/>
      <c r="E34" s="8"/>
      <c r="F34" s="8"/>
      <c r="G34" s="8"/>
      <c r="H34" s="24"/>
      <c r="I34" s="1"/>
      <c r="J34" s="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5.6" x14ac:dyDescent="0.3">
      <c r="A35" s="54" t="s">
        <v>13</v>
      </c>
      <c r="B35" s="54">
        <v>0</v>
      </c>
      <c r="C35" s="54">
        <v>1</v>
      </c>
      <c r="D35" s="54">
        <v>2</v>
      </c>
      <c r="E35" s="54">
        <v>3</v>
      </c>
      <c r="F35" s="54">
        <v>4</v>
      </c>
      <c r="G35" s="54">
        <v>5</v>
      </c>
      <c r="H35" s="24"/>
      <c r="I35" s="1"/>
      <c r="J35" s="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6" x14ac:dyDescent="0.3">
      <c r="A36" s="19" t="s">
        <v>15</v>
      </c>
      <c r="B36" s="20"/>
      <c r="C36" s="20">
        <f>+B18</f>
        <v>2000000</v>
      </c>
      <c r="D36" s="20">
        <f>C18</f>
        <v>4500000</v>
      </c>
      <c r="E36" s="20">
        <f>D18</f>
        <v>5000000</v>
      </c>
      <c r="F36" s="20">
        <f>E18</f>
        <v>5500000</v>
      </c>
      <c r="G36" s="20">
        <f>F18</f>
        <v>5000000</v>
      </c>
      <c r="H36" s="24"/>
      <c r="I36" s="1"/>
      <c r="J36" s="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5.6" x14ac:dyDescent="0.3">
      <c r="A37" s="19" t="s">
        <v>17</v>
      </c>
      <c r="B37" s="19"/>
      <c r="C37" s="19"/>
      <c r="D37" s="19"/>
      <c r="E37" s="19"/>
      <c r="F37" s="19"/>
      <c r="G37" s="20">
        <f>B26</f>
        <v>0</v>
      </c>
      <c r="H37" s="24"/>
      <c r="I37" s="1"/>
      <c r="J37" s="1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3">
      <c r="A38" s="19" t="s">
        <v>18</v>
      </c>
      <c r="B38" s="20"/>
      <c r="C38" s="20">
        <f>-$B$19*B18</f>
        <v>-1400000</v>
      </c>
      <c r="D38" s="20">
        <f>-$B$19*C18</f>
        <v>-3150000</v>
      </c>
      <c r="E38" s="20">
        <f>-$B$19*D18</f>
        <v>-3500000</v>
      </c>
      <c r="F38" s="20">
        <f>-$B$19*E18</f>
        <v>-3849999.9999999995</v>
      </c>
      <c r="G38" s="20">
        <f>-$B$19*F18</f>
        <v>-3500000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3">
      <c r="A39" s="19" t="s">
        <v>19</v>
      </c>
      <c r="B39" s="20"/>
      <c r="C39" s="20">
        <f>-$B$22</f>
        <v>-1200000</v>
      </c>
      <c r="D39" s="20">
        <f t="shared" ref="D39:G39" si="2">-$B$22</f>
        <v>-1200000</v>
      </c>
      <c r="E39" s="20">
        <f t="shared" si="2"/>
        <v>-1200000</v>
      </c>
      <c r="F39" s="20">
        <f t="shared" si="2"/>
        <v>-1200000</v>
      </c>
      <c r="G39" s="20">
        <f t="shared" si="2"/>
        <v>-1200000</v>
      </c>
      <c r="H39" s="8" t="s">
        <v>35</v>
      </c>
      <c r="I39" s="1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3">
      <c r="A40" s="19" t="s">
        <v>20</v>
      </c>
      <c r="B40" s="19"/>
      <c r="C40" s="20">
        <f>B30*$B$33*-1</f>
        <v>-112500</v>
      </c>
      <c r="D40" s="20">
        <f>C30*$B$33*-1</f>
        <v>-90000</v>
      </c>
      <c r="E40" s="20">
        <f>D30*$B$33*-1</f>
        <v>-67500</v>
      </c>
      <c r="F40" s="20">
        <f>E30*$B$33*-1</f>
        <v>-45000</v>
      </c>
      <c r="G40" s="20">
        <f>F30*$B$33*-1</f>
        <v>-22500</v>
      </c>
      <c r="H40" s="152" t="s">
        <v>34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3">
      <c r="A41" s="19" t="s">
        <v>31</v>
      </c>
      <c r="B41" s="19"/>
      <c r="C41" s="20">
        <f>-B27*$B$29</f>
        <v>-100000</v>
      </c>
      <c r="D41" s="20">
        <f>-C27*$B$29</f>
        <v>-80000</v>
      </c>
      <c r="E41" s="20">
        <f>-D27*$B$29</f>
        <v>-60000</v>
      </c>
      <c r="F41" s="20">
        <f>-E27*$B$29</f>
        <v>-40000</v>
      </c>
      <c r="G41" s="20">
        <f>-F27*$B$29</f>
        <v>-20000</v>
      </c>
      <c r="H41" s="152"/>
      <c r="I41" s="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3">
      <c r="A42" s="55" t="s">
        <v>21</v>
      </c>
      <c r="B42" s="56">
        <f>SUM(B36:B40)</f>
        <v>0</v>
      </c>
      <c r="C42" s="56">
        <f>SUM(C36:C41)</f>
        <v>-812500</v>
      </c>
      <c r="D42" s="56">
        <f t="shared" ref="D42:G42" si="3">SUM(D36:D41)</f>
        <v>-20000</v>
      </c>
      <c r="E42" s="56">
        <f t="shared" si="3"/>
        <v>172500</v>
      </c>
      <c r="F42" s="56">
        <f t="shared" si="3"/>
        <v>365000.00000000047</v>
      </c>
      <c r="G42" s="56">
        <f t="shared" si="3"/>
        <v>257500</v>
      </c>
      <c r="H42" s="8"/>
      <c r="I42" s="8"/>
      <c r="J42" s="8"/>
      <c r="K42" s="8"/>
      <c r="L42" s="8"/>
      <c r="M42" s="8"/>
      <c r="N42" s="21"/>
      <c r="O42" s="8"/>
      <c r="P42" s="8"/>
      <c r="Q42" s="8"/>
      <c r="R42" s="8"/>
      <c r="S42" s="8"/>
      <c r="T42" s="8"/>
      <c r="U42" s="8"/>
    </row>
    <row r="43" spans="1:21" ht="14.4" customHeight="1" x14ac:dyDescent="0.3">
      <c r="A43" s="19" t="s">
        <v>22</v>
      </c>
      <c r="B43" s="20">
        <f>-$B$20*B42</f>
        <v>0</v>
      </c>
      <c r="C43" s="20">
        <f>-$B$20*C42</f>
        <v>81250</v>
      </c>
      <c r="D43" s="20">
        <f t="shared" ref="D43:G43" si="4">-$B$20*D42</f>
        <v>2000</v>
      </c>
      <c r="E43" s="20">
        <f t="shared" si="4"/>
        <v>-17250</v>
      </c>
      <c r="F43" s="20">
        <f t="shared" si="4"/>
        <v>-36500.000000000051</v>
      </c>
      <c r="G43" s="20">
        <f t="shared" si="4"/>
        <v>-25750</v>
      </c>
      <c r="H43" s="151" t="s">
        <v>36</v>
      </c>
      <c r="I43" s="1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3">
      <c r="A44" s="55" t="s">
        <v>23</v>
      </c>
      <c r="B44" s="56">
        <f>SUM(B42:B43)</f>
        <v>0</v>
      </c>
      <c r="C44" s="56">
        <f t="shared" ref="C44:G44" si="5">SUM(C42:C43)</f>
        <v>-731250</v>
      </c>
      <c r="D44" s="56">
        <f t="shared" si="5"/>
        <v>-18000</v>
      </c>
      <c r="E44" s="56">
        <f t="shared" si="5"/>
        <v>155250</v>
      </c>
      <c r="F44" s="56">
        <f t="shared" si="5"/>
        <v>328500.00000000041</v>
      </c>
      <c r="G44" s="56">
        <f t="shared" si="5"/>
        <v>231750</v>
      </c>
      <c r="H44" s="15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3">
      <c r="A45" s="19" t="s">
        <v>24</v>
      </c>
      <c r="B45" s="20"/>
      <c r="C45" s="20">
        <f>-C39</f>
        <v>1200000</v>
      </c>
      <c r="D45" s="20">
        <f t="shared" ref="D45:G45" si="6">-D39</f>
        <v>1200000</v>
      </c>
      <c r="E45" s="20">
        <f t="shared" si="6"/>
        <v>1200000</v>
      </c>
      <c r="F45" s="20">
        <f t="shared" si="6"/>
        <v>1200000</v>
      </c>
      <c r="G45" s="20">
        <f t="shared" si="6"/>
        <v>1200000</v>
      </c>
      <c r="H45" s="15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3">
      <c r="A46" s="19" t="s">
        <v>25</v>
      </c>
      <c r="B46" s="20">
        <f>-B25</f>
        <v>-6000000</v>
      </c>
      <c r="C46" s="20"/>
      <c r="D46" s="20"/>
      <c r="E46" s="20"/>
      <c r="F46" s="20"/>
      <c r="G46" s="20"/>
      <c r="H46" s="15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3">
      <c r="A47" s="19" t="s">
        <v>26</v>
      </c>
      <c r="B47" s="20">
        <f>B54</f>
        <v>-200000</v>
      </c>
      <c r="C47" s="20">
        <f t="shared" ref="C47:F47" si="7">C54</f>
        <v>-250000</v>
      </c>
      <c r="D47" s="20">
        <f t="shared" si="7"/>
        <v>-50000</v>
      </c>
      <c r="E47" s="20">
        <f t="shared" si="7"/>
        <v>-50000</v>
      </c>
      <c r="F47" s="20">
        <f t="shared" si="7"/>
        <v>50000</v>
      </c>
      <c r="G47" s="20">
        <f>+G54</f>
        <v>500000</v>
      </c>
      <c r="H47" s="2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3">
      <c r="A48" s="19" t="s">
        <v>27</v>
      </c>
      <c r="B48" s="20">
        <f>B30+B27</f>
        <v>5500000</v>
      </c>
      <c r="C48" s="20">
        <f>-$B$32-$B$28</f>
        <v>-1100000</v>
      </c>
      <c r="D48" s="20">
        <f t="shared" ref="D48:G48" si="8">-$B$32-$B$28</f>
        <v>-1100000</v>
      </c>
      <c r="E48" s="20">
        <f t="shared" si="8"/>
        <v>-1100000</v>
      </c>
      <c r="F48" s="20">
        <f t="shared" si="8"/>
        <v>-1100000</v>
      </c>
      <c r="G48" s="20">
        <f t="shared" si="8"/>
        <v>-1100000</v>
      </c>
      <c r="H48" s="2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2" x14ac:dyDescent="0.3">
      <c r="A49" s="57" t="s">
        <v>28</v>
      </c>
      <c r="B49" s="58">
        <f>SUM(B44:B48)</f>
        <v>-700000</v>
      </c>
      <c r="C49" s="58">
        <f>SUM(C44:C48)</f>
        <v>-881250</v>
      </c>
      <c r="D49" s="58">
        <f t="shared" ref="D49:G49" si="9">SUM(D44:D48)</f>
        <v>32000</v>
      </c>
      <c r="E49" s="58">
        <f t="shared" si="9"/>
        <v>205250</v>
      </c>
      <c r="F49" s="58">
        <f t="shared" si="9"/>
        <v>478500.00000000047</v>
      </c>
      <c r="G49" s="58">
        <f t="shared" si="9"/>
        <v>831750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2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2" x14ac:dyDescent="0.3">
      <c r="A51" s="59" t="s">
        <v>13</v>
      </c>
      <c r="B51" s="59">
        <v>0</v>
      </c>
      <c r="C51" s="59">
        <v>1</v>
      </c>
      <c r="D51" s="59">
        <v>2</v>
      </c>
      <c r="E51" s="59">
        <v>3</v>
      </c>
      <c r="F51" s="59">
        <v>4</v>
      </c>
      <c r="G51" s="59">
        <v>5</v>
      </c>
      <c r="H51" s="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2" x14ac:dyDescent="0.3">
      <c r="A52" s="2" t="s">
        <v>15</v>
      </c>
      <c r="B52" s="3">
        <f t="shared" ref="B52:G52" si="10">B36</f>
        <v>0</v>
      </c>
      <c r="C52" s="3">
        <f>C36</f>
        <v>2000000</v>
      </c>
      <c r="D52" s="3">
        <f t="shared" si="10"/>
        <v>4500000</v>
      </c>
      <c r="E52" s="3">
        <f t="shared" si="10"/>
        <v>5000000</v>
      </c>
      <c r="F52" s="3">
        <f t="shared" si="10"/>
        <v>5500000</v>
      </c>
      <c r="G52" s="3">
        <f t="shared" si="10"/>
        <v>5000000</v>
      </c>
      <c r="H52" s="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2" x14ac:dyDescent="0.3">
      <c r="A53" s="2" t="s">
        <v>32</v>
      </c>
      <c r="B53" s="3">
        <f>B52*0.1</f>
        <v>0</v>
      </c>
      <c r="C53" s="3">
        <f t="shared" ref="C53:G53" si="11">C52*0.1</f>
        <v>200000</v>
      </c>
      <c r="D53" s="3">
        <f t="shared" si="11"/>
        <v>450000</v>
      </c>
      <c r="E53" s="3">
        <f t="shared" si="11"/>
        <v>500000</v>
      </c>
      <c r="F53" s="3">
        <f t="shared" si="11"/>
        <v>550000</v>
      </c>
      <c r="G53" s="3">
        <f t="shared" si="11"/>
        <v>500000</v>
      </c>
      <c r="H53" s="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2" x14ac:dyDescent="0.3">
      <c r="A54" s="2" t="s">
        <v>33</v>
      </c>
      <c r="B54" s="3">
        <f>B53-C53</f>
        <v>-200000</v>
      </c>
      <c r="C54" s="3">
        <f t="shared" ref="C54:F54" si="12">C53-D53</f>
        <v>-250000</v>
      </c>
      <c r="D54" s="3">
        <f t="shared" si="12"/>
        <v>-50000</v>
      </c>
      <c r="E54" s="3">
        <f t="shared" si="12"/>
        <v>-50000</v>
      </c>
      <c r="F54" s="3">
        <f t="shared" si="12"/>
        <v>50000</v>
      </c>
      <c r="G54" s="3">
        <v>500000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2" x14ac:dyDescent="0.3">
      <c r="A55" s="50"/>
      <c r="B55" s="3"/>
      <c r="C55" s="3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2" x14ac:dyDescent="0.3">
      <c r="A56" s="8"/>
      <c r="B56" s="20"/>
      <c r="C56" s="20">
        <v>2000000</v>
      </c>
      <c r="D56" s="20">
        <v>4500000</v>
      </c>
      <c r="E56" s="20">
        <v>5000000</v>
      </c>
      <c r="F56" s="20">
        <v>5500000</v>
      </c>
      <c r="G56" s="20">
        <v>5000000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2" x14ac:dyDescent="0.3">
      <c r="A57" s="47" t="s">
        <v>47</v>
      </c>
      <c r="B57" s="20">
        <f>+B41</f>
        <v>0</v>
      </c>
      <c r="C57" s="49">
        <f>+C56/(SUM($C$36:$G$36))</f>
        <v>9.0909090909090912E-2</v>
      </c>
      <c r="D57" s="49">
        <f t="shared" ref="D57:G57" si="13">+D56/(SUM($C$36:$G$36))</f>
        <v>0.20454545454545456</v>
      </c>
      <c r="E57" s="49">
        <f t="shared" si="13"/>
        <v>0.22727272727272727</v>
      </c>
      <c r="F57" s="49">
        <f t="shared" si="13"/>
        <v>0.25</v>
      </c>
      <c r="G57" s="49">
        <f t="shared" si="13"/>
        <v>0.22727272727272727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2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2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2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2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22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mergeCells count="10">
    <mergeCell ref="D11:E11"/>
    <mergeCell ref="D12:E12"/>
    <mergeCell ref="H40:H41"/>
    <mergeCell ref="H43:H46"/>
    <mergeCell ref="A1:H1"/>
    <mergeCell ref="D4:E4"/>
    <mergeCell ref="D5:E5"/>
    <mergeCell ref="D6:E6"/>
    <mergeCell ref="D7:E7"/>
    <mergeCell ref="D10:E10"/>
  </mergeCells>
  <pageMargins left="0.7" right="0.7" top="0.75" bottom="0.75" header="0.3" footer="0.3"/>
  <pageSetup paperSize="9" scale="7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2EA9E-74C9-47AD-8656-34D0E5AF38B0}">
  <dimension ref="A1:T88"/>
  <sheetViews>
    <sheetView topLeftCell="A10" zoomScaleNormal="100" workbookViewId="0">
      <selection activeCell="F18" sqref="F18"/>
    </sheetView>
  </sheetViews>
  <sheetFormatPr defaultColWidth="11.5546875" defaultRowHeight="14.4" x14ac:dyDescent="0.3"/>
  <cols>
    <col min="1" max="1" width="35.88671875" customWidth="1"/>
    <col min="2" max="2" width="12.5546875" customWidth="1"/>
    <col min="3" max="3" width="12.44140625" customWidth="1"/>
    <col min="4" max="4" width="11.5546875" customWidth="1"/>
    <col min="5" max="5" width="12.33203125" customWidth="1"/>
    <col min="6" max="6" width="14.77734375" customWidth="1"/>
    <col min="7" max="7" width="12.21875" customWidth="1"/>
    <col min="9" max="9" width="22.44140625" customWidth="1"/>
    <col min="10" max="10" width="19.109375" customWidth="1"/>
    <col min="11" max="11" width="28.5546875" customWidth="1"/>
  </cols>
  <sheetData>
    <row r="1" spans="1:20" ht="18" x14ac:dyDescent="0.35">
      <c r="A1" s="132" t="s">
        <v>54</v>
      </c>
      <c r="B1" s="132"/>
      <c r="C1" s="132"/>
      <c r="D1" s="132"/>
      <c r="E1" s="132"/>
      <c r="F1" s="132"/>
      <c r="G1" s="132"/>
      <c r="H1" s="132"/>
      <c r="I1" s="1"/>
      <c r="J1" s="1"/>
      <c r="K1" s="1"/>
      <c r="L1" s="1"/>
    </row>
    <row r="2" spans="1:20" ht="18.600000000000001" thickBot="1" x14ac:dyDescent="0.4">
      <c r="A2" s="98"/>
      <c r="B2" s="98"/>
      <c r="C2" s="98"/>
      <c r="D2" s="98"/>
      <c r="E2" s="98"/>
      <c r="F2" s="98"/>
      <c r="G2" s="98"/>
      <c r="H2" s="98"/>
      <c r="I2" s="1"/>
      <c r="J2" s="1"/>
      <c r="K2" s="1"/>
      <c r="L2" s="1"/>
    </row>
    <row r="3" spans="1:20" ht="15.6" x14ac:dyDescent="0.3">
      <c r="A3" s="77"/>
      <c r="B3" s="78" t="s">
        <v>37</v>
      </c>
      <c r="C3" s="1"/>
      <c r="D3" s="1"/>
      <c r="E3" s="1"/>
      <c r="F3" s="1"/>
      <c r="G3" s="1"/>
      <c r="H3" s="1"/>
      <c r="I3" s="162" t="s">
        <v>65</v>
      </c>
      <c r="J3" s="163"/>
      <c r="K3" s="1" t="s">
        <v>67</v>
      </c>
      <c r="L3" s="1"/>
      <c r="M3" s="1"/>
      <c r="N3" s="1"/>
      <c r="O3" s="1"/>
      <c r="P3" s="1"/>
      <c r="Q3" s="1"/>
      <c r="R3" s="1"/>
      <c r="S3" s="1"/>
      <c r="T3" s="1"/>
    </row>
    <row r="4" spans="1:20" ht="28.8" x14ac:dyDescent="0.3">
      <c r="A4" s="69" t="s">
        <v>68</v>
      </c>
      <c r="B4" s="116">
        <v>0.05</v>
      </c>
      <c r="C4" s="79">
        <v>2000000</v>
      </c>
      <c r="D4" s="79">
        <v>4500000</v>
      </c>
      <c r="E4" s="79">
        <v>5000000</v>
      </c>
      <c r="F4" s="79">
        <v>5500000</v>
      </c>
      <c r="G4" s="79">
        <v>5000000</v>
      </c>
      <c r="H4" s="1"/>
      <c r="I4" s="117" t="s">
        <v>59</v>
      </c>
      <c r="J4" s="117" t="s">
        <v>63</v>
      </c>
      <c r="K4" s="117">
        <v>0</v>
      </c>
      <c r="L4" s="1"/>
      <c r="M4" s="1"/>
      <c r="N4" s="1"/>
      <c r="O4" s="1"/>
      <c r="P4" s="1"/>
      <c r="Q4" s="1"/>
      <c r="R4" s="1"/>
      <c r="S4" s="1"/>
      <c r="T4" s="1"/>
    </row>
    <row r="5" spans="1:20" ht="57.6" x14ac:dyDescent="0.3">
      <c r="A5" s="97" t="s">
        <v>46</v>
      </c>
      <c r="B5" s="96">
        <v>0.65</v>
      </c>
      <c r="C5" s="1"/>
      <c r="D5" s="1"/>
      <c r="E5" s="1"/>
      <c r="F5" s="1"/>
      <c r="G5" s="1"/>
      <c r="H5" s="1"/>
      <c r="I5" s="117" t="s">
        <v>61</v>
      </c>
      <c r="J5" s="117" t="s">
        <v>60</v>
      </c>
      <c r="K5" s="117" t="s">
        <v>66</v>
      </c>
      <c r="L5" s="1"/>
      <c r="M5" s="1"/>
      <c r="N5" s="1"/>
      <c r="O5" s="1"/>
      <c r="P5" s="1"/>
      <c r="Q5" s="1"/>
      <c r="R5" s="1"/>
      <c r="S5" s="1"/>
      <c r="T5" s="1"/>
    </row>
    <row r="6" spans="1:20" ht="57.6" x14ac:dyDescent="0.3">
      <c r="A6" s="71" t="s">
        <v>48</v>
      </c>
      <c r="B6" s="80">
        <v>5</v>
      </c>
      <c r="C6" s="5"/>
      <c r="D6" s="1"/>
      <c r="E6" s="1"/>
      <c r="F6" s="1"/>
      <c r="G6" s="1"/>
      <c r="H6" s="1"/>
      <c r="I6" s="117" t="s">
        <v>62</v>
      </c>
      <c r="J6" s="117" t="s">
        <v>64</v>
      </c>
      <c r="K6" s="117" t="s">
        <v>66</v>
      </c>
      <c r="L6" s="1"/>
      <c r="M6" s="1"/>
      <c r="N6" s="1"/>
      <c r="O6" s="1"/>
      <c r="P6" s="1"/>
      <c r="Q6" s="1"/>
      <c r="R6" s="1"/>
      <c r="S6" s="1"/>
      <c r="T6" s="1"/>
    </row>
    <row r="7" spans="1:20" ht="15.6" x14ac:dyDescent="0.3">
      <c r="A7" s="71" t="s">
        <v>6</v>
      </c>
      <c r="B7" s="80">
        <v>4000000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6" x14ac:dyDescent="0.3">
      <c r="A8" s="71" t="s">
        <v>8</v>
      </c>
      <c r="B8" s="80">
        <f>+B7</f>
        <v>4000000</v>
      </c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6" x14ac:dyDescent="0.3">
      <c r="A9" s="71" t="s">
        <v>50</v>
      </c>
      <c r="B9" s="81">
        <v>2.5000000000000001E-2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2" thickBot="1" x14ac:dyDescent="0.35">
      <c r="A10" s="71" t="s">
        <v>42</v>
      </c>
      <c r="B10" s="82">
        <v>0.1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6.2" thickBot="1" x14ac:dyDescent="0.35">
      <c r="A11" s="73" t="s">
        <v>43</v>
      </c>
      <c r="B11" s="83">
        <v>0.15</v>
      </c>
      <c r="C11" s="1"/>
      <c r="D11" s="133"/>
      <c r="E11" s="134"/>
      <c r="F11" s="66" t="s">
        <v>38</v>
      </c>
      <c r="G11" s="67" t="s">
        <v>39</v>
      </c>
      <c r="H11" s="68" t="s">
        <v>49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6" x14ac:dyDescent="0.3">
      <c r="A12" s="1"/>
      <c r="B12" s="1"/>
      <c r="C12" s="1"/>
      <c r="D12" s="135" t="s">
        <v>55</v>
      </c>
      <c r="E12" s="136"/>
      <c r="F12" s="63">
        <v>22000000</v>
      </c>
      <c r="G12" s="64">
        <v>25804712</v>
      </c>
      <c r="H12" s="70">
        <f>(G12-F12)/F12</f>
        <v>0.17294145454545454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6" x14ac:dyDescent="0.3">
      <c r="A13" s="1"/>
      <c r="B13" s="1"/>
      <c r="C13" s="1"/>
      <c r="D13" s="135" t="s">
        <v>46</v>
      </c>
      <c r="E13" s="136"/>
      <c r="F13" s="65">
        <v>0.7</v>
      </c>
      <c r="G13" s="37">
        <v>0.65100000000000002</v>
      </c>
      <c r="H13" s="72">
        <f>(G13-F13)/F13</f>
        <v>-6.999999999999991E-2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2" thickBot="1" x14ac:dyDescent="0.35">
      <c r="A14" s="1"/>
      <c r="B14" s="1"/>
      <c r="C14" s="1"/>
      <c r="D14" s="137" t="s">
        <v>57</v>
      </c>
      <c r="E14" s="138"/>
      <c r="F14" s="74">
        <v>6000000</v>
      </c>
      <c r="G14" s="75">
        <v>5335401</v>
      </c>
      <c r="H14" s="76">
        <f>(G14-F14)/F14</f>
        <v>-0.1107665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thickBot="1" x14ac:dyDescent="0.35">
      <c r="A16" s="1"/>
      <c r="B16" s="1"/>
      <c r="C16" s="1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6" x14ac:dyDescent="0.3">
      <c r="A17" s="1"/>
      <c r="B17" s="1"/>
      <c r="C17" s="1"/>
      <c r="D17" s="145" t="s">
        <v>12</v>
      </c>
      <c r="E17" s="161"/>
      <c r="F17" s="60">
        <v>0.15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6" x14ac:dyDescent="0.3">
      <c r="A18" s="1"/>
      <c r="B18" s="1"/>
      <c r="C18" s="1"/>
      <c r="D18" s="147" t="s">
        <v>14</v>
      </c>
      <c r="E18" s="159"/>
      <c r="F18" s="61">
        <f>NPV(F17,C51:G51)+B51</f>
        <v>1817570.5987079937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6.2" thickBot="1" x14ac:dyDescent="0.35">
      <c r="A19" s="34"/>
      <c r="B19" s="34"/>
      <c r="C19" s="34"/>
      <c r="D19" s="149" t="s">
        <v>16</v>
      </c>
      <c r="E19" s="160"/>
      <c r="F19" s="62">
        <f>IRR(B51:G51)</f>
        <v>0.92852699626124613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4" customHeight="1" x14ac:dyDescent="0.3">
      <c r="A20" s="6" t="s">
        <v>0</v>
      </c>
      <c r="B20" s="128">
        <f>+C4+(C4*$B$4)</f>
        <v>2100000</v>
      </c>
      <c r="C20" s="128">
        <f>+D4+(D4*$B$4)</f>
        <v>4725000</v>
      </c>
      <c r="D20" s="128">
        <f>+E4+(E4*$B$4)</f>
        <v>5250000</v>
      </c>
      <c r="E20" s="128">
        <f>+F4+(F4*$B$4)</f>
        <v>5775000</v>
      </c>
      <c r="F20" s="129">
        <f>+G4+(G4*$B$4)</f>
        <v>5250000</v>
      </c>
      <c r="G20" s="8"/>
      <c r="H20" s="8"/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3">
      <c r="A21" s="9" t="s">
        <v>1</v>
      </c>
      <c r="B21" s="130">
        <v>0.65</v>
      </c>
      <c r="C21" s="11"/>
      <c r="D21" s="11"/>
      <c r="E21" s="11"/>
      <c r="F21" s="12"/>
      <c r="G21" s="8"/>
      <c r="H21" s="8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3">
      <c r="A22" s="9" t="s">
        <v>2</v>
      </c>
      <c r="B22" s="120">
        <v>0.1</v>
      </c>
      <c r="C22" s="11"/>
      <c r="D22" s="11"/>
      <c r="E22" s="11"/>
      <c r="F22" s="12"/>
      <c r="G22" s="8"/>
      <c r="H22" s="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3">
      <c r="A23" s="9" t="s">
        <v>3</v>
      </c>
      <c r="B23" s="121">
        <f>+B6</f>
        <v>5</v>
      </c>
      <c r="C23" s="11"/>
      <c r="D23" s="11"/>
      <c r="E23" s="11"/>
      <c r="F23" s="12"/>
      <c r="G23" s="8"/>
      <c r="H23" s="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3">
      <c r="A24" s="9" t="s">
        <v>4</v>
      </c>
      <c r="B24" s="121">
        <f>(B27-B28)/B23</f>
        <v>800000</v>
      </c>
      <c r="C24" s="11"/>
      <c r="D24" s="11"/>
      <c r="E24" s="11"/>
      <c r="F24" s="15"/>
      <c r="G24" s="8"/>
      <c r="H24" s="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3">
      <c r="A25" s="9" t="s">
        <v>5</v>
      </c>
      <c r="B25" s="120">
        <v>0.1</v>
      </c>
      <c r="C25" s="11"/>
      <c r="D25" s="11"/>
      <c r="E25" s="11"/>
      <c r="F25" s="15"/>
      <c r="G25" s="8"/>
      <c r="H25" s="8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3">
      <c r="A26" s="9"/>
      <c r="B26" s="120"/>
      <c r="C26" s="11"/>
      <c r="D26" s="11"/>
      <c r="E26" s="11"/>
      <c r="F26" s="15"/>
      <c r="G26" s="8"/>
      <c r="H26" s="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3">
      <c r="A27" s="9" t="s">
        <v>6</v>
      </c>
      <c r="B27" s="131">
        <v>4000000</v>
      </c>
      <c r="C27" s="11"/>
      <c r="D27" s="11"/>
      <c r="E27" s="11"/>
      <c r="F27" s="15"/>
      <c r="G27" s="8"/>
      <c r="H27" s="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3">
      <c r="A28" s="9" t="s">
        <v>7</v>
      </c>
      <c r="B28" s="121"/>
      <c r="C28" s="11"/>
      <c r="D28" s="11"/>
      <c r="E28" s="11"/>
      <c r="F28" s="15"/>
      <c r="G28" s="8"/>
      <c r="H28" s="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3">
      <c r="A29" s="25" t="s">
        <v>29</v>
      </c>
      <c r="B29" s="131">
        <f>+'Finansiering med IN'!B27</f>
        <v>4000000</v>
      </c>
      <c r="C29" s="27">
        <f>B29-$B$30</f>
        <v>3200000</v>
      </c>
      <c r="D29" s="27">
        <f t="shared" ref="D29:F29" si="0">C29-$B$30</f>
        <v>2400000</v>
      </c>
      <c r="E29" s="27">
        <f t="shared" si="0"/>
        <v>1600000</v>
      </c>
      <c r="F29" s="28">
        <f t="shared" si="0"/>
        <v>800000</v>
      </c>
      <c r="G29" s="8"/>
      <c r="H29" s="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3">
      <c r="A30" s="29" t="s">
        <v>10</v>
      </c>
      <c r="B30" s="122">
        <f>+B29/B33</f>
        <v>800000</v>
      </c>
      <c r="C30" s="27"/>
      <c r="D30" s="30"/>
      <c r="E30" s="30"/>
      <c r="F30" s="28"/>
      <c r="G30" s="8"/>
      <c r="H30" s="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5" thickBot="1" x14ac:dyDescent="0.35">
      <c r="A31" s="25" t="s">
        <v>30</v>
      </c>
      <c r="B31" s="123">
        <v>2.5000000000000001E-2</v>
      </c>
      <c r="C31" s="27"/>
      <c r="D31" s="30"/>
      <c r="E31" s="30"/>
      <c r="F31" s="28"/>
      <c r="G31" s="8"/>
      <c r="H31" s="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idden="1" x14ac:dyDescent="0.3">
      <c r="A32" s="9" t="s">
        <v>8</v>
      </c>
      <c r="B32" s="13">
        <v>0</v>
      </c>
      <c r="C32" s="14">
        <f>B32-$B$34</f>
        <v>0</v>
      </c>
      <c r="D32" s="14">
        <f t="shared" ref="D32:F32" si="1">C32-$B$34</f>
        <v>0</v>
      </c>
      <c r="E32" s="14">
        <f t="shared" si="1"/>
        <v>0</v>
      </c>
      <c r="F32" s="15">
        <f t="shared" si="1"/>
        <v>0</v>
      </c>
      <c r="G32" s="8"/>
      <c r="H32" s="8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idden="1" x14ac:dyDescent="0.3">
      <c r="A33" s="9" t="s">
        <v>9</v>
      </c>
      <c r="B33" s="13">
        <f>+B6</f>
        <v>5</v>
      </c>
      <c r="C33" s="11"/>
      <c r="D33" s="11"/>
      <c r="E33" s="11"/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idden="1" x14ac:dyDescent="0.3">
      <c r="A34" s="9" t="s">
        <v>10</v>
      </c>
      <c r="B34" s="14">
        <f>B32/B33</f>
        <v>0</v>
      </c>
      <c r="C34" s="11"/>
      <c r="D34" s="11"/>
      <c r="E34" s="11"/>
      <c r="F34" s="1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" hidden="1" thickBot="1" x14ac:dyDescent="0.35">
      <c r="A35" s="16" t="s">
        <v>11</v>
      </c>
      <c r="B35" s="23">
        <v>7.4999999999999997E-2</v>
      </c>
      <c r="C35" s="17"/>
      <c r="D35" s="17"/>
      <c r="E35" s="17"/>
      <c r="F35" s="1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6" x14ac:dyDescent="0.3">
      <c r="A36" s="8"/>
      <c r="B36" s="8"/>
      <c r="C36" s="8"/>
      <c r="D36" s="8"/>
      <c r="E36" s="8"/>
      <c r="F36" s="8"/>
      <c r="G36" s="8"/>
      <c r="H36" s="24"/>
      <c r="I36" s="1"/>
      <c r="J36" s="1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.6" x14ac:dyDescent="0.3">
      <c r="A37" s="54" t="s">
        <v>13</v>
      </c>
      <c r="B37" s="54">
        <v>0</v>
      </c>
      <c r="C37" s="54">
        <v>1</v>
      </c>
      <c r="D37" s="54">
        <v>2</v>
      </c>
      <c r="E37" s="54">
        <v>3</v>
      </c>
      <c r="F37" s="54">
        <v>4</v>
      </c>
      <c r="G37" s="54">
        <v>5</v>
      </c>
      <c r="H37" s="24"/>
      <c r="I37" s="1"/>
      <c r="J37" s="1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6" x14ac:dyDescent="0.3">
      <c r="A38" s="19" t="s">
        <v>15</v>
      </c>
      <c r="B38" s="20"/>
      <c r="C38" s="20">
        <f>+B20</f>
        <v>2100000</v>
      </c>
      <c r="D38" s="20">
        <f>C20</f>
        <v>4725000</v>
      </c>
      <c r="E38" s="20">
        <f>D20</f>
        <v>5250000</v>
      </c>
      <c r="F38" s="20">
        <f>E20</f>
        <v>5775000</v>
      </c>
      <c r="G38" s="20">
        <f>F20</f>
        <v>5250000</v>
      </c>
      <c r="H38" s="24"/>
      <c r="I38" s="1"/>
      <c r="J38" s="1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.6" x14ac:dyDescent="0.3">
      <c r="A39" s="19" t="s">
        <v>17</v>
      </c>
      <c r="B39" s="19"/>
      <c r="C39" s="19"/>
      <c r="D39" s="19"/>
      <c r="E39" s="19"/>
      <c r="F39" s="19"/>
      <c r="G39" s="20">
        <f>B28</f>
        <v>0</v>
      </c>
      <c r="H39" s="24"/>
      <c r="I39" s="1"/>
      <c r="J39" s="1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3">
      <c r="A40" s="19" t="s">
        <v>18</v>
      </c>
      <c r="B40" s="20"/>
      <c r="C40" s="20">
        <f>-$B$21*B20</f>
        <v>-1365000</v>
      </c>
      <c r="D40" s="20">
        <f>-$B$21*C20</f>
        <v>-3071250</v>
      </c>
      <c r="E40" s="20">
        <f>-$B$21*D20</f>
        <v>-3412500</v>
      </c>
      <c r="F40" s="20">
        <f>-$B$21*E20</f>
        <v>-3753750</v>
      </c>
      <c r="G40" s="20">
        <f>-$B$21*F20</f>
        <v>-3412500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3">
      <c r="A41" s="19" t="s">
        <v>19</v>
      </c>
      <c r="B41" s="20"/>
      <c r="C41" s="20">
        <f>-$B$24</f>
        <v>-800000</v>
      </c>
      <c r="D41" s="20">
        <f t="shared" ref="D41:G41" si="2">-$B$24</f>
        <v>-800000</v>
      </c>
      <c r="E41" s="20">
        <f t="shared" si="2"/>
        <v>-800000</v>
      </c>
      <c r="F41" s="20">
        <f t="shared" si="2"/>
        <v>-800000</v>
      </c>
      <c r="G41" s="20">
        <f t="shared" si="2"/>
        <v>-800000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3">
      <c r="A42" s="19" t="s">
        <v>20</v>
      </c>
      <c r="B42" s="19"/>
      <c r="C42" s="20">
        <f>B32*$B$35*-1</f>
        <v>0</v>
      </c>
      <c r="D42" s="20">
        <f>C32*$B$35*-1</f>
        <v>0</v>
      </c>
      <c r="E42" s="20">
        <f>D32*$B$35*-1</f>
        <v>0</v>
      </c>
      <c r="F42" s="20">
        <f>E32*$B$35*-1</f>
        <v>0</v>
      </c>
      <c r="G42" s="20">
        <f>F32*$B$35*-1</f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3">
      <c r="A43" s="19" t="s">
        <v>31</v>
      </c>
      <c r="B43" s="19"/>
      <c r="C43" s="20">
        <f>-B29*$B$31</f>
        <v>-100000</v>
      </c>
      <c r="D43" s="20">
        <f>-C29*$B$31</f>
        <v>-80000</v>
      </c>
      <c r="E43" s="20">
        <f>-D29*$B$31</f>
        <v>-60000</v>
      </c>
      <c r="F43" s="20">
        <f>-E29*$B$31</f>
        <v>-40000</v>
      </c>
      <c r="G43" s="20">
        <f>-F29*$B$31</f>
        <v>-20000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3">
      <c r="A44" s="55" t="s">
        <v>21</v>
      </c>
      <c r="B44" s="56">
        <f>SUM(B38:B42)</f>
        <v>0</v>
      </c>
      <c r="C44" s="56">
        <f>SUM(C38:C43)</f>
        <v>-165000</v>
      </c>
      <c r="D44" s="56">
        <f t="shared" ref="D44:G44" si="3">SUM(D38:D43)</f>
        <v>773750</v>
      </c>
      <c r="E44" s="56">
        <f t="shared" si="3"/>
        <v>977500</v>
      </c>
      <c r="F44" s="56">
        <f t="shared" si="3"/>
        <v>1181250</v>
      </c>
      <c r="G44" s="56">
        <f t="shared" si="3"/>
        <v>1017500</v>
      </c>
      <c r="H44" s="8"/>
      <c r="I44" s="8"/>
      <c r="J44" s="8"/>
      <c r="K44" s="8"/>
      <c r="L44" s="8"/>
      <c r="M44" s="21"/>
      <c r="N44" s="8"/>
      <c r="O44" s="8"/>
      <c r="P44" s="8"/>
      <c r="Q44" s="8"/>
      <c r="R44" s="8"/>
      <c r="S44" s="8"/>
      <c r="T44" s="8"/>
    </row>
    <row r="45" spans="1:20" x14ac:dyDescent="0.3">
      <c r="A45" s="19" t="s">
        <v>22</v>
      </c>
      <c r="B45" s="20">
        <f>-$B$22*B44</f>
        <v>0</v>
      </c>
      <c r="C45" s="20">
        <f>-$B$22*C44</f>
        <v>16500</v>
      </c>
      <c r="D45" s="20">
        <f t="shared" ref="D45:G45" si="4">-$B$22*D44</f>
        <v>-77375</v>
      </c>
      <c r="E45" s="20">
        <f t="shared" si="4"/>
        <v>-97750</v>
      </c>
      <c r="F45" s="20">
        <f t="shared" si="4"/>
        <v>-118125</v>
      </c>
      <c r="G45" s="20">
        <f t="shared" si="4"/>
        <v>-101750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3">
      <c r="A46" s="55" t="s">
        <v>23</v>
      </c>
      <c r="B46" s="56">
        <f>SUM(B44:B45)</f>
        <v>0</v>
      </c>
      <c r="C46" s="56">
        <f t="shared" ref="C46:G46" si="5">SUM(C44:C45)</f>
        <v>-148500</v>
      </c>
      <c r="D46" s="56">
        <f t="shared" si="5"/>
        <v>696375</v>
      </c>
      <c r="E46" s="56">
        <f t="shared" si="5"/>
        <v>879750</v>
      </c>
      <c r="F46" s="56">
        <f t="shared" si="5"/>
        <v>1063125</v>
      </c>
      <c r="G46" s="56">
        <f t="shared" si="5"/>
        <v>915750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3">
      <c r="A47" s="19" t="s">
        <v>24</v>
      </c>
      <c r="B47" s="20"/>
      <c r="C47" s="20">
        <f>-C41</f>
        <v>800000</v>
      </c>
      <c r="D47" s="20">
        <f t="shared" ref="D47:G47" si="6">-D41</f>
        <v>800000</v>
      </c>
      <c r="E47" s="20">
        <f t="shared" si="6"/>
        <v>800000</v>
      </c>
      <c r="F47" s="20">
        <f t="shared" si="6"/>
        <v>800000</v>
      </c>
      <c r="G47" s="20">
        <f t="shared" si="6"/>
        <v>800000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3">
      <c r="A48" s="19" t="s">
        <v>25</v>
      </c>
      <c r="B48" s="20">
        <f>-B27</f>
        <v>-4000000</v>
      </c>
      <c r="C48" s="20"/>
      <c r="D48" s="20"/>
      <c r="E48" s="20"/>
      <c r="F48" s="20"/>
      <c r="G48" s="2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3">
      <c r="A49" s="19" t="s">
        <v>26</v>
      </c>
      <c r="B49" s="20">
        <f>B56</f>
        <v>-210000</v>
      </c>
      <c r="C49" s="20">
        <f t="shared" ref="C49:G49" si="7">C56</f>
        <v>-262500</v>
      </c>
      <c r="D49" s="20">
        <f t="shared" si="7"/>
        <v>-52500</v>
      </c>
      <c r="E49" s="20">
        <f t="shared" si="7"/>
        <v>-52500</v>
      </c>
      <c r="F49" s="20">
        <f t="shared" si="7"/>
        <v>52500</v>
      </c>
      <c r="G49" s="20">
        <f t="shared" si="7"/>
        <v>525000</v>
      </c>
      <c r="H49" s="22">
        <f>SUM(B49:G49)</f>
        <v>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3">
      <c r="A50" s="19" t="s">
        <v>27</v>
      </c>
      <c r="B50" s="20">
        <f>B32+B29</f>
        <v>4000000</v>
      </c>
      <c r="C50" s="20">
        <f>-$B$34-$B$30</f>
        <v>-800000</v>
      </c>
      <c r="D50" s="20">
        <f t="shared" ref="D50:G50" si="8">-$B$34-$B$30</f>
        <v>-800000</v>
      </c>
      <c r="E50" s="20">
        <f t="shared" si="8"/>
        <v>-800000</v>
      </c>
      <c r="F50" s="20">
        <f t="shared" si="8"/>
        <v>-800000</v>
      </c>
      <c r="G50" s="20">
        <f t="shared" si="8"/>
        <v>-800000</v>
      </c>
      <c r="H50" s="22">
        <f>SUM(B50:G50)</f>
        <v>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3">
      <c r="A51" s="57" t="s">
        <v>28</v>
      </c>
      <c r="B51" s="58">
        <f>SUM(B46:B50)</f>
        <v>-210000</v>
      </c>
      <c r="C51" s="58">
        <f>SUM(C46:C50)</f>
        <v>-411000</v>
      </c>
      <c r="D51" s="58">
        <f t="shared" ref="D51:G51" si="9">SUM(D46:D50)</f>
        <v>643875</v>
      </c>
      <c r="E51" s="58">
        <f t="shared" si="9"/>
        <v>827250</v>
      </c>
      <c r="F51" s="58">
        <f t="shared" si="9"/>
        <v>1115625</v>
      </c>
      <c r="G51" s="58">
        <f t="shared" si="9"/>
        <v>1440750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3">
      <c r="A53" s="59" t="s">
        <v>13</v>
      </c>
      <c r="B53" s="59">
        <v>0</v>
      </c>
      <c r="C53" s="59">
        <v>1</v>
      </c>
      <c r="D53" s="59">
        <v>2</v>
      </c>
      <c r="E53" s="59">
        <v>3</v>
      </c>
      <c r="F53" s="59">
        <v>4</v>
      </c>
      <c r="G53" s="59">
        <v>5</v>
      </c>
      <c r="H53" s="1"/>
      <c r="I53" s="1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3">
      <c r="A54" s="2" t="s">
        <v>15</v>
      </c>
      <c r="B54" s="3">
        <f t="shared" ref="B54:G54" si="10">B38</f>
        <v>0</v>
      </c>
      <c r="C54" s="3">
        <f>C38</f>
        <v>2100000</v>
      </c>
      <c r="D54" s="3">
        <f t="shared" si="10"/>
        <v>4725000</v>
      </c>
      <c r="E54" s="3">
        <f t="shared" si="10"/>
        <v>5250000</v>
      </c>
      <c r="F54" s="3">
        <f t="shared" si="10"/>
        <v>5775000</v>
      </c>
      <c r="G54" s="3">
        <f t="shared" si="10"/>
        <v>5250000</v>
      </c>
      <c r="H54" s="1"/>
      <c r="I54" s="1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3">
      <c r="A55" s="2" t="s">
        <v>32</v>
      </c>
      <c r="B55" s="3">
        <f>B54*0.1</f>
        <v>0</v>
      </c>
      <c r="C55" s="3">
        <f t="shared" ref="C55:G55" si="11">C54*0.1</f>
        <v>210000</v>
      </c>
      <c r="D55" s="3">
        <f t="shared" si="11"/>
        <v>472500</v>
      </c>
      <c r="E55" s="3">
        <f t="shared" si="11"/>
        <v>525000</v>
      </c>
      <c r="F55" s="3">
        <f t="shared" si="11"/>
        <v>577500</v>
      </c>
      <c r="G55" s="3">
        <f t="shared" si="11"/>
        <v>525000</v>
      </c>
      <c r="H55" s="1"/>
      <c r="I55" s="1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3">
      <c r="A56" s="2" t="s">
        <v>33</v>
      </c>
      <c r="B56" s="3">
        <f>B55-C55</f>
        <v>-210000</v>
      </c>
      <c r="C56" s="3">
        <f t="shared" ref="C56:G56" si="12">C55-D55</f>
        <v>-262500</v>
      </c>
      <c r="D56" s="3">
        <f t="shared" si="12"/>
        <v>-52500</v>
      </c>
      <c r="E56" s="3">
        <f t="shared" si="12"/>
        <v>-52500</v>
      </c>
      <c r="F56" s="3">
        <f t="shared" si="12"/>
        <v>52500</v>
      </c>
      <c r="G56" s="3">
        <f t="shared" si="12"/>
        <v>525000</v>
      </c>
      <c r="H56" s="5">
        <f>SUM(B56:G56)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50"/>
      <c r="B57" s="3"/>
      <c r="C57" s="3"/>
      <c r="D57" s="3"/>
      <c r="E57" s="3"/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0" x14ac:dyDescent="0.3">
      <c r="A58" s="8"/>
      <c r="B58" s="20"/>
      <c r="C58" s="20">
        <f>+C38</f>
        <v>2100000</v>
      </c>
      <c r="D58" s="20">
        <f t="shared" ref="D58:G58" si="13">+D38</f>
        <v>4725000</v>
      </c>
      <c r="E58" s="20">
        <f t="shared" si="13"/>
        <v>5250000</v>
      </c>
      <c r="F58" s="20">
        <f t="shared" si="13"/>
        <v>5775000</v>
      </c>
      <c r="G58" s="20">
        <f t="shared" si="13"/>
        <v>5250000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20" x14ac:dyDescent="0.3">
      <c r="A59" s="47" t="s">
        <v>47</v>
      </c>
      <c r="B59" s="20">
        <f>+B43</f>
        <v>0</v>
      </c>
      <c r="C59" s="49">
        <f>+C58/(SUM($C$38:$G$38))</f>
        <v>9.0909090909090912E-2</v>
      </c>
      <c r="D59" s="49">
        <f t="shared" ref="D59:G59" si="14">+D58/(SUM($C$38:$G$38))</f>
        <v>0.20454545454545456</v>
      </c>
      <c r="E59" s="49">
        <f t="shared" si="14"/>
        <v>0.22727272727272727</v>
      </c>
      <c r="F59" s="49">
        <f t="shared" si="14"/>
        <v>0.25</v>
      </c>
      <c r="G59" s="49">
        <f t="shared" si="14"/>
        <v>0.22727272727272727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20" x14ac:dyDescent="0.3">
      <c r="A62" s="5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3">
      <c r="A67" s="5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3">
      <c r="A68" s="5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17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17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17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17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17" x14ac:dyDescent="0.3">
      <c r="A88" s="1"/>
      <c r="B88" s="1"/>
      <c r="C88" s="1"/>
      <c r="D88" s="1"/>
      <c r="E88" s="1"/>
      <c r="F88" s="1"/>
      <c r="G88" s="1"/>
      <c r="H88" s="1"/>
      <c r="I88" s="1"/>
    </row>
  </sheetData>
  <mergeCells count="9">
    <mergeCell ref="I3:J3"/>
    <mergeCell ref="D17:E17"/>
    <mergeCell ref="D18:E18"/>
    <mergeCell ref="D19:E19"/>
    <mergeCell ref="A1:H1"/>
    <mergeCell ref="D11:E11"/>
    <mergeCell ref="D12:E12"/>
    <mergeCell ref="D13:E13"/>
    <mergeCell ref="D14:E14"/>
  </mergeCells>
  <pageMargins left="0.7" right="0.7" top="0.75" bottom="0.75" header="0.3" footer="0.3"/>
  <pageSetup paperSize="9" scale="7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E94D-11CD-4919-A0D2-910C6E9E6A94}">
  <dimension ref="A1:T88"/>
  <sheetViews>
    <sheetView tabSelected="1" zoomScaleNormal="100" workbookViewId="0">
      <selection activeCell="D8" sqref="D8"/>
    </sheetView>
  </sheetViews>
  <sheetFormatPr defaultColWidth="11.5546875" defaultRowHeight="14.4" x14ac:dyDescent="0.3"/>
  <cols>
    <col min="1" max="1" width="35.88671875" customWidth="1"/>
    <col min="2" max="2" width="12.5546875" customWidth="1"/>
    <col min="3" max="3" width="12.44140625" customWidth="1"/>
    <col min="4" max="4" width="11.5546875" customWidth="1"/>
    <col min="5" max="5" width="12.33203125" customWidth="1"/>
    <col min="6" max="6" width="14.77734375" customWidth="1"/>
    <col min="7" max="7" width="12.21875" customWidth="1"/>
    <col min="9" max="9" width="22.44140625" customWidth="1"/>
    <col min="10" max="10" width="19.109375" customWidth="1"/>
    <col min="11" max="11" width="34.33203125" customWidth="1"/>
  </cols>
  <sheetData>
    <row r="1" spans="1:20" ht="18" x14ac:dyDescent="0.35">
      <c r="A1" s="132" t="s">
        <v>70</v>
      </c>
      <c r="B1" s="132"/>
      <c r="C1" s="132"/>
      <c r="D1" s="132"/>
      <c r="E1" s="132"/>
      <c r="F1" s="132"/>
      <c r="G1" s="132"/>
      <c r="H1" s="132"/>
      <c r="I1" s="1"/>
      <c r="J1" s="1"/>
      <c r="K1" s="1"/>
      <c r="L1" s="1"/>
    </row>
    <row r="2" spans="1:20" ht="18.600000000000001" thickBot="1" x14ac:dyDescent="0.4">
      <c r="A2" s="105"/>
      <c r="B2" s="105"/>
      <c r="C2" s="105"/>
      <c r="D2" s="105"/>
      <c r="E2" s="105"/>
      <c r="F2" s="105"/>
      <c r="G2" s="105"/>
      <c r="H2" s="105"/>
      <c r="I2" s="1"/>
      <c r="J2" s="1"/>
      <c r="K2" s="1"/>
      <c r="L2" s="1"/>
    </row>
    <row r="3" spans="1:20" ht="16.2" thickBot="1" x14ac:dyDescent="0.35">
      <c r="A3" s="77"/>
      <c r="B3" s="78" t="s">
        <v>37</v>
      </c>
      <c r="C3" s="1"/>
      <c r="D3" s="1"/>
      <c r="E3" s="1"/>
      <c r="F3" s="1"/>
      <c r="G3" s="1"/>
      <c r="H3" s="1"/>
      <c r="I3" s="164" t="s">
        <v>71</v>
      </c>
      <c r="J3" s="165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9.4" thickBot="1" x14ac:dyDescent="0.35">
      <c r="A4" s="69" t="s">
        <v>69</v>
      </c>
      <c r="B4" s="126">
        <v>-0.1</v>
      </c>
      <c r="C4" s="79">
        <v>2000000</v>
      </c>
      <c r="D4" s="79">
        <v>4500000</v>
      </c>
      <c r="E4" s="79">
        <v>5000000</v>
      </c>
      <c r="F4" s="79">
        <v>5500000</v>
      </c>
      <c r="G4" s="79">
        <v>5000000</v>
      </c>
      <c r="H4" s="1"/>
      <c r="I4" s="118" t="s">
        <v>72</v>
      </c>
      <c r="J4" s="118" t="s">
        <v>73</v>
      </c>
      <c r="K4" s="118"/>
      <c r="L4" s="1"/>
      <c r="M4" s="1"/>
      <c r="N4" s="1"/>
      <c r="O4" s="1"/>
      <c r="P4" s="1"/>
      <c r="Q4" s="1"/>
      <c r="R4" s="1"/>
      <c r="S4" s="1"/>
      <c r="T4" s="1"/>
    </row>
    <row r="5" spans="1:20" ht="16.2" thickBot="1" x14ac:dyDescent="0.35">
      <c r="A5" s="71" t="s">
        <v>46</v>
      </c>
      <c r="B5" s="125">
        <f>+B21</f>
        <v>0.85</v>
      </c>
      <c r="C5" s="1"/>
      <c r="D5" s="1"/>
      <c r="E5" s="1"/>
      <c r="F5" s="1"/>
      <c r="G5" s="1"/>
      <c r="H5" s="1"/>
      <c r="I5" s="118" t="s">
        <v>74</v>
      </c>
      <c r="J5" s="118" t="s">
        <v>73</v>
      </c>
      <c r="K5" s="119" t="s">
        <v>75</v>
      </c>
      <c r="L5" s="1"/>
      <c r="M5" s="1"/>
      <c r="N5" s="1"/>
      <c r="O5" s="1"/>
      <c r="P5" s="1"/>
      <c r="Q5" s="1"/>
      <c r="R5" s="1"/>
      <c r="S5" s="1"/>
      <c r="T5" s="1"/>
    </row>
    <row r="6" spans="1:20" ht="16.2" thickBot="1" x14ac:dyDescent="0.35">
      <c r="A6" s="71" t="s">
        <v>48</v>
      </c>
      <c r="B6" s="80">
        <v>5</v>
      </c>
      <c r="C6" s="5"/>
      <c r="D6" s="1"/>
      <c r="E6" s="1"/>
      <c r="F6" s="1"/>
      <c r="G6" s="1"/>
      <c r="H6" s="1"/>
      <c r="I6" s="118"/>
      <c r="J6" s="118"/>
      <c r="K6" s="118"/>
      <c r="L6" s="1"/>
      <c r="M6" s="1"/>
      <c r="N6" s="1"/>
      <c r="O6" s="1"/>
      <c r="P6" s="1"/>
      <c r="Q6" s="1"/>
      <c r="R6" s="1"/>
      <c r="S6" s="1"/>
      <c r="T6" s="1"/>
    </row>
    <row r="7" spans="1:20" ht="15.6" x14ac:dyDescent="0.3">
      <c r="A7" s="71" t="s">
        <v>6</v>
      </c>
      <c r="B7" s="127">
        <v>6000000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6" x14ac:dyDescent="0.3">
      <c r="A8" s="71" t="s">
        <v>8</v>
      </c>
      <c r="B8" s="127">
        <f>+B7</f>
        <v>6000000</v>
      </c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6" x14ac:dyDescent="0.3">
      <c r="A9" s="71" t="s">
        <v>50</v>
      </c>
      <c r="B9" s="81">
        <v>2.5000000000000001E-2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2" thickBot="1" x14ac:dyDescent="0.35">
      <c r="A10" s="71" t="s">
        <v>42</v>
      </c>
      <c r="B10" s="82">
        <v>0.1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6.2" thickBot="1" x14ac:dyDescent="0.35">
      <c r="A11" s="73" t="s">
        <v>43</v>
      </c>
      <c r="B11" s="83">
        <v>0.15</v>
      </c>
      <c r="C11" s="1"/>
      <c r="D11" s="133"/>
      <c r="E11" s="134"/>
      <c r="F11" s="66" t="s">
        <v>38</v>
      </c>
      <c r="G11" s="67" t="s">
        <v>39</v>
      </c>
      <c r="H11" s="68" t="s">
        <v>49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6" x14ac:dyDescent="0.3">
      <c r="A12" s="1"/>
      <c r="B12" s="1"/>
      <c r="C12" s="1"/>
      <c r="D12" s="135" t="s">
        <v>0</v>
      </c>
      <c r="E12" s="136"/>
      <c r="F12" s="63">
        <v>22000000</v>
      </c>
      <c r="G12" s="64">
        <v>25804712</v>
      </c>
      <c r="H12" s="70">
        <f>(G12-F12)/F12</f>
        <v>0.17294145454545454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6" x14ac:dyDescent="0.3">
      <c r="A13" s="1"/>
      <c r="B13" s="1"/>
      <c r="C13" s="1"/>
      <c r="D13" s="135" t="s">
        <v>46</v>
      </c>
      <c r="E13" s="136"/>
      <c r="F13" s="65">
        <v>0.7</v>
      </c>
      <c r="G13" s="37">
        <v>0.65100000000000002</v>
      </c>
      <c r="H13" s="72">
        <f>(G13-F13)/F13</f>
        <v>-6.999999999999991E-2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2" thickBot="1" x14ac:dyDescent="0.35">
      <c r="A14" s="1"/>
      <c r="B14" s="1"/>
      <c r="C14" s="1"/>
      <c r="D14" s="137" t="s">
        <v>57</v>
      </c>
      <c r="E14" s="138"/>
      <c r="F14" s="74">
        <v>6000000</v>
      </c>
      <c r="G14" s="75">
        <v>5335401</v>
      </c>
      <c r="H14" s="76">
        <f>(G14-F14)/F14</f>
        <v>-0.1107665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thickBot="1" x14ac:dyDescent="0.35">
      <c r="A16" s="1"/>
      <c r="B16" s="1"/>
      <c r="C16" s="1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6" x14ac:dyDescent="0.3">
      <c r="A17" s="1"/>
      <c r="B17" s="1"/>
      <c r="C17" s="1"/>
      <c r="D17" s="145" t="s">
        <v>12</v>
      </c>
      <c r="E17" s="161"/>
      <c r="F17" s="60">
        <v>0.15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6" x14ac:dyDescent="0.3">
      <c r="A18" s="1"/>
      <c r="B18" s="1"/>
      <c r="C18" s="1"/>
      <c r="D18" s="147" t="s">
        <v>14</v>
      </c>
      <c r="E18" s="159"/>
      <c r="F18" s="61">
        <f>NPV(F17,C51:G51)+B51</f>
        <v>-730299.64064997807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6.2" thickBot="1" x14ac:dyDescent="0.35">
      <c r="A19" s="34"/>
      <c r="B19" s="34"/>
      <c r="C19" s="34"/>
      <c r="D19" s="149" t="s">
        <v>16</v>
      </c>
      <c r="E19" s="160"/>
      <c r="F19" s="62">
        <f>IRR(B51:G51)</f>
        <v>0.3727117639152282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4" customHeight="1" x14ac:dyDescent="0.3">
      <c r="A20" s="6" t="s">
        <v>0</v>
      </c>
      <c r="B20" s="128">
        <f>+C4+(C4*$B$4)</f>
        <v>1800000</v>
      </c>
      <c r="C20" s="128">
        <f>+D4+(D4*$B$4)</f>
        <v>4050000</v>
      </c>
      <c r="D20" s="128">
        <f>+E4+(E4*$B$4)</f>
        <v>4500000</v>
      </c>
      <c r="E20" s="128">
        <f>+F4+(F4*$B$4)</f>
        <v>4950000</v>
      </c>
      <c r="F20" s="129">
        <f>+G4+(G4*$B$4)</f>
        <v>4500000</v>
      </c>
      <c r="G20" s="8"/>
      <c r="H20" s="8"/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3">
      <c r="A21" s="9" t="s">
        <v>1</v>
      </c>
      <c r="B21" s="130">
        <v>0.85</v>
      </c>
      <c r="C21" s="11"/>
      <c r="D21" s="11"/>
      <c r="E21" s="11"/>
      <c r="F21" s="12"/>
      <c r="G21" s="8"/>
      <c r="H21" s="8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3">
      <c r="A22" s="9" t="s">
        <v>2</v>
      </c>
      <c r="B22" s="120">
        <v>0.1</v>
      </c>
      <c r="C22" s="11"/>
      <c r="D22" s="11"/>
      <c r="E22" s="11"/>
      <c r="F22" s="12"/>
      <c r="G22" s="8"/>
      <c r="H22" s="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3">
      <c r="A23" s="9" t="s">
        <v>3</v>
      </c>
      <c r="B23" s="121">
        <f>+B6</f>
        <v>5</v>
      </c>
      <c r="C23" s="11"/>
      <c r="D23" s="11"/>
      <c r="E23" s="11"/>
      <c r="F23" s="12"/>
      <c r="G23" s="8"/>
      <c r="H23" s="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3">
      <c r="A24" s="9" t="s">
        <v>4</v>
      </c>
      <c r="B24" s="121">
        <f>(B27-B28)/B23</f>
        <v>800000</v>
      </c>
      <c r="C24" s="11"/>
      <c r="D24" s="11"/>
      <c r="E24" s="11"/>
      <c r="F24" s="15"/>
      <c r="G24" s="8"/>
      <c r="H24" s="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3">
      <c r="A25" s="9" t="s">
        <v>5</v>
      </c>
      <c r="B25" s="120">
        <v>0.1</v>
      </c>
      <c r="C25" s="11"/>
      <c r="D25" s="11"/>
      <c r="E25" s="11"/>
      <c r="F25" s="15"/>
      <c r="G25" s="8"/>
      <c r="H25" s="8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3">
      <c r="A26" s="9"/>
      <c r="B26" s="120"/>
      <c r="C26" s="11"/>
      <c r="D26" s="11"/>
      <c r="E26" s="11"/>
      <c r="F26" s="15"/>
      <c r="G26" s="8"/>
      <c r="H26" s="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3">
      <c r="A27" s="9" t="s">
        <v>6</v>
      </c>
      <c r="B27" s="121">
        <v>4000000</v>
      </c>
      <c r="C27" s="11"/>
      <c r="D27" s="11"/>
      <c r="E27" s="11"/>
      <c r="F27" s="15"/>
      <c r="G27" s="8"/>
      <c r="H27" s="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3">
      <c r="A28" s="9" t="s">
        <v>7</v>
      </c>
      <c r="B28" s="121"/>
      <c r="C28" s="11"/>
      <c r="D28" s="11"/>
      <c r="E28" s="11"/>
      <c r="F28" s="15"/>
      <c r="G28" s="8"/>
      <c r="H28" s="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3">
      <c r="A29" s="25" t="s">
        <v>29</v>
      </c>
      <c r="B29" s="122">
        <f>+'Finansiering med IN'!B27</f>
        <v>4000000</v>
      </c>
      <c r="C29" s="27">
        <f>B29-$B$30</f>
        <v>3200000</v>
      </c>
      <c r="D29" s="27">
        <f t="shared" ref="D29:F29" si="0">C29-$B$30</f>
        <v>2400000</v>
      </c>
      <c r="E29" s="27">
        <f t="shared" si="0"/>
        <v>1600000</v>
      </c>
      <c r="F29" s="28">
        <f t="shared" si="0"/>
        <v>800000</v>
      </c>
      <c r="G29" s="8"/>
      <c r="H29" s="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3">
      <c r="A30" s="29" t="s">
        <v>10</v>
      </c>
      <c r="B30" s="122">
        <f>+B29/B33</f>
        <v>800000</v>
      </c>
      <c r="C30" s="27"/>
      <c r="D30" s="30"/>
      <c r="E30" s="30"/>
      <c r="F30" s="28"/>
      <c r="G30" s="8"/>
      <c r="H30" s="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5" thickBot="1" x14ac:dyDescent="0.35">
      <c r="A31" s="25" t="s">
        <v>30</v>
      </c>
      <c r="B31" s="123">
        <v>2.5000000000000001E-2</v>
      </c>
      <c r="C31" s="27"/>
      <c r="D31" s="30"/>
      <c r="E31" s="30"/>
      <c r="F31" s="28"/>
      <c r="G31" s="8"/>
      <c r="H31" s="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3">
      <c r="A32" s="9" t="s">
        <v>8</v>
      </c>
      <c r="B32" s="131">
        <v>2000000</v>
      </c>
      <c r="C32" s="14">
        <f>B32-$B$34</f>
        <v>1600000</v>
      </c>
      <c r="D32" s="14">
        <f t="shared" ref="D32:F32" si="1">C32-$B$34</f>
        <v>1200000</v>
      </c>
      <c r="E32" s="14">
        <f t="shared" si="1"/>
        <v>800000</v>
      </c>
      <c r="F32" s="15">
        <f t="shared" si="1"/>
        <v>400000</v>
      </c>
      <c r="G32" s="8"/>
      <c r="H32" s="8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3">
      <c r="A33" s="9" t="s">
        <v>9</v>
      </c>
      <c r="B33" s="121">
        <f>+B6</f>
        <v>5</v>
      </c>
      <c r="C33" s="11"/>
      <c r="D33" s="11"/>
      <c r="E33" s="11"/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3">
      <c r="A34" s="9" t="s">
        <v>10</v>
      </c>
      <c r="B34" s="121">
        <f>B32/B33</f>
        <v>400000</v>
      </c>
      <c r="C34" s="11"/>
      <c r="D34" s="11"/>
      <c r="E34" s="11"/>
      <c r="F34" s="1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" thickBot="1" x14ac:dyDescent="0.35">
      <c r="A35" s="16" t="s">
        <v>11</v>
      </c>
      <c r="B35" s="124">
        <v>7.4999999999999997E-2</v>
      </c>
      <c r="C35" s="17"/>
      <c r="D35" s="17"/>
      <c r="E35" s="17"/>
      <c r="F35" s="1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6" x14ac:dyDescent="0.3">
      <c r="A36" s="8"/>
      <c r="B36" s="8"/>
      <c r="C36" s="8"/>
      <c r="D36" s="8"/>
      <c r="E36" s="8"/>
      <c r="F36" s="8"/>
      <c r="G36" s="8"/>
      <c r="H36" s="24"/>
      <c r="I36" s="1"/>
      <c r="J36" s="1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.6" x14ac:dyDescent="0.3">
      <c r="A37" s="54" t="s">
        <v>13</v>
      </c>
      <c r="B37" s="54">
        <v>0</v>
      </c>
      <c r="C37" s="54">
        <v>1</v>
      </c>
      <c r="D37" s="54">
        <v>2</v>
      </c>
      <c r="E37" s="54">
        <v>3</v>
      </c>
      <c r="F37" s="54">
        <v>4</v>
      </c>
      <c r="G37" s="54">
        <v>5</v>
      </c>
      <c r="H37" s="24"/>
      <c r="I37" s="1"/>
      <c r="J37" s="1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6" x14ac:dyDescent="0.3">
      <c r="A38" s="19" t="s">
        <v>15</v>
      </c>
      <c r="B38" s="20"/>
      <c r="C38" s="20">
        <f>+B20</f>
        <v>1800000</v>
      </c>
      <c r="D38" s="20">
        <f>C20</f>
        <v>4050000</v>
      </c>
      <c r="E38" s="20">
        <f>D20</f>
        <v>4500000</v>
      </c>
      <c r="F38" s="20">
        <f>E20</f>
        <v>4950000</v>
      </c>
      <c r="G38" s="20">
        <f>F20</f>
        <v>4500000</v>
      </c>
      <c r="H38" s="24"/>
      <c r="I38" s="1"/>
      <c r="J38" s="1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.6" x14ac:dyDescent="0.3">
      <c r="A39" s="19" t="s">
        <v>17</v>
      </c>
      <c r="B39" s="19"/>
      <c r="C39" s="19"/>
      <c r="D39" s="19"/>
      <c r="E39" s="19"/>
      <c r="F39" s="19"/>
      <c r="G39" s="20">
        <f>B28</f>
        <v>0</v>
      </c>
      <c r="H39" s="24"/>
      <c r="I39" s="1"/>
      <c r="J39" s="1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3">
      <c r="A40" s="19" t="s">
        <v>18</v>
      </c>
      <c r="B40" s="20"/>
      <c r="C40" s="20">
        <f>-$B$21*B20</f>
        <v>-1530000</v>
      </c>
      <c r="D40" s="20">
        <f>-$B$21*C20</f>
        <v>-3442500</v>
      </c>
      <c r="E40" s="20">
        <f>-$B$21*D20</f>
        <v>-3825000</v>
      </c>
      <c r="F40" s="20">
        <f>-$B$21*E20</f>
        <v>-4207500</v>
      </c>
      <c r="G40" s="20">
        <f>-$B$21*F20</f>
        <v>-3825000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3">
      <c r="A41" s="19" t="s">
        <v>19</v>
      </c>
      <c r="B41" s="20"/>
      <c r="C41" s="20">
        <f>-$B$24</f>
        <v>-800000</v>
      </c>
      <c r="D41" s="20">
        <f t="shared" ref="D41:G41" si="2">-$B$24</f>
        <v>-800000</v>
      </c>
      <c r="E41" s="20">
        <f t="shared" si="2"/>
        <v>-800000</v>
      </c>
      <c r="F41" s="20">
        <f t="shared" si="2"/>
        <v>-800000</v>
      </c>
      <c r="G41" s="20">
        <f t="shared" si="2"/>
        <v>-800000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3">
      <c r="A42" s="19" t="s">
        <v>20</v>
      </c>
      <c r="B42" s="19"/>
      <c r="C42" s="20">
        <f>B32*$B$35*-1</f>
        <v>-150000</v>
      </c>
      <c r="D42" s="20">
        <f>C32*$B$35*-1</f>
        <v>-120000</v>
      </c>
      <c r="E42" s="20">
        <f>D32*$B$35*-1</f>
        <v>-90000</v>
      </c>
      <c r="F42" s="20">
        <f>E32*$B$35*-1</f>
        <v>-60000</v>
      </c>
      <c r="G42" s="20">
        <f>F32*$B$35*-1</f>
        <v>-30000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3">
      <c r="A43" s="19" t="s">
        <v>31</v>
      </c>
      <c r="B43" s="19"/>
      <c r="C43" s="20">
        <f>-B29*$B$31</f>
        <v>-100000</v>
      </c>
      <c r="D43" s="20">
        <f>-C29*$B$31</f>
        <v>-80000</v>
      </c>
      <c r="E43" s="20">
        <f>-D29*$B$31</f>
        <v>-60000</v>
      </c>
      <c r="F43" s="20">
        <f>-E29*$B$31</f>
        <v>-40000</v>
      </c>
      <c r="G43" s="20">
        <f>-F29*$B$31</f>
        <v>-20000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3">
      <c r="A44" s="55" t="s">
        <v>21</v>
      </c>
      <c r="B44" s="56">
        <f>SUM(B38:B42)</f>
        <v>0</v>
      </c>
      <c r="C44" s="56">
        <f>SUM(C38:C43)</f>
        <v>-780000</v>
      </c>
      <c r="D44" s="56">
        <f t="shared" ref="D44:G44" si="3">SUM(D38:D43)</f>
        <v>-392500</v>
      </c>
      <c r="E44" s="56">
        <f t="shared" si="3"/>
        <v>-275000</v>
      </c>
      <c r="F44" s="56">
        <f t="shared" si="3"/>
        <v>-157500</v>
      </c>
      <c r="G44" s="56">
        <f t="shared" si="3"/>
        <v>-175000</v>
      </c>
      <c r="H44" s="8"/>
      <c r="I44" s="8"/>
      <c r="J44" s="8"/>
      <c r="K44" s="8"/>
      <c r="L44" s="8"/>
      <c r="M44" s="21"/>
      <c r="N44" s="8"/>
      <c r="O44" s="8"/>
      <c r="P44" s="8"/>
      <c r="Q44" s="8"/>
      <c r="R44" s="8"/>
      <c r="S44" s="8"/>
      <c r="T44" s="8"/>
    </row>
    <row r="45" spans="1:20" x14ac:dyDescent="0.3">
      <c r="A45" s="19" t="s">
        <v>22</v>
      </c>
      <c r="B45" s="20">
        <f>-$B$22*B44</f>
        <v>0</v>
      </c>
      <c r="C45" s="20">
        <f>-$B$22*C44</f>
        <v>78000</v>
      </c>
      <c r="D45" s="20">
        <f t="shared" ref="D45:G45" si="4">-$B$22*D44</f>
        <v>39250</v>
      </c>
      <c r="E45" s="20">
        <f t="shared" si="4"/>
        <v>27500</v>
      </c>
      <c r="F45" s="20">
        <f t="shared" si="4"/>
        <v>15750</v>
      </c>
      <c r="G45" s="20">
        <f t="shared" si="4"/>
        <v>17500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3">
      <c r="A46" s="55" t="s">
        <v>23</v>
      </c>
      <c r="B46" s="56">
        <f>SUM(B44:B45)</f>
        <v>0</v>
      </c>
      <c r="C46" s="56">
        <f t="shared" ref="C46:G46" si="5">SUM(C44:C45)</f>
        <v>-702000</v>
      </c>
      <c r="D46" s="56">
        <f t="shared" si="5"/>
        <v>-353250</v>
      </c>
      <c r="E46" s="56">
        <f t="shared" si="5"/>
        <v>-247500</v>
      </c>
      <c r="F46" s="56">
        <f t="shared" si="5"/>
        <v>-141750</v>
      </c>
      <c r="G46" s="56">
        <f t="shared" si="5"/>
        <v>-157500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3">
      <c r="A47" s="19" t="s">
        <v>24</v>
      </c>
      <c r="B47" s="20"/>
      <c r="C47" s="20">
        <f>-C41</f>
        <v>800000</v>
      </c>
      <c r="D47" s="20">
        <f t="shared" ref="D47:G47" si="6">-D41</f>
        <v>800000</v>
      </c>
      <c r="E47" s="20">
        <f t="shared" si="6"/>
        <v>800000</v>
      </c>
      <c r="F47" s="20">
        <f t="shared" si="6"/>
        <v>800000</v>
      </c>
      <c r="G47" s="20">
        <f t="shared" si="6"/>
        <v>800000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3">
      <c r="A48" s="19" t="s">
        <v>25</v>
      </c>
      <c r="B48" s="20">
        <f>-B27</f>
        <v>-4000000</v>
      </c>
      <c r="C48" s="20"/>
      <c r="D48" s="20"/>
      <c r="E48" s="20"/>
      <c r="F48" s="20"/>
      <c r="G48" s="2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3">
      <c r="A49" s="19" t="s">
        <v>26</v>
      </c>
      <c r="B49" s="20">
        <f>B56</f>
        <v>-180000</v>
      </c>
      <c r="C49" s="20">
        <f t="shared" ref="C49:G49" si="7">C56</f>
        <v>-225000</v>
      </c>
      <c r="D49" s="20">
        <f t="shared" si="7"/>
        <v>-45000</v>
      </c>
      <c r="E49" s="20">
        <f t="shared" si="7"/>
        <v>-45000</v>
      </c>
      <c r="F49" s="20">
        <f t="shared" si="7"/>
        <v>45000</v>
      </c>
      <c r="G49" s="20">
        <f t="shared" si="7"/>
        <v>450000</v>
      </c>
      <c r="H49" s="22">
        <f>SUM(B49:G49)</f>
        <v>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3">
      <c r="A50" s="19" t="s">
        <v>27</v>
      </c>
      <c r="B50" s="20">
        <f>B32+B29</f>
        <v>6000000</v>
      </c>
      <c r="C50" s="20">
        <f>-$B$34-$B$30</f>
        <v>-1200000</v>
      </c>
      <c r="D50" s="20">
        <f t="shared" ref="D50:G50" si="8">-$B$34-$B$30</f>
        <v>-1200000</v>
      </c>
      <c r="E50" s="20">
        <f t="shared" si="8"/>
        <v>-1200000</v>
      </c>
      <c r="F50" s="20">
        <f t="shared" si="8"/>
        <v>-1200000</v>
      </c>
      <c r="G50" s="20">
        <f t="shared" si="8"/>
        <v>-1200000</v>
      </c>
      <c r="H50" s="22">
        <f>SUM(B50:G50)</f>
        <v>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3">
      <c r="A51" s="57" t="s">
        <v>28</v>
      </c>
      <c r="B51" s="58">
        <f>SUM(B46:B50)</f>
        <v>1820000</v>
      </c>
      <c r="C51" s="58">
        <f>SUM(C46:C50)</f>
        <v>-1327000</v>
      </c>
      <c r="D51" s="58">
        <f t="shared" ref="D51:G51" si="9">SUM(D46:D50)</f>
        <v>-798250</v>
      </c>
      <c r="E51" s="58">
        <f t="shared" si="9"/>
        <v>-692500</v>
      </c>
      <c r="F51" s="58">
        <f t="shared" si="9"/>
        <v>-496750</v>
      </c>
      <c r="G51" s="58">
        <f t="shared" si="9"/>
        <v>-107500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3">
      <c r="A53" s="59" t="s">
        <v>13</v>
      </c>
      <c r="B53" s="59">
        <v>0</v>
      </c>
      <c r="C53" s="59">
        <v>1</v>
      </c>
      <c r="D53" s="59">
        <v>2</v>
      </c>
      <c r="E53" s="59">
        <v>3</v>
      </c>
      <c r="F53" s="59">
        <v>4</v>
      </c>
      <c r="G53" s="59">
        <v>5</v>
      </c>
      <c r="H53" s="1"/>
      <c r="I53" s="1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3">
      <c r="A54" s="2" t="s">
        <v>15</v>
      </c>
      <c r="B54" s="3">
        <f t="shared" ref="B54:G54" si="10">B38</f>
        <v>0</v>
      </c>
      <c r="C54" s="3">
        <f>C38</f>
        <v>1800000</v>
      </c>
      <c r="D54" s="3">
        <f t="shared" si="10"/>
        <v>4050000</v>
      </c>
      <c r="E54" s="3">
        <f t="shared" si="10"/>
        <v>4500000</v>
      </c>
      <c r="F54" s="3">
        <f t="shared" si="10"/>
        <v>4950000</v>
      </c>
      <c r="G54" s="3">
        <f t="shared" si="10"/>
        <v>4500000</v>
      </c>
      <c r="H54" s="1"/>
      <c r="I54" s="1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3">
      <c r="A55" s="2" t="s">
        <v>32</v>
      </c>
      <c r="B55" s="3">
        <f>B54*0.1</f>
        <v>0</v>
      </c>
      <c r="C55" s="3">
        <f t="shared" ref="C55:G55" si="11">C54*0.1</f>
        <v>180000</v>
      </c>
      <c r="D55" s="3">
        <f t="shared" si="11"/>
        <v>405000</v>
      </c>
      <c r="E55" s="3">
        <f t="shared" si="11"/>
        <v>450000</v>
      </c>
      <c r="F55" s="3">
        <f t="shared" si="11"/>
        <v>495000</v>
      </c>
      <c r="G55" s="3">
        <f t="shared" si="11"/>
        <v>450000</v>
      </c>
      <c r="H55" s="1"/>
      <c r="I55" s="1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3">
      <c r="A56" s="2" t="s">
        <v>33</v>
      </c>
      <c r="B56" s="3">
        <f>B55-C55</f>
        <v>-180000</v>
      </c>
      <c r="C56" s="3">
        <f t="shared" ref="C56:G56" si="12">C55-D55</f>
        <v>-225000</v>
      </c>
      <c r="D56" s="3">
        <f t="shared" si="12"/>
        <v>-45000</v>
      </c>
      <c r="E56" s="3">
        <f t="shared" si="12"/>
        <v>-45000</v>
      </c>
      <c r="F56" s="3">
        <f t="shared" si="12"/>
        <v>45000</v>
      </c>
      <c r="G56" s="3">
        <f t="shared" si="12"/>
        <v>450000</v>
      </c>
      <c r="H56" s="5">
        <f>SUM(B56:G56)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50"/>
      <c r="B57" s="3"/>
      <c r="C57" s="3"/>
      <c r="D57" s="3"/>
      <c r="E57" s="3"/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0" x14ac:dyDescent="0.3">
      <c r="A58" s="8"/>
      <c r="B58" s="20"/>
      <c r="C58" s="20">
        <f>+C38</f>
        <v>1800000</v>
      </c>
      <c r="D58" s="20">
        <f t="shared" ref="D58:G58" si="13">+D38</f>
        <v>4050000</v>
      </c>
      <c r="E58" s="20">
        <f t="shared" si="13"/>
        <v>4500000</v>
      </c>
      <c r="F58" s="20">
        <f t="shared" si="13"/>
        <v>4950000</v>
      </c>
      <c r="G58" s="20">
        <f t="shared" si="13"/>
        <v>4500000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20" x14ac:dyDescent="0.3">
      <c r="A59" s="47" t="s">
        <v>47</v>
      </c>
      <c r="B59" s="20">
        <f>+B43</f>
        <v>0</v>
      </c>
      <c r="C59" s="49">
        <f>+C58/(SUM($C$38:$G$38))</f>
        <v>9.0909090909090912E-2</v>
      </c>
      <c r="D59" s="49">
        <f t="shared" ref="D59:G59" si="14">+D58/(SUM($C$38:$G$38))</f>
        <v>0.20454545454545456</v>
      </c>
      <c r="E59" s="49">
        <f t="shared" si="14"/>
        <v>0.22727272727272727</v>
      </c>
      <c r="F59" s="49">
        <f t="shared" si="14"/>
        <v>0.25</v>
      </c>
      <c r="G59" s="49">
        <f t="shared" si="14"/>
        <v>0.22727272727272727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20" x14ac:dyDescent="0.3">
      <c r="A62" s="5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3">
      <c r="A67" s="5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3">
      <c r="A68" s="5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17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17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17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17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17" x14ac:dyDescent="0.3">
      <c r="A88" s="1"/>
      <c r="B88" s="1"/>
      <c r="C88" s="1"/>
      <c r="D88" s="1"/>
      <c r="E88" s="1"/>
      <c r="F88" s="1"/>
      <c r="G88" s="1"/>
      <c r="H88" s="1"/>
      <c r="I88" s="1"/>
    </row>
  </sheetData>
  <mergeCells count="9">
    <mergeCell ref="D17:E17"/>
    <mergeCell ref="D18:E18"/>
    <mergeCell ref="D19:E19"/>
    <mergeCell ref="A1:H1"/>
    <mergeCell ref="I3:J3"/>
    <mergeCell ref="D11:E11"/>
    <mergeCell ref="D12:E12"/>
    <mergeCell ref="D13:E13"/>
    <mergeCell ref="D14:E14"/>
  </mergeCells>
  <pageMargins left="0.7" right="0.7" top="0.75" bottom="0.75" header="0.3" footer="0.3"/>
  <pageSetup paperSize="9" scale="70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4" ma:contentTypeDescription="Create a new document." ma:contentTypeScope="" ma:versionID="69de1a618b6888528b149bb6d9170c46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29e71785aa4c1ef5033ad9f53c1c2222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Props1.xml><?xml version="1.0" encoding="utf-8"?>
<ds:datastoreItem xmlns:ds="http://schemas.openxmlformats.org/officeDocument/2006/customXml" ds:itemID="{927D09AA-D1AD-44B0-864A-F5D9CB0991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C8C623-62D5-4F3B-AF5A-0222933B5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75867-4b81-416b-ba87-cf9041e81374"/>
    <ds:schemaRef ds:uri="8bcd404e-b814-4f6b-98b6-e29ae617f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98FAD1-CBEB-400D-BDE4-2A9A106E1F5E}">
  <ds:schemaRefs>
    <ds:schemaRef ds:uri="http://schemas.microsoft.com/office/2006/metadata/properties"/>
    <ds:schemaRef ds:uri="http://schemas.microsoft.com/office/infopath/2007/PartnerControls"/>
    <ds:schemaRef ds:uri="dcc75867-4b81-416b-ba87-cf9041e81374"/>
    <ds:schemaRef ds:uri="8bcd404e-b814-4f6b-98b6-e29ae617f5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finansiering med 7,5%</vt:lpstr>
      <vt:lpstr>Finansiering med IN</vt:lpstr>
      <vt:lpstr>Følsomhetsanalyse_</vt:lpstr>
      <vt:lpstr>Best case Scenario</vt:lpstr>
      <vt:lpstr>Negativt scenario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Mikkelsen, Sissel Merete</cp:lastModifiedBy>
  <cp:lastPrinted>2022-04-10T06:48:25Z</cp:lastPrinted>
  <dcterms:created xsi:type="dcterms:W3CDTF">2022-04-02T09:00:33Z</dcterms:created>
  <dcterms:modified xsi:type="dcterms:W3CDTF">2022-11-15T10:15:18Z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0x01010053C63A7F62C51E45832604D654F4D5F9</vt:lpwstr>
  </property>
</Properties>
</file>