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jotun-my.sharepoint.com/personal/mitrom_jotun_com/Documents/BI/Economy for decision takers/Projektoppgave/"/>
    </mc:Choice>
  </mc:AlternateContent>
  <xr:revisionPtr revIDLastSave="13" documentId="8_{A8E55FF3-FC1C-49BD-B139-35727D631AF5}" xr6:coauthVersionLast="47" xr6:coauthVersionMax="47" xr10:uidLastSave="{4582DB68-A201-4DC3-B71E-63339683AFE8}"/>
  <bookViews>
    <workbookView xWindow="-108" yWindow="-108" windowWidth="23256" windowHeight="12720" tabRatio="878" xr2:uid="{00000000-000D-0000-FFFF-FFFF00000000}"/>
  </bookViews>
  <sheets>
    <sheet name="Ringerike ks" sheetId="21" r:id="rId1"/>
    <sheet name="Drammen ks" sheetId="22" r:id="rId2"/>
    <sheet name="NNV vs Leveår tjent" sheetId="19" r:id="rId3"/>
    <sheet name="Beredskap" sheetId="7" r:id="rId4"/>
    <sheet name="Flytider" sheetId="8" r:id="rId5"/>
    <sheet name="Vestfossen" sheetId="9" r:id="rId6"/>
    <sheet name="Drammen" sheetId="10" r:id="rId7"/>
    <sheet name="Eggemoen" sheetId="11" r:id="rId8"/>
    <sheet name="Ringerike" sheetId="12" r:id="rId9"/>
    <sheet name="Kongsberg" sheetId="13" r:id="rId10"/>
    <sheet name="Jet A1 pris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9" roundtripDataSignature="AMtx7mjThHrsWCpiL6Ny/EpkPhheRqCosQ=="/>
    </ext>
  </extLst>
</workbook>
</file>

<file path=xl/calcChain.xml><?xml version="1.0" encoding="utf-8"?>
<calcChain xmlns="http://schemas.openxmlformats.org/spreadsheetml/2006/main">
  <c r="B13" i="22" l="1"/>
  <c r="B46" i="22" s="1"/>
  <c r="B47" i="22" s="1"/>
  <c r="B13" i="21"/>
  <c r="B46" i="21" s="1"/>
  <c r="B47" i="21" s="1"/>
  <c r="Q44" i="22"/>
  <c r="C42" i="22"/>
  <c r="D42" i="22" s="1"/>
  <c r="E42" i="22" s="1"/>
  <c r="F42" i="22" s="1"/>
  <c r="G42" i="22" s="1"/>
  <c r="H42" i="22" s="1"/>
  <c r="I42" i="22" s="1"/>
  <c r="J42" i="22" s="1"/>
  <c r="K42" i="22" s="1"/>
  <c r="L42" i="22" s="1"/>
  <c r="M42" i="22" s="1"/>
  <c r="N42" i="22" s="1"/>
  <c r="O42" i="22" s="1"/>
  <c r="P42" i="22" s="1"/>
  <c r="Q42" i="22" s="1"/>
  <c r="R42" i="22" s="1"/>
  <c r="S42" i="22" s="1"/>
  <c r="T42" i="22" s="1"/>
  <c r="U42" i="22" s="1"/>
  <c r="V42" i="22" s="1"/>
  <c r="W42" i="22" s="1"/>
  <c r="X42" i="22" s="1"/>
  <c r="Y42" i="22" s="1"/>
  <c r="Z42" i="22" s="1"/>
  <c r="AA42" i="22" s="1"/>
  <c r="AB42" i="22" s="1"/>
  <c r="AC42" i="22" s="1"/>
  <c r="AD42" i="22" s="1"/>
  <c r="AE42" i="22" s="1"/>
  <c r="AF42" i="22" s="1"/>
  <c r="AG42" i="22" s="1"/>
  <c r="AH42" i="22" s="1"/>
  <c r="AI42" i="22" s="1"/>
  <c r="C30" i="22"/>
  <c r="D30" i="22" s="1"/>
  <c r="E30" i="22" s="1"/>
  <c r="F30" i="22" s="1"/>
  <c r="G30" i="22" s="1"/>
  <c r="H30" i="22" s="1"/>
  <c r="I30" i="22" s="1"/>
  <c r="J30" i="22" s="1"/>
  <c r="K30" i="22" s="1"/>
  <c r="L30" i="22" s="1"/>
  <c r="M30" i="22" s="1"/>
  <c r="N30" i="22" s="1"/>
  <c r="O30" i="22" s="1"/>
  <c r="P30" i="22" s="1"/>
  <c r="Q30" i="22" s="1"/>
  <c r="R30" i="22" s="1"/>
  <c r="S30" i="22" s="1"/>
  <c r="T30" i="22" s="1"/>
  <c r="U30" i="22" s="1"/>
  <c r="V30" i="22" s="1"/>
  <c r="W30" i="22" s="1"/>
  <c r="X30" i="22" s="1"/>
  <c r="Y30" i="22" s="1"/>
  <c r="Z30" i="22" s="1"/>
  <c r="AA30" i="22" s="1"/>
  <c r="AB30" i="22" s="1"/>
  <c r="AC30" i="22" s="1"/>
  <c r="AD30" i="22" s="1"/>
  <c r="AE30" i="22" s="1"/>
  <c r="AF30" i="22" s="1"/>
  <c r="AG30" i="22" s="1"/>
  <c r="AH30" i="22" s="1"/>
  <c r="AI30" i="22" s="1"/>
  <c r="D28" i="22"/>
  <c r="E28" i="22" s="1"/>
  <c r="F28" i="22" s="1"/>
  <c r="G28" i="22" s="1"/>
  <c r="H28" i="22" s="1"/>
  <c r="I28" i="22" s="1"/>
  <c r="J28" i="22" s="1"/>
  <c r="K28" i="22" s="1"/>
  <c r="L28" i="22" s="1"/>
  <c r="M28" i="22" s="1"/>
  <c r="N28" i="22" s="1"/>
  <c r="O28" i="22" s="1"/>
  <c r="P28" i="22" s="1"/>
  <c r="Q28" i="22" s="1"/>
  <c r="R28" i="22" s="1"/>
  <c r="S28" i="22" s="1"/>
  <c r="T28" i="22" s="1"/>
  <c r="U28" i="22" s="1"/>
  <c r="V28" i="22" s="1"/>
  <c r="W28" i="22" s="1"/>
  <c r="X28" i="22" s="1"/>
  <c r="Y28" i="22" s="1"/>
  <c r="Z28" i="22" s="1"/>
  <c r="AA28" i="22" s="1"/>
  <c r="AB28" i="22" s="1"/>
  <c r="AC28" i="22" s="1"/>
  <c r="AD28" i="22" s="1"/>
  <c r="AE28" i="22" s="1"/>
  <c r="AF28" i="22" s="1"/>
  <c r="AG28" i="22" s="1"/>
  <c r="AH28" i="22" s="1"/>
  <c r="AI28" i="22" s="1"/>
  <c r="B25" i="22"/>
  <c r="C25" i="22" s="1"/>
  <c r="B19" i="22"/>
  <c r="I43" i="22" s="1"/>
  <c r="C17" i="22"/>
  <c r="B17" i="22" s="1"/>
  <c r="C41" i="22" s="1"/>
  <c r="D41" i="22" s="1"/>
  <c r="E41" i="22" s="1"/>
  <c r="F41" i="22" s="1"/>
  <c r="G41" i="22" s="1"/>
  <c r="H41" i="22" s="1"/>
  <c r="I41" i="22" s="1"/>
  <c r="J41" i="22" s="1"/>
  <c r="K41" i="22" s="1"/>
  <c r="L41" i="22" s="1"/>
  <c r="M41" i="22" s="1"/>
  <c r="N41" i="22" s="1"/>
  <c r="O41" i="22" s="1"/>
  <c r="P41" i="22" s="1"/>
  <c r="Q41" i="22" s="1"/>
  <c r="R41" i="22" s="1"/>
  <c r="S41" i="22" s="1"/>
  <c r="T41" i="22" s="1"/>
  <c r="U41" i="22" s="1"/>
  <c r="V41" i="22" s="1"/>
  <c r="W41" i="22" s="1"/>
  <c r="X41" i="22" s="1"/>
  <c r="Y41" i="22" s="1"/>
  <c r="Z41" i="22" s="1"/>
  <c r="AA41" i="22" s="1"/>
  <c r="AB41" i="22" s="1"/>
  <c r="AC41" i="22" s="1"/>
  <c r="AD41" i="22" s="1"/>
  <c r="AE41" i="22" s="1"/>
  <c r="AF41" i="22" s="1"/>
  <c r="AG41" i="22" s="1"/>
  <c r="AH41" i="22" s="1"/>
  <c r="AI41" i="22" s="1"/>
  <c r="E8" i="22"/>
  <c r="Q44" i="21"/>
  <c r="C42" i="21"/>
  <c r="D42" i="21" s="1"/>
  <c r="E42" i="21" s="1"/>
  <c r="F42" i="21" s="1"/>
  <c r="G42" i="21" s="1"/>
  <c r="H42" i="21" s="1"/>
  <c r="I42" i="21" s="1"/>
  <c r="J42" i="21" s="1"/>
  <c r="K42" i="21" s="1"/>
  <c r="L42" i="21" s="1"/>
  <c r="M42" i="21" s="1"/>
  <c r="N42" i="21" s="1"/>
  <c r="O42" i="21" s="1"/>
  <c r="P42" i="21" s="1"/>
  <c r="Q42" i="21" s="1"/>
  <c r="R42" i="21" s="1"/>
  <c r="S42" i="21" s="1"/>
  <c r="T42" i="21" s="1"/>
  <c r="U42" i="21" s="1"/>
  <c r="V42" i="21" s="1"/>
  <c r="W42" i="21" s="1"/>
  <c r="X42" i="21" s="1"/>
  <c r="Y42" i="21" s="1"/>
  <c r="Z42" i="21" s="1"/>
  <c r="AA42" i="21" s="1"/>
  <c r="AB42" i="21" s="1"/>
  <c r="AC42" i="21" s="1"/>
  <c r="AD42" i="21" s="1"/>
  <c r="AE42" i="21" s="1"/>
  <c r="AF42" i="21" s="1"/>
  <c r="AG42" i="21" s="1"/>
  <c r="AH42" i="21" s="1"/>
  <c r="AI42" i="21" s="1"/>
  <c r="C30" i="21"/>
  <c r="D28" i="21"/>
  <c r="E28" i="21" s="1"/>
  <c r="F28" i="21" s="1"/>
  <c r="G28" i="21" s="1"/>
  <c r="H28" i="21" s="1"/>
  <c r="I28" i="21" s="1"/>
  <c r="J28" i="21" s="1"/>
  <c r="K28" i="21" s="1"/>
  <c r="L28" i="21" s="1"/>
  <c r="M28" i="21" s="1"/>
  <c r="N28" i="21" s="1"/>
  <c r="O28" i="21" s="1"/>
  <c r="P28" i="21" s="1"/>
  <c r="Q28" i="21" s="1"/>
  <c r="R28" i="21" s="1"/>
  <c r="S28" i="21" s="1"/>
  <c r="T28" i="21" s="1"/>
  <c r="U28" i="21" s="1"/>
  <c r="V28" i="21" s="1"/>
  <c r="W28" i="21" s="1"/>
  <c r="X28" i="21" s="1"/>
  <c r="Y28" i="21" s="1"/>
  <c r="Z28" i="21" s="1"/>
  <c r="AA28" i="21" s="1"/>
  <c r="AB28" i="21" s="1"/>
  <c r="AC28" i="21" s="1"/>
  <c r="AD28" i="21" s="1"/>
  <c r="AE28" i="21" s="1"/>
  <c r="AF28" i="21" s="1"/>
  <c r="AG28" i="21" s="1"/>
  <c r="AH28" i="21" s="1"/>
  <c r="AI28" i="21" s="1"/>
  <c r="B25" i="21"/>
  <c r="C25" i="21" s="1"/>
  <c r="B19" i="21"/>
  <c r="I43" i="21" s="1"/>
  <c r="C17" i="21"/>
  <c r="B17" i="21" s="1"/>
  <c r="C41" i="21" s="1"/>
  <c r="D41" i="21" s="1"/>
  <c r="E41" i="21" s="1"/>
  <c r="F41" i="21" s="1"/>
  <c r="G41" i="21" s="1"/>
  <c r="H41" i="21" s="1"/>
  <c r="I41" i="21" s="1"/>
  <c r="J41" i="21" s="1"/>
  <c r="K41" i="21" s="1"/>
  <c r="L41" i="21" s="1"/>
  <c r="M41" i="21" s="1"/>
  <c r="N41" i="21" s="1"/>
  <c r="O41" i="21" s="1"/>
  <c r="P41" i="21" s="1"/>
  <c r="Q41" i="21" s="1"/>
  <c r="R41" i="21" s="1"/>
  <c r="S41" i="21" s="1"/>
  <c r="T41" i="21" s="1"/>
  <c r="U41" i="21" s="1"/>
  <c r="V41" i="21" s="1"/>
  <c r="W41" i="21" s="1"/>
  <c r="X41" i="21" s="1"/>
  <c r="Y41" i="21" s="1"/>
  <c r="Z41" i="21" s="1"/>
  <c r="AA41" i="21" s="1"/>
  <c r="AB41" i="21" s="1"/>
  <c r="AC41" i="21" s="1"/>
  <c r="AD41" i="21" s="1"/>
  <c r="AE41" i="21" s="1"/>
  <c r="AF41" i="21" s="1"/>
  <c r="AG41" i="21" s="1"/>
  <c r="AH41" i="21" s="1"/>
  <c r="AI41" i="21" s="1"/>
  <c r="E8" i="21"/>
  <c r="C8" i="21"/>
  <c r="G5" i="15"/>
  <c r="H5" i="15" s="1"/>
  <c r="I5" i="15" s="1"/>
  <c r="J5" i="15" s="1"/>
  <c r="K5" i="15" s="1"/>
  <c r="L5" i="15" s="1"/>
  <c r="M5" i="15" s="1"/>
  <c r="N5" i="15" s="1"/>
  <c r="O5" i="15" s="1"/>
  <c r="P5" i="15" s="1"/>
  <c r="Q5" i="15" s="1"/>
  <c r="R5" i="15" s="1"/>
  <c r="S5" i="15" s="1"/>
  <c r="T5" i="15" s="1"/>
  <c r="U5" i="15" s="1"/>
  <c r="V5" i="15" s="1"/>
  <c r="W5" i="15" s="1"/>
  <c r="X5" i="15" s="1"/>
  <c r="Y5" i="15" s="1"/>
  <c r="D25" i="22" l="1"/>
  <c r="C31" i="22"/>
  <c r="C39" i="22" s="1"/>
  <c r="P43" i="22"/>
  <c r="W43" i="22"/>
  <c r="B30" i="22"/>
  <c r="C27" i="22"/>
  <c r="D27" i="22" s="1"/>
  <c r="E27" i="22" s="1"/>
  <c r="F27" i="22" s="1"/>
  <c r="G27" i="22" s="1"/>
  <c r="H27" i="22" s="1"/>
  <c r="I27" i="22" s="1"/>
  <c r="J27" i="22" s="1"/>
  <c r="K27" i="22" s="1"/>
  <c r="L27" i="22" s="1"/>
  <c r="M27" i="22" s="1"/>
  <c r="N27" i="22" s="1"/>
  <c r="O27" i="22" s="1"/>
  <c r="P27" i="22" s="1"/>
  <c r="Q27" i="22" s="1"/>
  <c r="R27" i="22" s="1"/>
  <c r="S27" i="22" s="1"/>
  <c r="T27" i="22" s="1"/>
  <c r="U27" i="22" s="1"/>
  <c r="V27" i="22" s="1"/>
  <c r="W27" i="22" s="1"/>
  <c r="X27" i="22" s="1"/>
  <c r="Y27" i="22" s="1"/>
  <c r="Z27" i="22" s="1"/>
  <c r="AA27" i="22" s="1"/>
  <c r="AB27" i="22" s="1"/>
  <c r="AC27" i="22" s="1"/>
  <c r="AD27" i="22" s="1"/>
  <c r="AE27" i="22" s="1"/>
  <c r="AF27" i="22" s="1"/>
  <c r="AG27" i="22" s="1"/>
  <c r="AH27" i="22" s="1"/>
  <c r="AI27" i="22" s="1"/>
  <c r="C27" i="21"/>
  <c r="D27" i="21" s="1"/>
  <c r="E27" i="21" s="1"/>
  <c r="F27" i="21" s="1"/>
  <c r="G27" i="21" s="1"/>
  <c r="H27" i="21" s="1"/>
  <c r="I27" i="21" s="1"/>
  <c r="J27" i="21" s="1"/>
  <c r="K27" i="21" s="1"/>
  <c r="L27" i="21" s="1"/>
  <c r="M27" i="21" s="1"/>
  <c r="N27" i="21" s="1"/>
  <c r="O27" i="21" s="1"/>
  <c r="P27" i="21" s="1"/>
  <c r="Q27" i="21" s="1"/>
  <c r="R27" i="21" s="1"/>
  <c r="S27" i="21" s="1"/>
  <c r="T27" i="21" s="1"/>
  <c r="U27" i="21" s="1"/>
  <c r="V27" i="21" s="1"/>
  <c r="W27" i="21" s="1"/>
  <c r="X27" i="21" s="1"/>
  <c r="Y27" i="21" s="1"/>
  <c r="Z27" i="21" s="1"/>
  <c r="AA27" i="21" s="1"/>
  <c r="AB27" i="21" s="1"/>
  <c r="AC27" i="21" s="1"/>
  <c r="AD27" i="21" s="1"/>
  <c r="AE27" i="21" s="1"/>
  <c r="AF27" i="21" s="1"/>
  <c r="AG27" i="21" s="1"/>
  <c r="AH27" i="21" s="1"/>
  <c r="AI27" i="21" s="1"/>
  <c r="D30" i="21"/>
  <c r="B8" i="21"/>
  <c r="C38" i="21" s="1"/>
  <c r="D38" i="21" s="1"/>
  <c r="E38" i="21" s="1"/>
  <c r="F38" i="21" s="1"/>
  <c r="G38" i="21" s="1"/>
  <c r="H38" i="21" s="1"/>
  <c r="I38" i="21" s="1"/>
  <c r="J38" i="21" s="1"/>
  <c r="K38" i="21" s="1"/>
  <c r="L38" i="21" s="1"/>
  <c r="M38" i="21" s="1"/>
  <c r="N38" i="21" s="1"/>
  <c r="O38" i="21" s="1"/>
  <c r="P38" i="21" s="1"/>
  <c r="Q38" i="21" s="1"/>
  <c r="R38" i="21" s="1"/>
  <c r="S38" i="21" s="1"/>
  <c r="T38" i="21" s="1"/>
  <c r="U38" i="21" s="1"/>
  <c r="V38" i="21" s="1"/>
  <c r="W38" i="21" s="1"/>
  <c r="X38" i="21" s="1"/>
  <c r="Y38" i="21" s="1"/>
  <c r="Z38" i="21" s="1"/>
  <c r="AA38" i="21" s="1"/>
  <c r="AB38" i="21" s="1"/>
  <c r="AC38" i="21" s="1"/>
  <c r="AD38" i="21" s="1"/>
  <c r="AE38" i="21" s="1"/>
  <c r="AF38" i="21" s="1"/>
  <c r="AG38" i="21" s="1"/>
  <c r="AH38" i="21" s="1"/>
  <c r="AI38" i="21" s="1"/>
  <c r="P43" i="21"/>
  <c r="D25" i="21"/>
  <c r="C31" i="21"/>
  <c r="W43" i="21"/>
  <c r="F18" i="13"/>
  <c r="D18" i="13"/>
  <c r="F21" i="12"/>
  <c r="G19" i="12"/>
  <c r="D16" i="12"/>
  <c r="G15" i="12"/>
  <c r="D12" i="12"/>
  <c r="G11" i="12"/>
  <c r="D9" i="12"/>
  <c r="G8" i="12"/>
  <c r="D6" i="12"/>
  <c r="G5" i="12"/>
  <c r="D2" i="12"/>
  <c r="F22" i="11"/>
  <c r="I10" i="8" s="1"/>
  <c r="D18" i="11"/>
  <c r="D15" i="11"/>
  <c r="D11" i="11"/>
  <c r="D7" i="11"/>
  <c r="D2" i="11"/>
  <c r="D22" i="11" s="1"/>
  <c r="F22" i="10"/>
  <c r="G20" i="10"/>
  <c r="D17" i="10"/>
  <c r="G16" i="10"/>
  <c r="D14" i="10"/>
  <c r="G13" i="10"/>
  <c r="D10" i="10"/>
  <c r="G9" i="10"/>
  <c r="D7" i="10"/>
  <c r="G6" i="10"/>
  <c r="D2" i="10"/>
  <c r="D22" i="10" s="1"/>
  <c r="G22" i="10" s="1"/>
  <c r="F13" i="9"/>
  <c r="C8" i="22" s="1"/>
  <c r="B8" i="22" s="1"/>
  <c r="C38" i="22" s="1"/>
  <c r="D38" i="22" s="1"/>
  <c r="E38" i="22" s="1"/>
  <c r="F38" i="22" s="1"/>
  <c r="G38" i="22" s="1"/>
  <c r="H38" i="22" s="1"/>
  <c r="I38" i="22" s="1"/>
  <c r="J38" i="22" s="1"/>
  <c r="K38" i="22" s="1"/>
  <c r="L38" i="22" s="1"/>
  <c r="M38" i="22" s="1"/>
  <c r="N38" i="22" s="1"/>
  <c r="O38" i="22" s="1"/>
  <c r="P38" i="22" s="1"/>
  <c r="Q38" i="22" s="1"/>
  <c r="R38" i="22" s="1"/>
  <c r="S38" i="22" s="1"/>
  <c r="T38" i="22" s="1"/>
  <c r="U38" i="22" s="1"/>
  <c r="V38" i="22" s="1"/>
  <c r="W38" i="22" s="1"/>
  <c r="X38" i="22" s="1"/>
  <c r="Y38" i="22" s="1"/>
  <c r="Z38" i="22" s="1"/>
  <c r="AA38" i="22" s="1"/>
  <c r="AB38" i="22" s="1"/>
  <c r="AC38" i="22" s="1"/>
  <c r="AD38" i="22" s="1"/>
  <c r="AE38" i="22" s="1"/>
  <c r="AF38" i="22" s="1"/>
  <c r="AG38" i="22" s="1"/>
  <c r="AH38" i="22" s="1"/>
  <c r="AI38" i="22" s="1"/>
  <c r="D13" i="9"/>
  <c r="B7" i="8"/>
  <c r="B4" i="8"/>
  <c r="D10" i="8" s="1"/>
  <c r="F10" i="8" s="1"/>
  <c r="H10" i="8" s="1"/>
  <c r="E23" i="7"/>
  <c r="B23" i="7"/>
  <c r="H23" i="7" s="1"/>
  <c r="E30" i="21" l="1"/>
  <c r="F30" i="21" s="1"/>
  <c r="G30" i="21" s="1"/>
  <c r="H30" i="21" s="1"/>
  <c r="I30" i="21" s="1"/>
  <c r="J30" i="21" s="1"/>
  <c r="K30" i="21" s="1"/>
  <c r="L30" i="21" s="1"/>
  <c r="M30" i="21" s="1"/>
  <c r="N30" i="21" s="1"/>
  <c r="O30" i="21" s="1"/>
  <c r="P30" i="21" s="1"/>
  <c r="Q30" i="21" s="1"/>
  <c r="R30" i="21" s="1"/>
  <c r="S30" i="21" s="1"/>
  <c r="T30" i="21" s="1"/>
  <c r="U30" i="21" s="1"/>
  <c r="V30" i="21" s="1"/>
  <c r="W30" i="21" s="1"/>
  <c r="X30" i="21" s="1"/>
  <c r="Y30" i="21" s="1"/>
  <c r="Z30" i="21" s="1"/>
  <c r="AA30" i="21" s="1"/>
  <c r="AB30" i="21" s="1"/>
  <c r="AC30" i="21" s="1"/>
  <c r="AD30" i="21" s="1"/>
  <c r="AE30" i="21" s="1"/>
  <c r="AF30" i="21" s="1"/>
  <c r="AG30" i="21" s="1"/>
  <c r="AH30" i="21" s="1"/>
  <c r="AI30" i="21" s="1"/>
  <c r="C39" i="21"/>
  <c r="I11" i="8"/>
  <c r="B8" i="7"/>
  <c r="B10" i="7" s="1"/>
  <c r="H10" i="7" s="1"/>
  <c r="E8" i="7"/>
  <c r="E10" i="7" s="1"/>
  <c r="J10" i="8"/>
  <c r="N10" i="8" s="1"/>
  <c r="E25" i="22"/>
  <c r="D31" i="22"/>
  <c r="D39" i="22" s="1"/>
  <c r="E25" i="21"/>
  <c r="D31" i="21"/>
  <c r="D11" i="8"/>
  <c r="F11" i="8" s="1"/>
  <c r="H11" i="8" s="1"/>
  <c r="K10" i="8"/>
  <c r="L10" i="8" s="1"/>
  <c r="P10" i="8" s="1"/>
  <c r="D21" i="12"/>
  <c r="G21" i="12" s="1"/>
  <c r="D39" i="21" l="1"/>
  <c r="B30" i="21"/>
  <c r="K11" i="8"/>
  <c r="L11" i="8" s="1"/>
  <c r="P11" i="8" s="1"/>
  <c r="B5" i="22" s="1"/>
  <c r="C37" i="22" s="1"/>
  <c r="D37" i="22" s="1"/>
  <c r="E37" i="22" s="1"/>
  <c r="F37" i="22" s="1"/>
  <c r="G37" i="22" s="1"/>
  <c r="H37" i="22" s="1"/>
  <c r="I37" i="22" s="1"/>
  <c r="J37" i="22" s="1"/>
  <c r="K37" i="22" s="1"/>
  <c r="L37" i="22" s="1"/>
  <c r="M37" i="22" s="1"/>
  <c r="N37" i="22" s="1"/>
  <c r="O37" i="22" s="1"/>
  <c r="P37" i="22" s="1"/>
  <c r="Q37" i="22" s="1"/>
  <c r="R37" i="22" s="1"/>
  <c r="S37" i="22" s="1"/>
  <c r="T37" i="22" s="1"/>
  <c r="U37" i="22" s="1"/>
  <c r="V37" i="22" s="1"/>
  <c r="W37" i="22" s="1"/>
  <c r="X37" i="22" s="1"/>
  <c r="Y37" i="22" s="1"/>
  <c r="Z37" i="22" s="1"/>
  <c r="AA37" i="22" s="1"/>
  <c r="AB37" i="22" s="1"/>
  <c r="AC37" i="22" s="1"/>
  <c r="AD37" i="22" s="1"/>
  <c r="AE37" i="22" s="1"/>
  <c r="AF37" i="22" s="1"/>
  <c r="AG37" i="22" s="1"/>
  <c r="AH37" i="22" s="1"/>
  <c r="AI37" i="22" s="1"/>
  <c r="J11" i="8"/>
  <c r="N11" i="8" s="1"/>
  <c r="B4" i="22" s="1"/>
  <c r="C36" i="22" s="1"/>
  <c r="D36" i="22" s="1"/>
  <c r="B5" i="21"/>
  <c r="C37" i="21" s="1"/>
  <c r="D37" i="21" s="1"/>
  <c r="E37" i="21" s="1"/>
  <c r="F37" i="21" s="1"/>
  <c r="G37" i="21" s="1"/>
  <c r="H37" i="21" s="1"/>
  <c r="I37" i="21" s="1"/>
  <c r="J37" i="21" s="1"/>
  <c r="K37" i="21" s="1"/>
  <c r="L37" i="21" s="1"/>
  <c r="M37" i="21" s="1"/>
  <c r="N37" i="21" s="1"/>
  <c r="O37" i="21" s="1"/>
  <c r="P37" i="21" s="1"/>
  <c r="Q37" i="21" s="1"/>
  <c r="R37" i="21" s="1"/>
  <c r="S37" i="21" s="1"/>
  <c r="T37" i="21" s="1"/>
  <c r="U37" i="21" s="1"/>
  <c r="V37" i="21" s="1"/>
  <c r="W37" i="21" s="1"/>
  <c r="X37" i="21" s="1"/>
  <c r="Y37" i="21" s="1"/>
  <c r="Z37" i="21" s="1"/>
  <c r="AA37" i="21" s="1"/>
  <c r="AB37" i="21" s="1"/>
  <c r="AC37" i="21" s="1"/>
  <c r="AD37" i="21" s="1"/>
  <c r="AE37" i="21" s="1"/>
  <c r="AF37" i="21" s="1"/>
  <c r="AG37" i="21" s="1"/>
  <c r="AH37" i="21" s="1"/>
  <c r="AI37" i="21" s="1"/>
  <c r="B4" i="21"/>
  <c r="C36" i="21" s="1"/>
  <c r="Q10" i="8"/>
  <c r="F25" i="22"/>
  <c r="E31" i="22"/>
  <c r="E39" i="22" s="1"/>
  <c r="F25" i="21"/>
  <c r="E31" i="21"/>
  <c r="E39" i="21" s="1"/>
  <c r="D45" i="22" l="1"/>
  <c r="D47" i="22" s="1"/>
  <c r="Q11" i="8"/>
  <c r="C45" i="22"/>
  <c r="C47" i="22" s="1"/>
  <c r="E36" i="22"/>
  <c r="F36" i="22" s="1"/>
  <c r="G36" i="22" s="1"/>
  <c r="D36" i="21"/>
  <c r="C45" i="21"/>
  <c r="C47" i="21" s="1"/>
  <c r="E45" i="22"/>
  <c r="E47" i="22" s="1"/>
  <c r="F31" i="22"/>
  <c r="F39" i="22" s="1"/>
  <c r="F45" i="22" s="1"/>
  <c r="F47" i="22" s="1"/>
  <c r="G25" i="22"/>
  <c r="F31" i="21"/>
  <c r="F39" i="21" s="1"/>
  <c r="G25" i="21"/>
  <c r="E36" i="21" l="1"/>
  <c r="D45" i="21"/>
  <c r="D47" i="21" s="1"/>
  <c r="G31" i="22"/>
  <c r="G39" i="22" s="1"/>
  <c r="G45" i="22" s="1"/>
  <c r="G47" i="22" s="1"/>
  <c r="H25" i="22"/>
  <c r="H36" i="22"/>
  <c r="G31" i="21"/>
  <c r="G39" i="21" s="1"/>
  <c r="H25" i="21"/>
  <c r="F36" i="21" l="1"/>
  <c r="E45" i="21"/>
  <c r="E47" i="21" s="1"/>
  <c r="H31" i="22"/>
  <c r="H39" i="22" s="1"/>
  <c r="H45" i="22" s="1"/>
  <c r="H47" i="22" s="1"/>
  <c r="I25" i="22"/>
  <c r="I36" i="22"/>
  <c r="H31" i="21"/>
  <c r="H39" i="21" s="1"/>
  <c r="I25" i="21"/>
  <c r="G36" i="21" l="1"/>
  <c r="F45" i="21"/>
  <c r="F47" i="21" s="1"/>
  <c r="J25" i="22"/>
  <c r="I31" i="22"/>
  <c r="I39" i="22" s="1"/>
  <c r="I45" i="22" s="1"/>
  <c r="I47" i="22" s="1"/>
  <c r="J36" i="22"/>
  <c r="I31" i="21"/>
  <c r="I39" i="21" s="1"/>
  <c r="J25" i="21"/>
  <c r="H36" i="21" l="1"/>
  <c r="G45" i="21"/>
  <c r="G47" i="21" s="1"/>
  <c r="K25" i="22"/>
  <c r="J31" i="22"/>
  <c r="J39" i="22" s="1"/>
  <c r="J45" i="22" s="1"/>
  <c r="J47" i="22" s="1"/>
  <c r="K36" i="22"/>
  <c r="J31" i="21"/>
  <c r="J39" i="21" s="1"/>
  <c r="K25" i="21"/>
  <c r="I36" i="21" l="1"/>
  <c r="H45" i="21"/>
  <c r="H47" i="21" s="1"/>
  <c r="K31" i="22"/>
  <c r="K39" i="22" s="1"/>
  <c r="K45" i="22" s="1"/>
  <c r="K47" i="22" s="1"/>
  <c r="L25" i="22"/>
  <c r="L36" i="22"/>
  <c r="L25" i="21"/>
  <c r="K31" i="21"/>
  <c r="K39" i="21" s="1"/>
  <c r="J36" i="21" l="1"/>
  <c r="I45" i="21"/>
  <c r="I47" i="21" s="1"/>
  <c r="L31" i="22"/>
  <c r="L39" i="22" s="1"/>
  <c r="L45" i="22" s="1"/>
  <c r="L47" i="22" s="1"/>
  <c r="M25" i="22"/>
  <c r="M36" i="22"/>
  <c r="M25" i="21"/>
  <c r="L31" i="21"/>
  <c r="L39" i="21" s="1"/>
  <c r="K36" i="21" l="1"/>
  <c r="J45" i="21"/>
  <c r="J47" i="21" s="1"/>
  <c r="M31" i="22"/>
  <c r="M39" i="22" s="1"/>
  <c r="M45" i="22" s="1"/>
  <c r="M47" i="22" s="1"/>
  <c r="N25" i="22"/>
  <c r="N36" i="22"/>
  <c r="N25" i="21"/>
  <c r="M31" i="21"/>
  <c r="M39" i="21" s="1"/>
  <c r="L36" i="21" l="1"/>
  <c r="K45" i="21"/>
  <c r="K47" i="21" s="1"/>
  <c r="N31" i="22"/>
  <c r="N39" i="22" s="1"/>
  <c r="N45" i="22" s="1"/>
  <c r="N47" i="22" s="1"/>
  <c r="O25" i="22"/>
  <c r="O36" i="22"/>
  <c r="O25" i="21"/>
  <c r="N31" i="21"/>
  <c r="N39" i="21" s="1"/>
  <c r="M36" i="21" l="1"/>
  <c r="L45" i="21"/>
  <c r="L47" i="21" s="1"/>
  <c r="O31" i="22"/>
  <c r="O39" i="22" s="1"/>
  <c r="O45" i="22" s="1"/>
  <c r="O47" i="22" s="1"/>
  <c r="P25" i="22"/>
  <c r="P36" i="22"/>
  <c r="O31" i="21"/>
  <c r="O39" i="21" s="1"/>
  <c r="P25" i="21"/>
  <c r="N36" i="21" l="1"/>
  <c r="M45" i="21"/>
  <c r="M47" i="21" s="1"/>
  <c r="P31" i="22"/>
  <c r="P39" i="22" s="1"/>
  <c r="P45" i="22" s="1"/>
  <c r="P47" i="22" s="1"/>
  <c r="Q25" i="22"/>
  <c r="Q36" i="22"/>
  <c r="P31" i="21"/>
  <c r="P39" i="21" s="1"/>
  <c r="Q25" i="21"/>
  <c r="O36" i="21" l="1"/>
  <c r="N45" i="21"/>
  <c r="N47" i="21" s="1"/>
  <c r="Q31" i="22"/>
  <c r="Q39" i="22" s="1"/>
  <c r="Q45" i="22" s="1"/>
  <c r="Q47" i="22" s="1"/>
  <c r="R25" i="22"/>
  <c r="R36" i="22"/>
  <c r="Q31" i="21"/>
  <c r="Q39" i="21" s="1"/>
  <c r="R25" i="21"/>
  <c r="P36" i="21" l="1"/>
  <c r="O45" i="21"/>
  <c r="O47" i="21" s="1"/>
  <c r="R31" i="22"/>
  <c r="R39" i="22" s="1"/>
  <c r="R45" i="22" s="1"/>
  <c r="R47" i="22" s="1"/>
  <c r="S25" i="22"/>
  <c r="S36" i="22"/>
  <c r="R31" i="21"/>
  <c r="R39" i="21" s="1"/>
  <c r="S25" i="21"/>
  <c r="Q36" i="21" l="1"/>
  <c r="P45" i="21"/>
  <c r="P47" i="21" s="1"/>
  <c r="S31" i="22"/>
  <c r="S39" i="22" s="1"/>
  <c r="S45" i="22" s="1"/>
  <c r="S47" i="22" s="1"/>
  <c r="T25" i="22"/>
  <c r="T36" i="22"/>
  <c r="S31" i="21"/>
  <c r="S39" i="21" s="1"/>
  <c r="T25" i="21"/>
  <c r="R36" i="21" l="1"/>
  <c r="Q45" i="21"/>
  <c r="Q47" i="21" s="1"/>
  <c r="U25" i="22"/>
  <c r="T31" i="22"/>
  <c r="T39" i="22" s="1"/>
  <c r="T45" i="22" s="1"/>
  <c r="T47" i="22" s="1"/>
  <c r="U36" i="22"/>
  <c r="U25" i="21"/>
  <c r="T31" i="21"/>
  <c r="T39" i="21" s="1"/>
  <c r="S36" i="21" l="1"/>
  <c r="R45" i="21"/>
  <c r="R47" i="21" s="1"/>
  <c r="U31" i="22"/>
  <c r="U39" i="22" s="1"/>
  <c r="U45" i="22" s="1"/>
  <c r="U47" i="22" s="1"/>
  <c r="V25" i="22"/>
  <c r="V36" i="22"/>
  <c r="V25" i="21"/>
  <c r="U31" i="21"/>
  <c r="U39" i="21" s="1"/>
  <c r="T36" i="21" l="1"/>
  <c r="S45" i="21"/>
  <c r="S47" i="21" s="1"/>
  <c r="W25" i="22"/>
  <c r="V31" i="22"/>
  <c r="V39" i="22" s="1"/>
  <c r="V45" i="22" s="1"/>
  <c r="V47" i="22" s="1"/>
  <c r="W36" i="22"/>
  <c r="V31" i="21"/>
  <c r="V39" i="21" s="1"/>
  <c r="W25" i="21"/>
  <c r="U36" i="21" l="1"/>
  <c r="T45" i="21"/>
  <c r="T47" i="21" s="1"/>
  <c r="W31" i="22"/>
  <c r="W39" i="22" s="1"/>
  <c r="W45" i="22" s="1"/>
  <c r="W47" i="22" s="1"/>
  <c r="X25" i="22"/>
  <c r="X36" i="22"/>
  <c r="W31" i="21"/>
  <c r="W39" i="21" s="1"/>
  <c r="X25" i="21"/>
  <c r="V36" i="21" l="1"/>
  <c r="U45" i="21"/>
  <c r="U47" i="21" s="1"/>
  <c r="X31" i="22"/>
  <c r="X39" i="22" s="1"/>
  <c r="X45" i="22" s="1"/>
  <c r="X47" i="22" s="1"/>
  <c r="Y25" i="22"/>
  <c r="Y36" i="22"/>
  <c r="X31" i="21"/>
  <c r="X39" i="21" s="1"/>
  <c r="Y25" i="21"/>
  <c r="W36" i="21" l="1"/>
  <c r="V45" i="21"/>
  <c r="V47" i="21" s="1"/>
  <c r="Y31" i="22"/>
  <c r="Y39" i="22" s="1"/>
  <c r="Y45" i="22" s="1"/>
  <c r="Y47" i="22" s="1"/>
  <c r="Z25" i="22"/>
  <c r="Z36" i="22"/>
  <c r="Y31" i="21"/>
  <c r="Y39" i="21" s="1"/>
  <c r="Z25" i="21"/>
  <c r="X36" i="21" l="1"/>
  <c r="W45" i="21"/>
  <c r="W47" i="21" s="1"/>
  <c r="AA25" i="22"/>
  <c r="Z31" i="22"/>
  <c r="Z39" i="22" s="1"/>
  <c r="Z45" i="22" s="1"/>
  <c r="Z47" i="22" s="1"/>
  <c r="AA36" i="22"/>
  <c r="Z31" i="21"/>
  <c r="Z39" i="21" s="1"/>
  <c r="AA25" i="21"/>
  <c r="Y36" i="21" l="1"/>
  <c r="X45" i="21"/>
  <c r="X47" i="21" s="1"/>
  <c r="AA31" i="22"/>
  <c r="AA39" i="22" s="1"/>
  <c r="AA45" i="22" s="1"/>
  <c r="AA47" i="22" s="1"/>
  <c r="AB25" i="22"/>
  <c r="AB36" i="22"/>
  <c r="AA31" i="21"/>
  <c r="AA39" i="21" s="1"/>
  <c r="AB25" i="21"/>
  <c r="Z36" i="21" l="1"/>
  <c r="Y45" i="21"/>
  <c r="Y47" i="21" s="1"/>
  <c r="AC25" i="22"/>
  <c r="AB31" i="22"/>
  <c r="AB39" i="22" s="1"/>
  <c r="AB45" i="22" s="1"/>
  <c r="AB47" i="22" s="1"/>
  <c r="AC36" i="22"/>
  <c r="AC25" i="21"/>
  <c r="AB31" i="21"/>
  <c r="AB39" i="21" s="1"/>
  <c r="AA36" i="21" l="1"/>
  <c r="Z45" i="21"/>
  <c r="Z47" i="21" s="1"/>
  <c r="AC31" i="22"/>
  <c r="AC39" i="22" s="1"/>
  <c r="AC45" i="22" s="1"/>
  <c r="AC47" i="22" s="1"/>
  <c r="AD25" i="22"/>
  <c r="AD36" i="22"/>
  <c r="AD25" i="21"/>
  <c r="AC31" i="21"/>
  <c r="AC39" i="21" s="1"/>
  <c r="AB36" i="21" l="1"/>
  <c r="AA45" i="21"/>
  <c r="AA47" i="21" s="1"/>
  <c r="AE25" i="22"/>
  <c r="AD31" i="22"/>
  <c r="AD39" i="22" s="1"/>
  <c r="AD45" i="22" s="1"/>
  <c r="AD47" i="22" s="1"/>
  <c r="AE36" i="22"/>
  <c r="AD31" i="21"/>
  <c r="AD39" i="21" s="1"/>
  <c r="AE25" i="21"/>
  <c r="AC36" i="21" l="1"/>
  <c r="AB45" i="21"/>
  <c r="AB47" i="21" s="1"/>
  <c r="AF25" i="22"/>
  <c r="AE31" i="22"/>
  <c r="AE39" i="22" s="1"/>
  <c r="AE45" i="22" s="1"/>
  <c r="AE47" i="22" s="1"/>
  <c r="AF36" i="22"/>
  <c r="AE31" i="21"/>
  <c r="AE39" i="21" s="1"/>
  <c r="AF25" i="21"/>
  <c r="AD36" i="21" l="1"/>
  <c r="AC45" i="21"/>
  <c r="AC47" i="21" s="1"/>
  <c r="AG25" i="22"/>
  <c r="AF31" i="22"/>
  <c r="AF39" i="22" s="1"/>
  <c r="AF45" i="22" s="1"/>
  <c r="AF47" i="22" s="1"/>
  <c r="AG36" i="22"/>
  <c r="AF31" i="21"/>
  <c r="AF39" i="21" s="1"/>
  <c r="AG25" i="21"/>
  <c r="AD45" i="21" l="1"/>
  <c r="AD47" i="21" s="1"/>
  <c r="AE36" i="21"/>
  <c r="AH25" i="22"/>
  <c r="AG31" i="22"/>
  <c r="AG39" i="22" s="1"/>
  <c r="AG45" i="22" s="1"/>
  <c r="AG47" i="22" s="1"/>
  <c r="AH36" i="22"/>
  <c r="AG31" i="21"/>
  <c r="AG39" i="21" s="1"/>
  <c r="AH25" i="21"/>
  <c r="AF36" i="21" l="1"/>
  <c r="AE45" i="21"/>
  <c r="AE47" i="21" s="1"/>
  <c r="AI25" i="22"/>
  <c r="AI31" i="22" s="1"/>
  <c r="AH31" i="22"/>
  <c r="AI36" i="22"/>
  <c r="AH31" i="21"/>
  <c r="AH39" i="21" s="1"/>
  <c r="AI25" i="21"/>
  <c r="AI31" i="21" s="1"/>
  <c r="AI39" i="21" s="1"/>
  <c r="AI39" i="22" l="1"/>
  <c r="AI45" i="22" s="1"/>
  <c r="AI47" i="22" s="1"/>
  <c r="B50" i="22" s="1"/>
  <c r="AH39" i="22"/>
  <c r="AH45" i="22" s="1"/>
  <c r="AH47" i="22" s="1"/>
  <c r="AF45" i="21"/>
  <c r="AF47" i="21" s="1"/>
  <c r="AG36" i="21"/>
  <c r="AH36" i="21" l="1"/>
  <c r="AG45" i="21"/>
  <c r="AG47" i="21" s="1"/>
  <c r="AI36" i="21" l="1"/>
  <c r="AI45" i="21" s="1"/>
  <c r="AI47" i="21" s="1"/>
  <c r="AH45" i="21"/>
  <c r="AH47" i="21" s="1"/>
  <c r="B50" i="21" s="1"/>
</calcChain>
</file>

<file path=xl/sharedStrings.xml><?xml version="1.0" encoding="utf-8"?>
<sst xmlns="http://schemas.openxmlformats.org/spreadsheetml/2006/main" count="318" uniqueCount="125">
  <si>
    <t xml:space="preserve">Antall liter pr fylling </t>
  </si>
  <si>
    <t xml:space="preserve">Merkostnad drivstoff </t>
  </si>
  <si>
    <t>Besparelse drivstoffkostnad</t>
  </si>
  <si>
    <t xml:space="preserve">Antall fyllinger </t>
  </si>
  <si>
    <t xml:space="preserve">Eggemoen </t>
  </si>
  <si>
    <t>Investeringskostnad</t>
  </si>
  <si>
    <t xml:space="preserve">Vedlikehold </t>
  </si>
  <si>
    <t xml:space="preserve">Årlig vedlikehold </t>
  </si>
  <si>
    <t xml:space="preserve">Kontantstrøm </t>
  </si>
  <si>
    <t xml:space="preserve">År </t>
  </si>
  <si>
    <t>Resultat</t>
  </si>
  <si>
    <t xml:space="preserve">Investering </t>
  </si>
  <si>
    <t>Ekstra flytid kostnad</t>
  </si>
  <si>
    <t>Ekstra drivstoff kostnad</t>
  </si>
  <si>
    <t>Ukentlig fuel kontroll</t>
  </si>
  <si>
    <t xml:space="preserve">Årlig kontroll og vedlikehold </t>
  </si>
  <si>
    <t>Bytte av slanger</t>
  </si>
  <si>
    <t>Bytte av produktpumpe</t>
  </si>
  <si>
    <t xml:space="preserve">Inntekter </t>
  </si>
  <si>
    <t>Besparelse ekstra flytid</t>
  </si>
  <si>
    <t>Besparelse merkostnad drivstoff</t>
  </si>
  <si>
    <t>Kostnader</t>
  </si>
  <si>
    <t>Avkastningskrav</t>
  </si>
  <si>
    <t>Ekstra flytid kostnader</t>
  </si>
  <si>
    <t>Ekstra Fuelkostnader</t>
  </si>
  <si>
    <t>Kontantstrøm justering</t>
  </si>
  <si>
    <t>Fuel indeks</t>
  </si>
  <si>
    <t>Spart helse verdi</t>
  </si>
  <si>
    <t xml:space="preserve">Drammen Sykehus </t>
  </si>
  <si>
    <t>Beredskap Drammen - Ål</t>
  </si>
  <si>
    <t>Beredskap Drammen - Vestfossen</t>
  </si>
  <si>
    <t>Ganger I år</t>
  </si>
  <si>
    <t>Total timer</t>
  </si>
  <si>
    <t xml:space="preserve">Det blir alltid tanket på Eggemoen, så her blir det ikke beredskapstid </t>
  </si>
  <si>
    <t>Beredskap Ringerike - Ål</t>
  </si>
  <si>
    <t xml:space="preserve">Beredskap Ringerike - Eggemoen </t>
  </si>
  <si>
    <t>Flytider ambulansehelikopter</t>
  </si>
  <si>
    <t>H135</t>
  </si>
  <si>
    <t>knop</t>
  </si>
  <si>
    <t>Marsjhastighet er 125 knop. Gjennomsnittshastighet er lavere pga avgang/landing (fra/til 0 knop), og vil være lavere på kortere distanser.</t>
  </si>
  <si>
    <t>Eggemoen</t>
  </si>
  <si>
    <t>nm/min</t>
  </si>
  <si>
    <t>60 knop gjennomsnittshastighet er sammenfallende med erfart flytid (tid i luften mellom avgangssted til landingssted).</t>
  </si>
  <si>
    <t>Vestfossen</t>
  </si>
  <si>
    <t>80 knop gjennomsnittshastighet er sammenfallende med erfart flytid (tid i luften mellom avgangssted til landingssted).</t>
  </si>
  <si>
    <t>Fra</t>
  </si>
  <si>
    <t>Til</t>
  </si>
  <si>
    <t>Distanse (nm)</t>
  </si>
  <si>
    <t>Flytid (minutter)</t>
  </si>
  <si>
    <t>Kg Fuel/pr min</t>
  </si>
  <si>
    <t>Sum fuel i kg</t>
  </si>
  <si>
    <t>Antall ganger</t>
  </si>
  <si>
    <t>Flytid i minutter (tid i luften; vedlikeholdskostnader)</t>
  </si>
  <si>
    <t>Fuel forbruk i kg</t>
  </si>
  <si>
    <t>Fuel forbruk i liter</t>
  </si>
  <si>
    <t>Teknisk timepris</t>
  </si>
  <si>
    <t>Fuelpris (kr/ltr)</t>
  </si>
  <si>
    <t>Total kostnad</t>
  </si>
  <si>
    <t>Ringerike sykehus</t>
  </si>
  <si>
    <t>Ringerike</t>
  </si>
  <si>
    <t>Drammen</t>
  </si>
  <si>
    <t>Drammen sykehus (nytt)</t>
  </si>
  <si>
    <t>Ål</t>
  </si>
  <si>
    <t>Landing site</t>
  </si>
  <si>
    <t>Landings</t>
  </si>
  <si>
    <t>Year</t>
  </si>
  <si>
    <t>Base</t>
  </si>
  <si>
    <t>Lørenskog 1</t>
  </si>
  <si>
    <t>Average</t>
  </si>
  <si>
    <t>Fra Ål</t>
  </si>
  <si>
    <t>vs Vestfossen</t>
  </si>
  <si>
    <t>ENDH</t>
  </si>
  <si>
    <t>Arendal</t>
  </si>
  <si>
    <t>Dombås</t>
  </si>
  <si>
    <t>Lørenskog 2</t>
  </si>
  <si>
    <t>ENEG</t>
  </si>
  <si>
    <t>Førde</t>
  </si>
  <si>
    <t>Stavanger</t>
  </si>
  <si>
    <t>vs Eggemoen</t>
  </si>
  <si>
    <t>ENRX</t>
  </si>
  <si>
    <t>Lørenskog 3</t>
  </si>
  <si>
    <t>ENKO</t>
  </si>
  <si>
    <t>Kongsberg</t>
  </si>
  <si>
    <t>Investering</t>
  </si>
  <si>
    <t>ROS anayse</t>
  </si>
  <si>
    <t>Month</t>
  </si>
  <si>
    <t>Price</t>
  </si>
  <si>
    <t>Change</t>
  </si>
  <si>
    <t>-</t>
  </si>
  <si>
    <t>År</t>
  </si>
  <si>
    <t>Pris</t>
  </si>
  <si>
    <t>Leveår tjent justering</t>
  </si>
  <si>
    <t>Simulert data til NNV vs Leveår tjent grafen</t>
  </si>
  <si>
    <t>Besparelse drivstoffkostnad på ekstra flytid</t>
  </si>
  <si>
    <t>Verdi av leveår tjent</t>
  </si>
  <si>
    <t>Ukentlig drivstoff kontroll</t>
  </si>
  <si>
    <t>NNV</t>
  </si>
  <si>
    <t xml:space="preserve">Ringerike sykehus </t>
  </si>
  <si>
    <t>Besparelse flytid Ringerike - Eggemoen</t>
  </si>
  <si>
    <t xml:space="preserve">Total investeringskostnad </t>
  </si>
  <si>
    <t>Årlig kostnad</t>
  </si>
  <si>
    <t>VSL, 34 mil i 2021</t>
  </si>
  <si>
    <t>Flytid, min</t>
  </si>
  <si>
    <t>Tapt minutter</t>
  </si>
  <si>
    <t>Tapt beredskapstid Drammen</t>
  </si>
  <si>
    <t>Tapt beredskapstid Ringerike</t>
  </si>
  <si>
    <t>Fylling, min</t>
  </si>
  <si>
    <t>Start-up/taxi i kg</t>
  </si>
  <si>
    <t>Ca fuel forbruk flydistianse i kg</t>
  </si>
  <si>
    <t xml:space="preserve">Kilde: </t>
  </si>
  <si>
    <t>https://www.indexmundi.com/commodities/?commodity=jet-fuel&amp;months=240&amp;currency=nok</t>
  </si>
  <si>
    <t>Indeks</t>
  </si>
  <si>
    <t xml:space="preserve">Gjennomsnitt tapte leveår  </t>
  </si>
  <si>
    <t>Leveår tjent med full helse</t>
  </si>
  <si>
    <t>Redusert helse</t>
  </si>
  <si>
    <t>Antall personer / år med redusert helse*</t>
  </si>
  <si>
    <t>*Denne cellen simuleres med antall personer eller år med nedsatt helse. Vi har brukt 1, 2 og 3</t>
  </si>
  <si>
    <t>Forutsetter 2.2% årlig vekst, KPI total index for andre varer og tjenester (SSB)</t>
  </si>
  <si>
    <t>kr/time, lønnsvekst 2.5% årlig (SSB)</t>
  </si>
  <si>
    <t>20m slange, må byttes 3 ganger. Forutsetter 2.2% årlig vekst, KPI total index for andre varer og tjenester (SSB)</t>
  </si>
  <si>
    <t>Fuel pris ca dobblet siste 20 år, tilsvarende ca 4% årlig vekst. Se "Jet A1 pris" fane</t>
  </si>
  <si>
    <t>**Funnet med Goal seek ved å sette NNV til 0</t>
  </si>
  <si>
    <t>Leveår tjent ved 0 NPV**</t>
  </si>
  <si>
    <t>Leveår tjent intervall</t>
  </si>
  <si>
    <t>Besparelse flytid Drammen - Vestfossen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</si>
</sst>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_-;\-* #,##0_-;_-* &quot;-&quot;??_-;_-@"/>
    <numFmt numFmtId="165" formatCode="0.0%"/>
    <numFmt numFmtId="167" formatCode="_(* #,##0_);_(* \(#,##0\);_(* &quot;-&quot;???_);_(@_)"/>
    <numFmt numFmtId="168" formatCode="0.0"/>
    <numFmt numFmtId="169" formatCode="_(* #,##0.0_);_(* \(#,##0.0\);_(* &quot;-&quot;?_);_(@_)"/>
    <numFmt numFmtId="170" formatCode="#,##0.0"/>
    <numFmt numFmtId="171" formatCode="0.0000"/>
    <numFmt numFmtId="172" formatCode="#,##0.0_);\(#,##0.0\)"/>
  </numFmts>
  <fonts count="3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4"/>
      <color theme="1"/>
      <name val="Calibri"/>
    </font>
    <font>
      <sz val="11"/>
      <color theme="1"/>
      <name val="Calibri"/>
    </font>
    <font>
      <b/>
      <sz val="28"/>
      <color theme="1"/>
      <name val="Calibri"/>
    </font>
    <font>
      <b/>
      <sz val="12"/>
      <color rgb="FF0432FF"/>
      <name val="Calibri"/>
    </font>
    <font>
      <sz val="12"/>
      <color theme="0"/>
      <name val="Calibri"/>
    </font>
    <font>
      <b/>
      <i/>
      <sz val="12"/>
      <color rgb="FFC55A11"/>
      <name val="Calibri"/>
    </font>
    <font>
      <i/>
      <sz val="12"/>
      <color theme="1"/>
      <name val="Calibri"/>
    </font>
    <font>
      <b/>
      <sz val="12"/>
      <color theme="1"/>
      <name val="-webkit-standard"/>
    </font>
    <font>
      <sz val="12"/>
      <color theme="1"/>
      <name val="-webkit-standard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7"/>
      <color rgb="FF333333"/>
      <name val="Arial"/>
      <family val="2"/>
    </font>
    <font>
      <sz val="7"/>
      <color rgb="FF333333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E5EC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EEAF6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2" borderId="1" xfId="0" applyFont="1" applyFill="1" applyBorder="1"/>
    <xf numFmtId="0" fontId="5" fillId="0" borderId="0" xfId="0" applyFont="1" applyAlignment="1">
      <alignment horizontal="left"/>
    </xf>
    <xf numFmtId="2" fontId="5" fillId="0" borderId="0" xfId="0" applyNumberFormat="1" applyFont="1"/>
    <xf numFmtId="0" fontId="4" fillId="2" borderId="1" xfId="0" applyFont="1" applyFill="1" applyBorder="1"/>
    <xf numFmtId="0" fontId="7" fillId="0" borderId="0" xfId="0" applyFont="1"/>
    <xf numFmtId="167" fontId="5" fillId="0" borderId="0" xfId="0" applyNumberFormat="1" applyFont="1"/>
    <xf numFmtId="0" fontId="8" fillId="0" borderId="0" xfId="0" applyFont="1"/>
    <xf numFmtId="0" fontId="8" fillId="0" borderId="0" xfId="0" applyFont="1" applyAlignment="1"/>
    <xf numFmtId="168" fontId="5" fillId="0" borderId="0" xfId="0" applyNumberFormat="1" applyFont="1"/>
    <xf numFmtId="43" fontId="5" fillId="0" borderId="0" xfId="0" applyNumberFormat="1" applyFont="1"/>
    <xf numFmtId="169" fontId="5" fillId="0" borderId="0" xfId="0" applyNumberFormat="1" applyFont="1"/>
    <xf numFmtId="0" fontId="9" fillId="3" borderId="1" xfId="0" applyFont="1" applyFill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8" fontId="12" fillId="3" borderId="1" xfId="0" applyNumberFormat="1" applyFont="1" applyFill="1" applyBorder="1"/>
    <xf numFmtId="3" fontId="5" fillId="3" borderId="1" xfId="0" applyNumberFormat="1" applyFont="1" applyFill="1" applyBorder="1"/>
    <xf numFmtId="0" fontId="13" fillId="3" borderId="1" xfId="0" applyFont="1" applyFill="1" applyBorder="1"/>
    <xf numFmtId="0" fontId="5" fillId="3" borderId="3" xfId="0" applyFont="1" applyFill="1" applyBorder="1"/>
    <xf numFmtId="168" fontId="5" fillId="3" borderId="3" xfId="0" applyNumberFormat="1" applyFont="1" applyFill="1" applyBorder="1"/>
    <xf numFmtId="168" fontId="10" fillId="3" borderId="1" xfId="0" applyNumberFormat="1" applyFont="1" applyFill="1" applyBorder="1"/>
    <xf numFmtId="1" fontId="5" fillId="3" borderId="1" xfId="0" applyNumberFormat="1" applyFont="1" applyFill="1" applyBorder="1"/>
    <xf numFmtId="3" fontId="10" fillId="3" borderId="1" xfId="0" applyNumberFormat="1" applyFont="1" applyFill="1" applyBorder="1"/>
    <xf numFmtId="170" fontId="10" fillId="3" borderId="1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171" fontId="0" fillId="0" borderId="0" xfId="0" applyNumberFormat="1" applyFont="1" applyAlignment="1"/>
    <xf numFmtId="2" fontId="0" fillId="0" borderId="0" xfId="0" applyNumberFormat="1" applyFont="1" applyAlignment="1"/>
    <xf numFmtId="0" fontId="3" fillId="0" borderId="0" xfId="0" applyFont="1" applyAlignment="1"/>
    <xf numFmtId="0" fontId="17" fillId="0" borderId="0" xfId="0" applyFont="1"/>
    <xf numFmtId="0" fontId="18" fillId="4" borderId="0" xfId="0" applyFont="1" applyFill="1" applyAlignment="1"/>
    <xf numFmtId="0" fontId="19" fillId="2" borderId="1" xfId="0" applyFont="1" applyFill="1" applyBorder="1"/>
    <xf numFmtId="164" fontId="17" fillId="0" borderId="0" xfId="0" applyNumberFormat="1" applyFont="1"/>
    <xf numFmtId="0" fontId="17" fillId="0" borderId="0" xfId="0" applyFont="1" applyAlignment="1">
      <alignment horizontal="left"/>
    </xf>
    <xf numFmtId="0" fontId="20" fillId="5" borderId="4" xfId="0" applyFont="1" applyFill="1" applyBorder="1" applyAlignment="1">
      <alignment horizontal="left" vertical="center" wrapText="1"/>
    </xf>
    <xf numFmtId="0" fontId="0" fillId="0" borderId="0" xfId="0"/>
    <xf numFmtId="17" fontId="21" fillId="6" borderId="4" xfId="0" applyNumberFormat="1" applyFont="1" applyFill="1" applyBorder="1" applyAlignment="1">
      <alignment horizontal="right" vertical="center" wrapText="1"/>
    </xf>
    <xf numFmtId="0" fontId="21" fillId="6" borderId="4" xfId="0" applyFont="1" applyFill="1" applyBorder="1" applyAlignment="1">
      <alignment horizontal="right" vertical="center" wrapText="1"/>
    </xf>
    <xf numFmtId="17" fontId="21" fillId="7" borderId="4" xfId="0" applyNumberFormat="1" applyFont="1" applyFill="1" applyBorder="1" applyAlignment="1">
      <alignment horizontal="right" vertical="center" wrapText="1"/>
    </xf>
    <xf numFmtId="0" fontId="21" fillId="7" borderId="4" xfId="0" applyFont="1" applyFill="1" applyBorder="1" applyAlignment="1">
      <alignment horizontal="right" vertical="center" wrapText="1"/>
    </xf>
    <xf numFmtId="10" fontId="21" fillId="7" borderId="4" xfId="0" applyNumberFormat="1" applyFont="1" applyFill="1" applyBorder="1" applyAlignment="1">
      <alignment horizontal="right" vertical="center" wrapText="1"/>
    </xf>
    <xf numFmtId="10" fontId="21" fillId="6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3" fontId="5" fillId="0" borderId="0" xfId="0" applyNumberFormat="1" applyFont="1"/>
    <xf numFmtId="0" fontId="0" fillId="0" borderId="0" xfId="0" applyFont="1" applyAlignment="1"/>
    <xf numFmtId="0" fontId="5" fillId="0" borderId="0" xfId="0" applyFont="1"/>
    <xf numFmtId="0" fontId="2" fillId="0" borderId="0" xfId="0" applyFont="1" applyAlignment="1"/>
    <xf numFmtId="3" fontId="5" fillId="9" borderId="5" xfId="0" applyNumberFormat="1" applyFont="1" applyFill="1" applyBorder="1"/>
    <xf numFmtId="0" fontId="4" fillId="10" borderId="0" xfId="0" applyFont="1" applyFill="1" applyAlignment="1">
      <alignment horizontal="left"/>
    </xf>
    <xf numFmtId="3" fontId="5" fillId="10" borderId="0" xfId="0" applyNumberFormat="1" applyFont="1" applyFill="1"/>
    <xf numFmtId="0" fontId="0" fillId="10" borderId="0" xfId="0" applyFont="1" applyFill="1" applyAlignment="1"/>
    <xf numFmtId="0" fontId="5" fillId="10" borderId="0" xfId="0" applyFont="1" applyFill="1" applyAlignment="1">
      <alignment horizontal="left"/>
    </xf>
    <xf numFmtId="0" fontId="17" fillId="10" borderId="0" xfId="0" applyFont="1" applyFill="1" applyAlignment="1">
      <alignment horizontal="left"/>
    </xf>
    <xf numFmtId="0" fontId="5" fillId="10" borderId="0" xfId="0" applyFont="1" applyFill="1"/>
    <xf numFmtId="37" fontId="5" fillId="10" borderId="0" xfId="0" applyNumberFormat="1" applyFont="1" applyFill="1"/>
    <xf numFmtId="37" fontId="5" fillId="10" borderId="9" xfId="0" applyNumberFormat="1" applyFont="1" applyFill="1" applyBorder="1"/>
    <xf numFmtId="37" fontId="5" fillId="9" borderId="5" xfId="0" applyNumberFormat="1" applyFont="1" applyFill="1" applyBorder="1"/>
    <xf numFmtId="37" fontId="5" fillId="8" borderId="0" xfId="0" applyNumberFormat="1" applyFont="1" applyFill="1"/>
    <xf numFmtId="164" fontId="5" fillId="10" borderId="0" xfId="0" applyNumberFormat="1" applyFont="1" applyFill="1"/>
    <xf numFmtId="0" fontId="5" fillId="10" borderId="6" xfId="0" applyFont="1" applyFill="1" applyBorder="1"/>
    <xf numFmtId="10" fontId="5" fillId="10" borderId="7" xfId="0" applyNumberFormat="1" applyFont="1" applyFill="1" applyBorder="1"/>
    <xf numFmtId="10" fontId="5" fillId="10" borderId="0" xfId="0" applyNumberFormat="1" applyFont="1" applyFill="1"/>
    <xf numFmtId="0" fontId="6" fillId="10" borderId="0" xfId="0" applyFont="1" applyFill="1"/>
    <xf numFmtId="0" fontId="18" fillId="10" borderId="0" xfId="0" applyFont="1" applyFill="1" applyAlignment="1"/>
    <xf numFmtId="0" fontId="17" fillId="10" borderId="8" xfId="0" applyFont="1" applyFill="1" applyBorder="1"/>
    <xf numFmtId="0" fontId="4" fillId="11" borderId="2" xfId="0" applyFont="1" applyFill="1" applyBorder="1"/>
    <xf numFmtId="171" fontId="8" fillId="0" borderId="0" xfId="0" applyNumberFormat="1" applyFont="1"/>
    <xf numFmtId="0" fontId="16" fillId="10" borderId="0" xfId="0" applyFont="1" applyFill="1" applyAlignment="1"/>
    <xf numFmtId="171" fontId="0" fillId="10" borderId="0" xfId="0" applyNumberFormat="1" applyFont="1" applyFill="1" applyAlignment="1"/>
    <xf numFmtId="2" fontId="0" fillId="10" borderId="0" xfId="0" applyNumberFormat="1" applyFont="1" applyFill="1" applyAlignment="1"/>
    <xf numFmtId="0" fontId="3" fillId="10" borderId="0" xfId="0" applyFont="1" applyFill="1" applyAlignment="1"/>
    <xf numFmtId="0" fontId="25" fillId="0" borderId="0" xfId="0" applyFont="1"/>
    <xf numFmtId="0" fontId="2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Font="1" applyAlignment="1">
      <alignment wrapText="1"/>
    </xf>
    <xf numFmtId="0" fontId="26" fillId="0" borderId="0" xfId="0" applyFont="1"/>
    <xf numFmtId="0" fontId="24" fillId="0" borderId="0" xfId="0" applyFont="1" applyAlignment="1"/>
    <xf numFmtId="37" fontId="0" fillId="0" borderId="0" xfId="0" applyNumberFormat="1" applyFont="1" applyAlignment="1"/>
    <xf numFmtId="37" fontId="5" fillId="0" borderId="0" xfId="0" applyNumberFormat="1" applyFont="1"/>
    <xf numFmtId="37" fontId="4" fillId="0" borderId="0" xfId="0" applyNumberFormat="1" applyFont="1"/>
    <xf numFmtId="37" fontId="6" fillId="0" borderId="0" xfId="0" applyNumberFormat="1" applyFont="1"/>
    <xf numFmtId="172" fontId="5" fillId="0" borderId="0" xfId="0" applyNumberFormat="1" applyFont="1"/>
    <xf numFmtId="0" fontId="27" fillId="0" borderId="0" xfId="0" applyFont="1" applyAlignment="1"/>
    <xf numFmtId="0" fontId="17" fillId="3" borderId="1" xfId="0" applyFont="1" applyFill="1" applyBorder="1"/>
    <xf numFmtId="0" fontId="17" fillId="3" borderId="3" xfId="0" applyFont="1" applyFill="1" applyBorder="1"/>
    <xf numFmtId="1" fontId="17" fillId="3" borderId="3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2" fillId="0" borderId="0" xfId="0" applyFont="1"/>
    <xf numFmtId="0" fontId="23" fillId="0" borderId="0" xfId="1"/>
    <xf numFmtId="0" fontId="16" fillId="0" borderId="0" xfId="0" applyFont="1"/>
    <xf numFmtId="0" fontId="17" fillId="0" borderId="0" xfId="0" applyFont="1" applyAlignment="1">
      <alignment horizontal="left" wrapText="1"/>
    </xf>
    <xf numFmtId="0" fontId="28" fillId="0" borderId="0" xfId="0" applyFont="1" applyAlignment="1"/>
    <xf numFmtId="0" fontId="2" fillId="10" borderId="0" xfId="0" applyFont="1" applyFill="1" applyAlignment="1"/>
    <xf numFmtId="0" fontId="29" fillId="10" borderId="0" xfId="0" applyFont="1" applyFill="1" applyAlignment="1"/>
    <xf numFmtId="165" fontId="2" fillId="0" borderId="0" xfId="0" applyNumberFormat="1" applyFont="1"/>
    <xf numFmtId="0" fontId="22" fillId="0" borderId="0" xfId="0" applyFont="1"/>
    <xf numFmtId="0" fontId="1" fillId="0" borderId="0" xfId="0" applyFont="1" applyAlignment="1"/>
    <xf numFmtId="0" fontId="30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35914260717411"/>
          <c:y val="4.2781973630134681E-2"/>
          <c:w val="0.78841863517060362"/>
          <c:h val="0.87174690663667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'NNV vs Leveår tjent'!$A$5</c:f>
              <c:strCache>
                <c:ptCount val="1"/>
                <c:pt idx="0">
                  <c:v>Drammen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'NNV vs Leveår tjent'!$B$4:$G$4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'NNV vs Leveår tjent'!$B$5:$G$5</c:f>
              <c:numCache>
                <c:formatCode>#,##0</c:formatCode>
                <c:ptCount val="6"/>
                <c:pt idx="0">
                  <c:v>-10032567.606579956</c:v>
                </c:pt>
                <c:pt idx="1">
                  <c:v>-6764238.503595937</c:v>
                </c:pt>
                <c:pt idx="2">
                  <c:v>-3495909.4006119198</c:v>
                </c:pt>
                <c:pt idx="3">
                  <c:v>-227580.29762790073</c:v>
                </c:pt>
                <c:pt idx="4">
                  <c:v>3040748.8053561188</c:v>
                </c:pt>
                <c:pt idx="5">
                  <c:v>6309077.9083401375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E3-4BB0-A3E3-896BCFEDC994}"/>
            </c:ext>
          </c:extLst>
        </c:ser>
        <c:ser>
          <c:idx val="1"/>
          <c:order val="1"/>
          <c:tx>
            <c:strRef>
              <c:f>'NNV vs Leveår tjent'!$A$6</c:f>
              <c:strCache>
                <c:ptCount val="1"/>
                <c:pt idx="0">
                  <c:v>Ringerike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'NNV vs Leveår tjent'!$B$4:$E$4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xVal>
          <c:yVal>
            <c:numRef>
              <c:f>'NNV vs Leveår tjent'!$B$6:$E$6</c:f>
              <c:numCache>
                <c:formatCode>#,##0</c:formatCode>
                <c:ptCount val="4"/>
                <c:pt idx="0">
                  <c:v>-4458573.489130171</c:v>
                </c:pt>
                <c:pt idx="1">
                  <c:v>-1248289.5304038818</c:v>
                </c:pt>
                <c:pt idx="2">
                  <c:v>1961994.4283224074</c:v>
                </c:pt>
                <c:pt idx="3">
                  <c:v>5172278.387048698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E3-4BB0-A3E3-896BCFED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659968"/>
        <c:axId val="283520744"/>
      </c:scatterChart>
      <c:valAx>
        <c:axId val="321659968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Leveår </a:t>
                </a:r>
                <a:r>
                  <a:rPr lang="en-GB" sz="1000" b="0" i="0" u="none" strike="noStrike" baseline="0">
                    <a:effectLst/>
                  </a:rPr>
                  <a:t>tjent (</a:t>
                </a:r>
                <a:r>
                  <a:rPr lang="en-GB"/>
                  <a:t>med full helse)</a:t>
                </a:r>
              </a:p>
            </c:rich>
          </c:tx>
          <c:layout>
            <c:manualLayout>
              <c:xMode val="edge"/>
              <c:yMode val="edge"/>
              <c:x val="0.49710444830781414"/>
              <c:y val="0.921671822272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520744"/>
        <c:crosses val="autoZero"/>
        <c:crossBetween val="midCat"/>
      </c:valAx>
      <c:valAx>
        <c:axId val="28352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Netto nåverdi, kr</a:t>
                </a:r>
              </a:p>
            </c:rich>
          </c:tx>
          <c:layout>
            <c:manualLayout>
              <c:xMode val="edge"/>
              <c:yMode val="edge"/>
              <c:x val="6.6637354011946214E-3"/>
              <c:y val="0.3378785151856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59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173600174978126"/>
          <c:y val="0.67756017997750284"/>
          <c:w val="0.193404433846013"/>
          <c:h val="0.1165191226096737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38100" cap="rnd" cmpd="sng" algn="ctr">
                <a:solidFill>
                  <a:schemeClr val="accent1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'Jet A1 pris'!$A$2:$A$242</c:f>
              <c:numCache>
                <c:formatCode>mmm\-yy</c:formatCode>
                <c:ptCount val="241"/>
                <c:pt idx="0">
                  <c:v>37347</c:v>
                </c:pt>
                <c:pt idx="1">
                  <c:v>37377</c:v>
                </c:pt>
                <c:pt idx="2">
                  <c:v>37408</c:v>
                </c:pt>
                <c:pt idx="3">
                  <c:v>37438</c:v>
                </c:pt>
                <c:pt idx="4">
                  <c:v>37469</c:v>
                </c:pt>
                <c:pt idx="5">
                  <c:v>37500</c:v>
                </c:pt>
                <c:pt idx="6">
                  <c:v>37530</c:v>
                </c:pt>
                <c:pt idx="7">
                  <c:v>37561</c:v>
                </c:pt>
                <c:pt idx="8">
                  <c:v>37591</c:v>
                </c:pt>
                <c:pt idx="9">
                  <c:v>37622</c:v>
                </c:pt>
                <c:pt idx="10">
                  <c:v>37653</c:v>
                </c:pt>
                <c:pt idx="11">
                  <c:v>37681</c:v>
                </c:pt>
                <c:pt idx="12">
                  <c:v>37712</c:v>
                </c:pt>
                <c:pt idx="13">
                  <c:v>37742</c:v>
                </c:pt>
                <c:pt idx="14">
                  <c:v>37773</c:v>
                </c:pt>
                <c:pt idx="15">
                  <c:v>37803</c:v>
                </c:pt>
                <c:pt idx="16">
                  <c:v>37834</c:v>
                </c:pt>
                <c:pt idx="17">
                  <c:v>37865</c:v>
                </c:pt>
                <c:pt idx="18">
                  <c:v>37895</c:v>
                </c:pt>
                <c:pt idx="19">
                  <c:v>37926</c:v>
                </c:pt>
                <c:pt idx="20">
                  <c:v>37956</c:v>
                </c:pt>
                <c:pt idx="21">
                  <c:v>37987</c:v>
                </c:pt>
                <c:pt idx="22">
                  <c:v>38018</c:v>
                </c:pt>
                <c:pt idx="23">
                  <c:v>38047</c:v>
                </c:pt>
                <c:pt idx="24">
                  <c:v>38078</c:v>
                </c:pt>
                <c:pt idx="25">
                  <c:v>38108</c:v>
                </c:pt>
                <c:pt idx="26">
                  <c:v>38139</c:v>
                </c:pt>
                <c:pt idx="27">
                  <c:v>38169</c:v>
                </c:pt>
                <c:pt idx="28">
                  <c:v>38200</c:v>
                </c:pt>
                <c:pt idx="29">
                  <c:v>38231</c:v>
                </c:pt>
                <c:pt idx="30">
                  <c:v>38261</c:v>
                </c:pt>
                <c:pt idx="31">
                  <c:v>38292</c:v>
                </c:pt>
                <c:pt idx="32">
                  <c:v>38322</c:v>
                </c:pt>
                <c:pt idx="33">
                  <c:v>38353</c:v>
                </c:pt>
                <c:pt idx="34">
                  <c:v>38384</c:v>
                </c:pt>
                <c:pt idx="35">
                  <c:v>38412</c:v>
                </c:pt>
                <c:pt idx="36">
                  <c:v>38443</c:v>
                </c:pt>
                <c:pt idx="37">
                  <c:v>38473</c:v>
                </c:pt>
                <c:pt idx="38">
                  <c:v>38504</c:v>
                </c:pt>
                <c:pt idx="39">
                  <c:v>38534</c:v>
                </c:pt>
                <c:pt idx="40">
                  <c:v>38565</c:v>
                </c:pt>
                <c:pt idx="41">
                  <c:v>38596</c:v>
                </c:pt>
                <c:pt idx="42">
                  <c:v>38626</c:v>
                </c:pt>
                <c:pt idx="43">
                  <c:v>38657</c:v>
                </c:pt>
                <c:pt idx="44">
                  <c:v>38687</c:v>
                </c:pt>
                <c:pt idx="45">
                  <c:v>38718</c:v>
                </c:pt>
                <c:pt idx="46">
                  <c:v>38749</c:v>
                </c:pt>
                <c:pt idx="47">
                  <c:v>38777</c:v>
                </c:pt>
                <c:pt idx="48">
                  <c:v>38808</c:v>
                </c:pt>
                <c:pt idx="49">
                  <c:v>38838</c:v>
                </c:pt>
                <c:pt idx="50">
                  <c:v>38869</c:v>
                </c:pt>
                <c:pt idx="51">
                  <c:v>38899</c:v>
                </c:pt>
                <c:pt idx="52">
                  <c:v>38930</c:v>
                </c:pt>
                <c:pt idx="53">
                  <c:v>38961</c:v>
                </c:pt>
                <c:pt idx="54">
                  <c:v>38991</c:v>
                </c:pt>
                <c:pt idx="55">
                  <c:v>39022</c:v>
                </c:pt>
                <c:pt idx="56">
                  <c:v>39052</c:v>
                </c:pt>
                <c:pt idx="57">
                  <c:v>39083</c:v>
                </c:pt>
                <c:pt idx="58">
                  <c:v>39114</c:v>
                </c:pt>
                <c:pt idx="59">
                  <c:v>39142</c:v>
                </c:pt>
                <c:pt idx="60">
                  <c:v>39173</c:v>
                </c:pt>
                <c:pt idx="61">
                  <c:v>39203</c:v>
                </c:pt>
                <c:pt idx="62">
                  <c:v>39234</c:v>
                </c:pt>
                <c:pt idx="63">
                  <c:v>39264</c:v>
                </c:pt>
                <c:pt idx="64">
                  <c:v>39295</c:v>
                </c:pt>
                <c:pt idx="65">
                  <c:v>39326</c:v>
                </c:pt>
                <c:pt idx="66">
                  <c:v>39356</c:v>
                </c:pt>
                <c:pt idx="67">
                  <c:v>39387</c:v>
                </c:pt>
                <c:pt idx="68">
                  <c:v>39417</c:v>
                </c:pt>
                <c:pt idx="69">
                  <c:v>39448</c:v>
                </c:pt>
                <c:pt idx="70">
                  <c:v>39479</c:v>
                </c:pt>
                <c:pt idx="71">
                  <c:v>39508</c:v>
                </c:pt>
                <c:pt idx="72">
                  <c:v>39539</c:v>
                </c:pt>
                <c:pt idx="73">
                  <c:v>39569</c:v>
                </c:pt>
                <c:pt idx="74">
                  <c:v>39600</c:v>
                </c:pt>
                <c:pt idx="75">
                  <c:v>39630</c:v>
                </c:pt>
                <c:pt idx="76">
                  <c:v>39661</c:v>
                </c:pt>
                <c:pt idx="77">
                  <c:v>39692</c:v>
                </c:pt>
                <c:pt idx="78">
                  <c:v>39722</c:v>
                </c:pt>
                <c:pt idx="79">
                  <c:v>39753</c:v>
                </c:pt>
                <c:pt idx="80">
                  <c:v>39783</c:v>
                </c:pt>
                <c:pt idx="81">
                  <c:v>39814</c:v>
                </c:pt>
                <c:pt idx="82">
                  <c:v>39845</c:v>
                </c:pt>
                <c:pt idx="83">
                  <c:v>39873</c:v>
                </c:pt>
                <c:pt idx="84">
                  <c:v>39904</c:v>
                </c:pt>
                <c:pt idx="85">
                  <c:v>39934</c:v>
                </c:pt>
                <c:pt idx="86">
                  <c:v>39965</c:v>
                </c:pt>
                <c:pt idx="87">
                  <c:v>39995</c:v>
                </c:pt>
                <c:pt idx="88">
                  <c:v>40026</c:v>
                </c:pt>
                <c:pt idx="89">
                  <c:v>40057</c:v>
                </c:pt>
                <c:pt idx="90">
                  <c:v>40087</c:v>
                </c:pt>
                <c:pt idx="91">
                  <c:v>40118</c:v>
                </c:pt>
                <c:pt idx="92">
                  <c:v>40148</c:v>
                </c:pt>
                <c:pt idx="93">
                  <c:v>40179</c:v>
                </c:pt>
                <c:pt idx="94">
                  <c:v>40210</c:v>
                </c:pt>
                <c:pt idx="95">
                  <c:v>40238</c:v>
                </c:pt>
                <c:pt idx="96">
                  <c:v>40269</c:v>
                </c:pt>
                <c:pt idx="97">
                  <c:v>40299</c:v>
                </c:pt>
                <c:pt idx="98">
                  <c:v>40330</c:v>
                </c:pt>
                <c:pt idx="99">
                  <c:v>40360</c:v>
                </c:pt>
                <c:pt idx="100">
                  <c:v>40391</c:v>
                </c:pt>
                <c:pt idx="101">
                  <c:v>40422</c:v>
                </c:pt>
                <c:pt idx="102">
                  <c:v>40452</c:v>
                </c:pt>
                <c:pt idx="103">
                  <c:v>40483</c:v>
                </c:pt>
                <c:pt idx="104">
                  <c:v>40513</c:v>
                </c:pt>
                <c:pt idx="105">
                  <c:v>40544</c:v>
                </c:pt>
                <c:pt idx="106">
                  <c:v>40575</c:v>
                </c:pt>
                <c:pt idx="107">
                  <c:v>40603</c:v>
                </c:pt>
                <c:pt idx="108">
                  <c:v>40634</c:v>
                </c:pt>
                <c:pt idx="109">
                  <c:v>40664</c:v>
                </c:pt>
                <c:pt idx="110">
                  <c:v>40695</c:v>
                </c:pt>
                <c:pt idx="111">
                  <c:v>40725</c:v>
                </c:pt>
                <c:pt idx="112">
                  <c:v>40756</c:v>
                </c:pt>
                <c:pt idx="113">
                  <c:v>40787</c:v>
                </c:pt>
                <c:pt idx="114">
                  <c:v>40817</c:v>
                </c:pt>
                <c:pt idx="115">
                  <c:v>40848</c:v>
                </c:pt>
                <c:pt idx="116">
                  <c:v>40878</c:v>
                </c:pt>
                <c:pt idx="117">
                  <c:v>40909</c:v>
                </c:pt>
                <c:pt idx="118">
                  <c:v>40940</c:v>
                </c:pt>
                <c:pt idx="119">
                  <c:v>40969</c:v>
                </c:pt>
                <c:pt idx="120">
                  <c:v>41000</c:v>
                </c:pt>
                <c:pt idx="121">
                  <c:v>41030</c:v>
                </c:pt>
                <c:pt idx="122">
                  <c:v>41061</c:v>
                </c:pt>
                <c:pt idx="123">
                  <c:v>41091</c:v>
                </c:pt>
                <c:pt idx="124">
                  <c:v>41122</c:v>
                </c:pt>
                <c:pt idx="125">
                  <c:v>41153</c:v>
                </c:pt>
                <c:pt idx="126">
                  <c:v>41183</c:v>
                </c:pt>
                <c:pt idx="127">
                  <c:v>41214</c:v>
                </c:pt>
                <c:pt idx="128">
                  <c:v>41244</c:v>
                </c:pt>
                <c:pt idx="129">
                  <c:v>41275</c:v>
                </c:pt>
                <c:pt idx="130">
                  <c:v>41306</c:v>
                </c:pt>
                <c:pt idx="131">
                  <c:v>41334</c:v>
                </c:pt>
                <c:pt idx="132">
                  <c:v>41365</c:v>
                </c:pt>
                <c:pt idx="133">
                  <c:v>41395</c:v>
                </c:pt>
                <c:pt idx="134">
                  <c:v>41426</c:v>
                </c:pt>
                <c:pt idx="135">
                  <c:v>41456</c:v>
                </c:pt>
                <c:pt idx="136">
                  <c:v>41487</c:v>
                </c:pt>
                <c:pt idx="137">
                  <c:v>41518</c:v>
                </c:pt>
                <c:pt idx="138">
                  <c:v>41548</c:v>
                </c:pt>
                <c:pt idx="139">
                  <c:v>41579</c:v>
                </c:pt>
                <c:pt idx="140">
                  <c:v>41609</c:v>
                </c:pt>
                <c:pt idx="141">
                  <c:v>41640</c:v>
                </c:pt>
                <c:pt idx="142">
                  <c:v>41671</c:v>
                </c:pt>
                <c:pt idx="143">
                  <c:v>41699</c:v>
                </c:pt>
                <c:pt idx="144">
                  <c:v>41730</c:v>
                </c:pt>
                <c:pt idx="145">
                  <c:v>41760</c:v>
                </c:pt>
                <c:pt idx="146">
                  <c:v>41791</c:v>
                </c:pt>
                <c:pt idx="147">
                  <c:v>41821</c:v>
                </c:pt>
                <c:pt idx="148">
                  <c:v>41852</c:v>
                </c:pt>
                <c:pt idx="149">
                  <c:v>41883</c:v>
                </c:pt>
                <c:pt idx="150">
                  <c:v>41913</c:v>
                </c:pt>
                <c:pt idx="151">
                  <c:v>41944</c:v>
                </c:pt>
                <c:pt idx="152">
                  <c:v>41974</c:v>
                </c:pt>
                <c:pt idx="153">
                  <c:v>42005</c:v>
                </c:pt>
                <c:pt idx="154">
                  <c:v>42036</c:v>
                </c:pt>
                <c:pt idx="155">
                  <c:v>42064</c:v>
                </c:pt>
                <c:pt idx="156">
                  <c:v>42095</c:v>
                </c:pt>
                <c:pt idx="157">
                  <c:v>42125</c:v>
                </c:pt>
                <c:pt idx="158">
                  <c:v>42156</c:v>
                </c:pt>
                <c:pt idx="159">
                  <c:v>42186</c:v>
                </c:pt>
                <c:pt idx="160">
                  <c:v>42217</c:v>
                </c:pt>
                <c:pt idx="161">
                  <c:v>42248</c:v>
                </c:pt>
                <c:pt idx="162">
                  <c:v>42278</c:v>
                </c:pt>
                <c:pt idx="163">
                  <c:v>42309</c:v>
                </c:pt>
                <c:pt idx="164">
                  <c:v>42339</c:v>
                </c:pt>
                <c:pt idx="165">
                  <c:v>42370</c:v>
                </c:pt>
                <c:pt idx="166">
                  <c:v>42401</c:v>
                </c:pt>
                <c:pt idx="167">
                  <c:v>42430</c:v>
                </c:pt>
                <c:pt idx="168">
                  <c:v>42461</c:v>
                </c:pt>
                <c:pt idx="169">
                  <c:v>42491</c:v>
                </c:pt>
                <c:pt idx="170">
                  <c:v>42522</c:v>
                </c:pt>
                <c:pt idx="171">
                  <c:v>42552</c:v>
                </c:pt>
                <c:pt idx="172">
                  <c:v>42583</c:v>
                </c:pt>
                <c:pt idx="173">
                  <c:v>42614</c:v>
                </c:pt>
                <c:pt idx="174">
                  <c:v>42644</c:v>
                </c:pt>
                <c:pt idx="175">
                  <c:v>42675</c:v>
                </c:pt>
                <c:pt idx="176">
                  <c:v>42705</c:v>
                </c:pt>
                <c:pt idx="177">
                  <c:v>42736</c:v>
                </c:pt>
                <c:pt idx="178">
                  <c:v>42767</c:v>
                </c:pt>
                <c:pt idx="179">
                  <c:v>42795</c:v>
                </c:pt>
                <c:pt idx="180">
                  <c:v>42826</c:v>
                </c:pt>
                <c:pt idx="181">
                  <c:v>42856</c:v>
                </c:pt>
                <c:pt idx="182">
                  <c:v>42887</c:v>
                </c:pt>
                <c:pt idx="183">
                  <c:v>42917</c:v>
                </c:pt>
                <c:pt idx="184">
                  <c:v>42948</c:v>
                </c:pt>
                <c:pt idx="185">
                  <c:v>42979</c:v>
                </c:pt>
                <c:pt idx="186">
                  <c:v>43009</c:v>
                </c:pt>
                <c:pt idx="187">
                  <c:v>43040</c:v>
                </c:pt>
                <c:pt idx="188">
                  <c:v>43070</c:v>
                </c:pt>
                <c:pt idx="189">
                  <c:v>43101</c:v>
                </c:pt>
                <c:pt idx="190">
                  <c:v>43132</c:v>
                </c:pt>
                <c:pt idx="191">
                  <c:v>43160</c:v>
                </c:pt>
                <c:pt idx="192">
                  <c:v>43191</c:v>
                </c:pt>
                <c:pt idx="193">
                  <c:v>43221</c:v>
                </c:pt>
                <c:pt idx="194">
                  <c:v>43252</c:v>
                </c:pt>
                <c:pt idx="195">
                  <c:v>43282</c:v>
                </c:pt>
                <c:pt idx="196">
                  <c:v>43313</c:v>
                </c:pt>
                <c:pt idx="197">
                  <c:v>43344</c:v>
                </c:pt>
                <c:pt idx="198">
                  <c:v>43374</c:v>
                </c:pt>
                <c:pt idx="199">
                  <c:v>43405</c:v>
                </c:pt>
                <c:pt idx="200">
                  <c:v>43435</c:v>
                </c:pt>
                <c:pt idx="201">
                  <c:v>43466</c:v>
                </c:pt>
                <c:pt idx="202">
                  <c:v>43497</c:v>
                </c:pt>
                <c:pt idx="203">
                  <c:v>43525</c:v>
                </c:pt>
                <c:pt idx="204">
                  <c:v>43556</c:v>
                </c:pt>
                <c:pt idx="205">
                  <c:v>43586</c:v>
                </c:pt>
                <c:pt idx="206">
                  <c:v>43617</c:v>
                </c:pt>
                <c:pt idx="207">
                  <c:v>43647</c:v>
                </c:pt>
                <c:pt idx="208">
                  <c:v>43678</c:v>
                </c:pt>
                <c:pt idx="209">
                  <c:v>43709</c:v>
                </c:pt>
                <c:pt idx="210">
                  <c:v>43739</c:v>
                </c:pt>
                <c:pt idx="211">
                  <c:v>43770</c:v>
                </c:pt>
                <c:pt idx="212">
                  <c:v>43800</c:v>
                </c:pt>
                <c:pt idx="213">
                  <c:v>43831</c:v>
                </c:pt>
                <c:pt idx="214">
                  <c:v>43862</c:v>
                </c:pt>
                <c:pt idx="215">
                  <c:v>43891</c:v>
                </c:pt>
                <c:pt idx="216">
                  <c:v>43922</c:v>
                </c:pt>
                <c:pt idx="217">
                  <c:v>43952</c:v>
                </c:pt>
                <c:pt idx="218">
                  <c:v>43983</c:v>
                </c:pt>
                <c:pt idx="219">
                  <c:v>44013</c:v>
                </c:pt>
                <c:pt idx="220">
                  <c:v>44044</c:v>
                </c:pt>
                <c:pt idx="221">
                  <c:v>44075</c:v>
                </c:pt>
                <c:pt idx="222">
                  <c:v>44105</c:v>
                </c:pt>
                <c:pt idx="223">
                  <c:v>44136</c:v>
                </c:pt>
                <c:pt idx="224">
                  <c:v>44166</c:v>
                </c:pt>
                <c:pt idx="225">
                  <c:v>44197</c:v>
                </c:pt>
                <c:pt idx="226">
                  <c:v>44228</c:v>
                </c:pt>
                <c:pt idx="227">
                  <c:v>44256</c:v>
                </c:pt>
                <c:pt idx="228">
                  <c:v>44287</c:v>
                </c:pt>
                <c:pt idx="229">
                  <c:v>44317</c:v>
                </c:pt>
                <c:pt idx="230">
                  <c:v>44348</c:v>
                </c:pt>
                <c:pt idx="231">
                  <c:v>44378</c:v>
                </c:pt>
                <c:pt idx="232">
                  <c:v>44409</c:v>
                </c:pt>
                <c:pt idx="233">
                  <c:v>44440</c:v>
                </c:pt>
                <c:pt idx="234">
                  <c:v>44470</c:v>
                </c:pt>
                <c:pt idx="235">
                  <c:v>44501</c:v>
                </c:pt>
                <c:pt idx="236">
                  <c:v>44531</c:v>
                </c:pt>
                <c:pt idx="237">
                  <c:v>44562</c:v>
                </c:pt>
                <c:pt idx="238">
                  <c:v>44593</c:v>
                </c:pt>
                <c:pt idx="239">
                  <c:v>44621</c:v>
                </c:pt>
                <c:pt idx="240">
                  <c:v>44652</c:v>
                </c:pt>
              </c:numCache>
            </c:numRef>
          </c:xVal>
          <c:yVal>
            <c:numRef>
              <c:f>'Jet A1 pris'!$B$2:$B$242</c:f>
              <c:numCache>
                <c:formatCode>General</c:formatCode>
                <c:ptCount val="241"/>
                <c:pt idx="0">
                  <c:v>5.77</c:v>
                </c:pt>
                <c:pt idx="1">
                  <c:v>5.45</c:v>
                </c:pt>
                <c:pt idx="2">
                  <c:v>5.0599999999999996</c:v>
                </c:pt>
                <c:pt idx="3">
                  <c:v>5.16</c:v>
                </c:pt>
                <c:pt idx="4">
                  <c:v>5.49</c:v>
                </c:pt>
                <c:pt idx="5">
                  <c:v>6</c:v>
                </c:pt>
                <c:pt idx="6">
                  <c:v>5.9</c:v>
                </c:pt>
                <c:pt idx="7">
                  <c:v>5.17</c:v>
                </c:pt>
                <c:pt idx="8">
                  <c:v>5.8</c:v>
                </c:pt>
                <c:pt idx="9">
                  <c:v>6.13</c:v>
                </c:pt>
                <c:pt idx="10">
                  <c:v>7.39</c:v>
                </c:pt>
                <c:pt idx="11">
                  <c:v>6.48</c:v>
                </c:pt>
                <c:pt idx="12">
                  <c:v>5.37</c:v>
                </c:pt>
                <c:pt idx="13">
                  <c:v>4.8600000000000003</c:v>
                </c:pt>
                <c:pt idx="14">
                  <c:v>5.24</c:v>
                </c:pt>
                <c:pt idx="15">
                  <c:v>5.69</c:v>
                </c:pt>
                <c:pt idx="16">
                  <c:v>6.1</c:v>
                </c:pt>
                <c:pt idx="17">
                  <c:v>5.39</c:v>
                </c:pt>
                <c:pt idx="18">
                  <c:v>5.77</c:v>
                </c:pt>
                <c:pt idx="19">
                  <c:v>5.82</c:v>
                </c:pt>
                <c:pt idx="20">
                  <c:v>5.88</c:v>
                </c:pt>
                <c:pt idx="21">
                  <c:v>6.8</c:v>
                </c:pt>
                <c:pt idx="22">
                  <c:v>6.48</c:v>
                </c:pt>
                <c:pt idx="23">
                  <c:v>6.6</c:v>
                </c:pt>
                <c:pt idx="24">
                  <c:v>6.74</c:v>
                </c:pt>
                <c:pt idx="25">
                  <c:v>7.46</c:v>
                </c:pt>
                <c:pt idx="26">
                  <c:v>7.05</c:v>
                </c:pt>
                <c:pt idx="27">
                  <c:v>7.91</c:v>
                </c:pt>
                <c:pt idx="28">
                  <c:v>8.4</c:v>
                </c:pt>
                <c:pt idx="29">
                  <c:v>9.32</c:v>
                </c:pt>
                <c:pt idx="30">
                  <c:v>10.01</c:v>
                </c:pt>
                <c:pt idx="31">
                  <c:v>8.44</c:v>
                </c:pt>
                <c:pt idx="32">
                  <c:v>7.5</c:v>
                </c:pt>
                <c:pt idx="33">
                  <c:v>8.35</c:v>
                </c:pt>
                <c:pt idx="34">
                  <c:v>8.56</c:v>
                </c:pt>
                <c:pt idx="35">
                  <c:v>9.6999999999999993</c:v>
                </c:pt>
                <c:pt idx="36">
                  <c:v>9.94</c:v>
                </c:pt>
                <c:pt idx="37">
                  <c:v>9.36</c:v>
                </c:pt>
                <c:pt idx="38">
                  <c:v>10.73</c:v>
                </c:pt>
                <c:pt idx="39">
                  <c:v>10.94</c:v>
                </c:pt>
                <c:pt idx="40">
                  <c:v>12.07</c:v>
                </c:pt>
                <c:pt idx="41">
                  <c:v>14.22</c:v>
                </c:pt>
                <c:pt idx="42">
                  <c:v>15.64</c:v>
                </c:pt>
                <c:pt idx="43">
                  <c:v>11.3</c:v>
                </c:pt>
                <c:pt idx="44">
                  <c:v>11.62</c:v>
                </c:pt>
                <c:pt idx="45">
                  <c:v>12.06</c:v>
                </c:pt>
                <c:pt idx="46">
                  <c:v>11.85</c:v>
                </c:pt>
                <c:pt idx="47">
                  <c:v>12.44</c:v>
                </c:pt>
                <c:pt idx="48">
                  <c:v>13.24</c:v>
                </c:pt>
                <c:pt idx="49">
                  <c:v>12.64</c:v>
                </c:pt>
                <c:pt idx="50">
                  <c:v>12.95</c:v>
                </c:pt>
                <c:pt idx="51">
                  <c:v>13.49</c:v>
                </c:pt>
                <c:pt idx="52">
                  <c:v>13.29</c:v>
                </c:pt>
                <c:pt idx="53">
                  <c:v>11.74</c:v>
                </c:pt>
                <c:pt idx="54">
                  <c:v>11.59</c:v>
                </c:pt>
                <c:pt idx="55">
                  <c:v>11.1</c:v>
                </c:pt>
                <c:pt idx="56">
                  <c:v>11.18</c:v>
                </c:pt>
                <c:pt idx="57">
                  <c:v>10.54</c:v>
                </c:pt>
                <c:pt idx="58">
                  <c:v>10.76</c:v>
                </c:pt>
                <c:pt idx="59">
                  <c:v>11.34</c:v>
                </c:pt>
                <c:pt idx="60">
                  <c:v>12.22</c:v>
                </c:pt>
                <c:pt idx="61">
                  <c:v>12.31</c:v>
                </c:pt>
                <c:pt idx="62">
                  <c:v>12.61</c:v>
                </c:pt>
                <c:pt idx="63">
                  <c:v>12.36</c:v>
                </c:pt>
                <c:pt idx="64">
                  <c:v>12.25</c:v>
                </c:pt>
                <c:pt idx="65">
                  <c:v>12.77</c:v>
                </c:pt>
                <c:pt idx="66">
                  <c:v>12.83</c:v>
                </c:pt>
                <c:pt idx="67">
                  <c:v>14.48</c:v>
                </c:pt>
                <c:pt idx="68">
                  <c:v>14.3</c:v>
                </c:pt>
                <c:pt idx="69">
                  <c:v>14.08</c:v>
                </c:pt>
                <c:pt idx="70">
                  <c:v>14.7</c:v>
                </c:pt>
                <c:pt idx="71">
                  <c:v>16.02</c:v>
                </c:pt>
                <c:pt idx="72">
                  <c:v>17.010000000000002</c:v>
                </c:pt>
                <c:pt idx="73">
                  <c:v>18.89</c:v>
                </c:pt>
                <c:pt idx="74">
                  <c:v>19.940000000000001</c:v>
                </c:pt>
                <c:pt idx="75">
                  <c:v>19.829999999999998</c:v>
                </c:pt>
                <c:pt idx="76">
                  <c:v>17.41</c:v>
                </c:pt>
                <c:pt idx="77">
                  <c:v>19.16</c:v>
                </c:pt>
                <c:pt idx="78">
                  <c:v>14.96</c:v>
                </c:pt>
                <c:pt idx="79">
                  <c:v>13.01</c:v>
                </c:pt>
                <c:pt idx="80">
                  <c:v>9.6300000000000008</c:v>
                </c:pt>
                <c:pt idx="81">
                  <c:v>10.23</c:v>
                </c:pt>
                <c:pt idx="82">
                  <c:v>8.65</c:v>
                </c:pt>
                <c:pt idx="83">
                  <c:v>8.6</c:v>
                </c:pt>
                <c:pt idx="84">
                  <c:v>9.1300000000000008</c:v>
                </c:pt>
                <c:pt idx="85">
                  <c:v>9.59</c:v>
                </c:pt>
                <c:pt idx="86">
                  <c:v>11.53</c:v>
                </c:pt>
                <c:pt idx="87">
                  <c:v>10.88</c:v>
                </c:pt>
                <c:pt idx="88">
                  <c:v>11.44</c:v>
                </c:pt>
                <c:pt idx="89">
                  <c:v>10.32</c:v>
                </c:pt>
                <c:pt idx="90">
                  <c:v>10.95</c:v>
                </c:pt>
                <c:pt idx="91">
                  <c:v>11.21</c:v>
                </c:pt>
                <c:pt idx="92">
                  <c:v>11.38</c:v>
                </c:pt>
                <c:pt idx="93">
                  <c:v>11.77</c:v>
                </c:pt>
                <c:pt idx="94">
                  <c:v>11.77</c:v>
                </c:pt>
                <c:pt idx="95">
                  <c:v>12.47</c:v>
                </c:pt>
                <c:pt idx="96">
                  <c:v>13.27</c:v>
                </c:pt>
                <c:pt idx="97">
                  <c:v>12.93</c:v>
                </c:pt>
                <c:pt idx="98">
                  <c:v>13.33</c:v>
                </c:pt>
                <c:pt idx="99">
                  <c:v>12.69</c:v>
                </c:pt>
                <c:pt idx="100">
                  <c:v>12.82</c:v>
                </c:pt>
                <c:pt idx="101">
                  <c:v>12.81</c:v>
                </c:pt>
                <c:pt idx="102">
                  <c:v>13.12</c:v>
                </c:pt>
                <c:pt idx="103">
                  <c:v>13.8</c:v>
                </c:pt>
                <c:pt idx="104">
                  <c:v>14.68</c:v>
                </c:pt>
                <c:pt idx="105">
                  <c:v>15.33</c:v>
                </c:pt>
                <c:pt idx="106">
                  <c:v>16.28</c:v>
                </c:pt>
                <c:pt idx="107">
                  <c:v>17.48</c:v>
                </c:pt>
                <c:pt idx="108">
                  <c:v>17.670000000000002</c:v>
                </c:pt>
                <c:pt idx="109">
                  <c:v>16.82</c:v>
                </c:pt>
                <c:pt idx="110">
                  <c:v>16.59</c:v>
                </c:pt>
                <c:pt idx="111">
                  <c:v>17.12</c:v>
                </c:pt>
                <c:pt idx="112">
                  <c:v>16.329999999999998</c:v>
                </c:pt>
                <c:pt idx="113">
                  <c:v>16.57</c:v>
                </c:pt>
                <c:pt idx="114">
                  <c:v>16.760000000000002</c:v>
                </c:pt>
                <c:pt idx="115">
                  <c:v>17.46</c:v>
                </c:pt>
                <c:pt idx="116">
                  <c:v>16.89</c:v>
                </c:pt>
                <c:pt idx="117">
                  <c:v>18.34</c:v>
                </c:pt>
                <c:pt idx="118">
                  <c:v>18.329999999999998</c:v>
                </c:pt>
                <c:pt idx="119">
                  <c:v>18.579999999999998</c:v>
                </c:pt>
                <c:pt idx="120">
                  <c:v>18.54</c:v>
                </c:pt>
                <c:pt idx="121">
                  <c:v>17.55</c:v>
                </c:pt>
                <c:pt idx="122">
                  <c:v>16.12</c:v>
                </c:pt>
                <c:pt idx="123">
                  <c:v>17.559999999999999</c:v>
                </c:pt>
                <c:pt idx="124">
                  <c:v>18.64</c:v>
                </c:pt>
                <c:pt idx="125">
                  <c:v>18.350000000000001</c:v>
                </c:pt>
                <c:pt idx="126">
                  <c:v>17.75</c:v>
                </c:pt>
                <c:pt idx="127">
                  <c:v>16.95</c:v>
                </c:pt>
                <c:pt idx="128">
                  <c:v>16.48</c:v>
                </c:pt>
                <c:pt idx="129">
                  <c:v>17.170000000000002</c:v>
                </c:pt>
                <c:pt idx="130">
                  <c:v>17.86</c:v>
                </c:pt>
                <c:pt idx="131">
                  <c:v>17.14</c:v>
                </c:pt>
                <c:pt idx="132">
                  <c:v>16.260000000000002</c:v>
                </c:pt>
                <c:pt idx="133">
                  <c:v>15.87</c:v>
                </c:pt>
                <c:pt idx="134">
                  <c:v>16.25</c:v>
                </c:pt>
                <c:pt idx="135">
                  <c:v>17.41</c:v>
                </c:pt>
                <c:pt idx="136">
                  <c:v>17.91</c:v>
                </c:pt>
                <c:pt idx="137">
                  <c:v>17.510000000000002</c:v>
                </c:pt>
                <c:pt idx="138">
                  <c:v>17.18</c:v>
                </c:pt>
                <c:pt idx="139">
                  <c:v>17.2</c:v>
                </c:pt>
                <c:pt idx="140">
                  <c:v>18.14</c:v>
                </c:pt>
                <c:pt idx="141">
                  <c:v>18.010000000000002</c:v>
                </c:pt>
                <c:pt idx="142">
                  <c:v>18.18</c:v>
                </c:pt>
                <c:pt idx="143">
                  <c:v>17.34</c:v>
                </c:pt>
                <c:pt idx="144">
                  <c:v>17.25</c:v>
                </c:pt>
                <c:pt idx="145">
                  <c:v>17.02</c:v>
                </c:pt>
                <c:pt idx="146">
                  <c:v>17.41</c:v>
                </c:pt>
                <c:pt idx="147">
                  <c:v>17.45</c:v>
                </c:pt>
                <c:pt idx="148">
                  <c:v>17.59</c:v>
                </c:pt>
                <c:pt idx="149">
                  <c:v>17.32</c:v>
                </c:pt>
                <c:pt idx="150">
                  <c:v>16.149999999999999</c:v>
                </c:pt>
                <c:pt idx="151">
                  <c:v>15.61</c:v>
                </c:pt>
                <c:pt idx="152">
                  <c:v>13.1</c:v>
                </c:pt>
                <c:pt idx="153">
                  <c:v>11.52</c:v>
                </c:pt>
                <c:pt idx="154">
                  <c:v>13.42</c:v>
                </c:pt>
                <c:pt idx="155">
                  <c:v>13</c:v>
                </c:pt>
                <c:pt idx="156">
                  <c:v>13.43</c:v>
                </c:pt>
                <c:pt idx="157">
                  <c:v>13.96</c:v>
                </c:pt>
                <c:pt idx="158">
                  <c:v>13.52</c:v>
                </c:pt>
                <c:pt idx="159">
                  <c:v>12.6</c:v>
                </c:pt>
                <c:pt idx="160">
                  <c:v>11.45</c:v>
                </c:pt>
                <c:pt idx="161">
                  <c:v>11.56</c:v>
                </c:pt>
                <c:pt idx="162">
                  <c:v>11.52</c:v>
                </c:pt>
                <c:pt idx="163">
                  <c:v>11.43</c:v>
                </c:pt>
                <c:pt idx="164">
                  <c:v>9.41</c:v>
                </c:pt>
                <c:pt idx="165">
                  <c:v>8.2100000000000009</c:v>
                </c:pt>
                <c:pt idx="166">
                  <c:v>8.39</c:v>
                </c:pt>
                <c:pt idx="167">
                  <c:v>9.09</c:v>
                </c:pt>
                <c:pt idx="168">
                  <c:v>9.43</c:v>
                </c:pt>
                <c:pt idx="169">
                  <c:v>10.69</c:v>
                </c:pt>
                <c:pt idx="170">
                  <c:v>11.48</c:v>
                </c:pt>
                <c:pt idx="171">
                  <c:v>10.78</c:v>
                </c:pt>
                <c:pt idx="172">
                  <c:v>10.75</c:v>
                </c:pt>
                <c:pt idx="173">
                  <c:v>10.82</c:v>
                </c:pt>
                <c:pt idx="174">
                  <c:v>11.89</c:v>
                </c:pt>
                <c:pt idx="175">
                  <c:v>11.38</c:v>
                </c:pt>
                <c:pt idx="176">
                  <c:v>12.77</c:v>
                </c:pt>
                <c:pt idx="177">
                  <c:v>12.85</c:v>
                </c:pt>
                <c:pt idx="178">
                  <c:v>12.87</c:v>
                </c:pt>
                <c:pt idx="179">
                  <c:v>12.28</c:v>
                </c:pt>
                <c:pt idx="180">
                  <c:v>12.96</c:v>
                </c:pt>
                <c:pt idx="181">
                  <c:v>12.03</c:v>
                </c:pt>
                <c:pt idx="182">
                  <c:v>10.96</c:v>
                </c:pt>
                <c:pt idx="183">
                  <c:v>11.56</c:v>
                </c:pt>
                <c:pt idx="184">
                  <c:v>12.33</c:v>
                </c:pt>
                <c:pt idx="185">
                  <c:v>14.09</c:v>
                </c:pt>
                <c:pt idx="186">
                  <c:v>13.25</c:v>
                </c:pt>
                <c:pt idx="187">
                  <c:v>14.42</c:v>
                </c:pt>
                <c:pt idx="188">
                  <c:v>15.11</c:v>
                </c:pt>
                <c:pt idx="189">
                  <c:v>15.46</c:v>
                </c:pt>
                <c:pt idx="190">
                  <c:v>14.49</c:v>
                </c:pt>
                <c:pt idx="191">
                  <c:v>14.43</c:v>
                </c:pt>
                <c:pt idx="192">
                  <c:v>15.79</c:v>
                </c:pt>
                <c:pt idx="193">
                  <c:v>17.45</c:v>
                </c:pt>
                <c:pt idx="194">
                  <c:v>16.96</c:v>
                </c:pt>
                <c:pt idx="195">
                  <c:v>17.05</c:v>
                </c:pt>
                <c:pt idx="196">
                  <c:v>17.64</c:v>
                </c:pt>
                <c:pt idx="197">
                  <c:v>18.05</c:v>
                </c:pt>
                <c:pt idx="198">
                  <c:v>18.559999999999999</c:v>
                </c:pt>
                <c:pt idx="199">
                  <c:v>16.46</c:v>
                </c:pt>
                <c:pt idx="200">
                  <c:v>14.6</c:v>
                </c:pt>
                <c:pt idx="201">
                  <c:v>15.25</c:v>
                </c:pt>
                <c:pt idx="202">
                  <c:v>16.43</c:v>
                </c:pt>
                <c:pt idx="203">
                  <c:v>16.350000000000001</c:v>
                </c:pt>
                <c:pt idx="204">
                  <c:v>16.93</c:v>
                </c:pt>
                <c:pt idx="205">
                  <c:v>17.239999999999998</c:v>
                </c:pt>
                <c:pt idx="206">
                  <c:v>15.68</c:v>
                </c:pt>
                <c:pt idx="207">
                  <c:v>16.47</c:v>
                </c:pt>
                <c:pt idx="208">
                  <c:v>16.14</c:v>
                </c:pt>
                <c:pt idx="209">
                  <c:v>16.91</c:v>
                </c:pt>
                <c:pt idx="210">
                  <c:v>17.03</c:v>
                </c:pt>
                <c:pt idx="211">
                  <c:v>16.68</c:v>
                </c:pt>
                <c:pt idx="212">
                  <c:v>17.14</c:v>
                </c:pt>
                <c:pt idx="213">
                  <c:v>15.91</c:v>
                </c:pt>
                <c:pt idx="214">
                  <c:v>14.02</c:v>
                </c:pt>
                <c:pt idx="215">
                  <c:v>9.74</c:v>
                </c:pt>
                <c:pt idx="216">
                  <c:v>6.33</c:v>
                </c:pt>
                <c:pt idx="217">
                  <c:v>6.92</c:v>
                </c:pt>
                <c:pt idx="218">
                  <c:v>9.3699999999999992</c:v>
                </c:pt>
                <c:pt idx="219">
                  <c:v>10.050000000000001</c:v>
                </c:pt>
                <c:pt idx="220">
                  <c:v>9.9499999999999993</c:v>
                </c:pt>
                <c:pt idx="221">
                  <c:v>9.2200000000000006</c:v>
                </c:pt>
                <c:pt idx="222">
                  <c:v>9.7200000000000006</c:v>
                </c:pt>
                <c:pt idx="223">
                  <c:v>10.31</c:v>
                </c:pt>
                <c:pt idx="224">
                  <c:v>11.58</c:v>
                </c:pt>
                <c:pt idx="225">
                  <c:v>12.09</c:v>
                </c:pt>
                <c:pt idx="226">
                  <c:v>13.6</c:v>
                </c:pt>
                <c:pt idx="227">
                  <c:v>14.16</c:v>
                </c:pt>
                <c:pt idx="228">
                  <c:v>13.97</c:v>
                </c:pt>
                <c:pt idx="229">
                  <c:v>14.53</c:v>
                </c:pt>
                <c:pt idx="230">
                  <c:v>15.64</c:v>
                </c:pt>
                <c:pt idx="231">
                  <c:v>16.600000000000001</c:v>
                </c:pt>
                <c:pt idx="232">
                  <c:v>16.09</c:v>
                </c:pt>
                <c:pt idx="233">
                  <c:v>17.329999999999998</c:v>
                </c:pt>
                <c:pt idx="234">
                  <c:v>19.43</c:v>
                </c:pt>
                <c:pt idx="235">
                  <c:v>19.100000000000001</c:v>
                </c:pt>
                <c:pt idx="236">
                  <c:v>18.87</c:v>
                </c:pt>
                <c:pt idx="237">
                  <c:v>21.65</c:v>
                </c:pt>
                <c:pt idx="238">
                  <c:v>23.78</c:v>
                </c:pt>
                <c:pt idx="239">
                  <c:v>30.97</c:v>
                </c:pt>
                <c:pt idx="240">
                  <c:v>34.880000000000003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F2-478E-86EF-6EE71FD51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414392"/>
        <c:axId val="609419640"/>
      </c:scatterChart>
      <c:valAx>
        <c:axId val="609414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419640"/>
        <c:crosses val="autoZero"/>
        <c:crossBetween val="midCat"/>
      </c:valAx>
      <c:valAx>
        <c:axId val="6094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414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119529</xdr:colOff>
      <xdr:row>7</xdr:row>
      <xdr:rowOff>67234</xdr:rowOff>
    </xdr:from>
    <xdr:to>
      <xdr:col>3</xdr:col>
      <xdr:colOff>776940</xdr:colOff>
      <xdr:row>27</xdr:row>
      <xdr:rowOff>37352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845CB6-31A0-4718-92A4-4BF230721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6</xdr:row>
      <xdr:rowOff>138112</xdr:rowOff>
    </xdr:from>
    <xdr:to>
      <xdr:col>12</xdr:col>
      <xdr:colOff>571500</xdr:colOff>
      <xdr:row>26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76009A-7BDE-4FAB-95B6-8068FDCEE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ndexmundi.com/commodities/?commodity=jet-fuel&amp;months=240&amp;currency=no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53E88-786C-4C75-AC0D-8E4B87F1514B}">
  <dimension ref="A1:AJ984"/>
  <sheetViews>
    <sheetView tabSelected="1" zoomScale="90" zoomScaleNormal="90" workbookViewId="0"/>
  </sheetViews>
  <sheetFormatPr defaultColWidth="14.44140625" defaultRowHeight="15" customHeight="1"/>
  <cols>
    <col min="1" max="1" width="34.33203125" style="49" customWidth="1"/>
    <col min="2" max="35" width="11.88671875" style="49" customWidth="1"/>
    <col min="36" max="16384" width="14.44140625" style="49"/>
  </cols>
  <sheetData>
    <row r="1" spans="1:8" ht="24" customHeight="1">
      <c r="A1" s="76" t="s">
        <v>97</v>
      </c>
      <c r="H1" s="78"/>
    </row>
    <row r="2" spans="1:8" ht="14.25" customHeight="1">
      <c r="B2" s="78"/>
      <c r="C2" s="78"/>
      <c r="D2" s="78"/>
      <c r="E2" s="79"/>
    </row>
    <row r="3" spans="1:8" ht="14.25" customHeight="1">
      <c r="A3" s="77" t="s">
        <v>98</v>
      </c>
      <c r="B3" s="83"/>
    </row>
    <row r="4" spans="1:8" ht="14.25" customHeight="1">
      <c r="A4" s="50" t="s">
        <v>12</v>
      </c>
      <c r="B4" s="84">
        <f>Flytider!N10</f>
        <v>24747.016</v>
      </c>
    </row>
    <row r="5" spans="1:8" ht="14.25" customHeight="1">
      <c r="A5" s="50" t="s">
        <v>13</v>
      </c>
      <c r="B5" s="84">
        <f>Flytider!P10</f>
        <v>33777.843749999993</v>
      </c>
    </row>
    <row r="6" spans="1:8" ht="14.25" customHeight="1">
      <c r="B6" s="83"/>
    </row>
    <row r="7" spans="1:8" ht="26.55" customHeight="1">
      <c r="A7" s="1" t="s">
        <v>2</v>
      </c>
      <c r="B7" s="83"/>
      <c r="C7" s="78" t="s">
        <v>3</v>
      </c>
      <c r="D7" s="78" t="s">
        <v>1</v>
      </c>
      <c r="E7" s="78" t="s">
        <v>0</v>
      </c>
      <c r="F7" s="80"/>
    </row>
    <row r="8" spans="1:8" ht="14.25" customHeight="1">
      <c r="A8" s="50" t="s">
        <v>4</v>
      </c>
      <c r="B8" s="84">
        <f>E8*D8*C8</f>
        <v>54180</v>
      </c>
      <c r="C8" s="87">
        <f>Eggemoen!F22</f>
        <v>60.2</v>
      </c>
      <c r="D8" s="87">
        <v>4</v>
      </c>
      <c r="E8" s="87">
        <f>450/2</f>
        <v>225</v>
      </c>
    </row>
    <row r="9" spans="1:8" ht="14.25" customHeight="1">
      <c r="A9" s="5"/>
      <c r="B9" s="85"/>
    </row>
    <row r="10" spans="1:8" ht="14.25" customHeight="1">
      <c r="A10" s="81" t="s">
        <v>5</v>
      </c>
      <c r="B10" s="85"/>
      <c r="C10" s="50"/>
    </row>
    <row r="11" spans="1:8" ht="14.25" customHeight="1">
      <c r="A11" s="38" t="s">
        <v>84</v>
      </c>
      <c r="B11" s="84">
        <v>-200000</v>
      </c>
    </row>
    <row r="12" spans="1:8" ht="14.25" customHeight="1">
      <c r="A12" s="5" t="s">
        <v>83</v>
      </c>
      <c r="B12" s="84">
        <v>-2766000</v>
      </c>
    </row>
    <row r="13" spans="1:8" ht="14.25" customHeight="1">
      <c r="A13" s="81" t="s">
        <v>99</v>
      </c>
      <c r="B13" s="86">
        <f>SUM(B9:B12)</f>
        <v>-2966000</v>
      </c>
    </row>
    <row r="14" spans="1:8" ht="14.25" customHeight="1">
      <c r="B14" s="84"/>
    </row>
    <row r="15" spans="1:8" ht="14.25" customHeight="1">
      <c r="A15" s="82" t="s">
        <v>100</v>
      </c>
      <c r="B15" s="84"/>
    </row>
    <row r="16" spans="1:8" ht="14.25" customHeight="1">
      <c r="A16" s="50" t="s">
        <v>6</v>
      </c>
      <c r="B16" s="84"/>
    </row>
    <row r="17" spans="1:36" ht="14.25" customHeight="1">
      <c r="A17" s="5" t="s">
        <v>14</v>
      </c>
      <c r="B17" s="84">
        <f>-(52*15/60+1)*C17</f>
        <v>-5188.2352941176468</v>
      </c>
      <c r="C17" s="6">
        <f>(450000)*1.4/1700</f>
        <v>370.58823529411762</v>
      </c>
      <c r="D17" s="34" t="s">
        <v>118</v>
      </c>
    </row>
    <row r="18" spans="1:36" ht="14.25" customHeight="1">
      <c r="A18" s="5" t="s">
        <v>15</v>
      </c>
      <c r="B18" s="84">
        <v>-187000</v>
      </c>
      <c r="D18" s="34" t="s">
        <v>117</v>
      </c>
    </row>
    <row r="19" spans="1:36" ht="14.25" customHeight="1">
      <c r="A19" s="50" t="s">
        <v>16</v>
      </c>
      <c r="B19" s="84">
        <f>-500*20</f>
        <v>-10000</v>
      </c>
      <c r="D19" s="34" t="s">
        <v>119</v>
      </c>
    </row>
    <row r="20" spans="1:36" ht="14.25" customHeight="1">
      <c r="A20" s="50" t="s">
        <v>17</v>
      </c>
      <c r="B20" s="84">
        <v>-70000</v>
      </c>
      <c r="D20" s="34" t="s">
        <v>117</v>
      </c>
    </row>
    <row r="21" spans="1:36" ht="14.25" customHeight="1">
      <c r="A21" s="50"/>
      <c r="B21" s="3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36" ht="14.25" customHeight="1">
      <c r="A22" s="1" t="s">
        <v>25</v>
      </c>
    </row>
    <row r="23" spans="1:36" ht="14.25" customHeight="1">
      <c r="A23" s="50" t="s">
        <v>26</v>
      </c>
      <c r="B23" s="50">
        <v>1.04</v>
      </c>
      <c r="C23" s="34" t="s">
        <v>120</v>
      </c>
    </row>
    <row r="24" spans="1:36" ht="14.25" customHeight="1">
      <c r="A24" s="1" t="s">
        <v>27</v>
      </c>
      <c r="B24" s="50"/>
      <c r="C24" s="50"/>
    </row>
    <row r="25" spans="1:36" ht="14.25" customHeight="1">
      <c r="A25" s="38" t="s">
        <v>101</v>
      </c>
      <c r="B25" s="37">
        <f>34000000*1.009</f>
        <v>34306000</v>
      </c>
      <c r="C25" s="9">
        <f>B25*1.009</f>
        <v>34614754</v>
      </c>
      <c r="D25" s="9">
        <f t="shared" ref="D25:AI25" si="0">C25*1.009</f>
        <v>34926286.785999998</v>
      </c>
      <c r="E25" s="9">
        <f t="shared" si="0"/>
        <v>35240623.367073998</v>
      </c>
      <c r="F25" s="9">
        <f t="shared" si="0"/>
        <v>35557788.977377661</v>
      </c>
      <c r="G25" s="9">
        <f t="shared" si="0"/>
        <v>35877809.078174055</v>
      </c>
      <c r="H25" s="9">
        <f t="shared" si="0"/>
        <v>36200709.359877616</v>
      </c>
      <c r="I25" s="9">
        <f t="shared" si="0"/>
        <v>36526515.744116507</v>
      </c>
      <c r="J25" s="9">
        <f t="shared" si="0"/>
        <v>36855254.385813549</v>
      </c>
      <c r="K25" s="9">
        <f t="shared" si="0"/>
        <v>37186951.675285868</v>
      </c>
      <c r="L25" s="9">
        <f t="shared" si="0"/>
        <v>37521634.240363434</v>
      </c>
      <c r="M25" s="9">
        <f t="shared" si="0"/>
        <v>37859328.948526703</v>
      </c>
      <c r="N25" s="9">
        <f t="shared" si="0"/>
        <v>38200062.909063436</v>
      </c>
      <c r="O25" s="9">
        <f t="shared" si="0"/>
        <v>38543863.475245006</v>
      </c>
      <c r="P25" s="9">
        <f t="shared" si="0"/>
        <v>38890758.246522211</v>
      </c>
      <c r="Q25" s="9">
        <f t="shared" si="0"/>
        <v>39240775.070740908</v>
      </c>
      <c r="R25" s="9">
        <f t="shared" si="0"/>
        <v>39593942.046377569</v>
      </c>
      <c r="S25" s="9">
        <f t="shared" si="0"/>
        <v>39950287.524794966</v>
      </c>
      <c r="T25" s="9">
        <f t="shared" si="0"/>
        <v>40309840.112518117</v>
      </c>
      <c r="U25" s="9">
        <f t="shared" si="0"/>
        <v>40672628.673530772</v>
      </c>
      <c r="V25" s="9">
        <f t="shared" si="0"/>
        <v>41038682.331592545</v>
      </c>
      <c r="W25" s="9">
        <f t="shared" si="0"/>
        <v>41408030.472576872</v>
      </c>
      <c r="X25" s="9">
        <f t="shared" si="0"/>
        <v>41780702.746830061</v>
      </c>
      <c r="Y25" s="9">
        <f t="shared" si="0"/>
        <v>42156729.071551524</v>
      </c>
      <c r="Z25" s="9">
        <f t="shared" si="0"/>
        <v>42536139.633195482</v>
      </c>
      <c r="AA25" s="9">
        <f t="shared" si="0"/>
        <v>42918964.88989424</v>
      </c>
      <c r="AB25" s="9">
        <f t="shared" si="0"/>
        <v>43305235.573903285</v>
      </c>
      <c r="AC25" s="9">
        <f t="shared" si="0"/>
        <v>43694982.69406841</v>
      </c>
      <c r="AD25" s="9">
        <f t="shared" si="0"/>
        <v>44088237.538315021</v>
      </c>
      <c r="AE25" s="9">
        <f t="shared" si="0"/>
        <v>44485031.676159851</v>
      </c>
      <c r="AF25" s="9">
        <f t="shared" si="0"/>
        <v>44885396.961245283</v>
      </c>
      <c r="AG25" s="9">
        <f t="shared" si="0"/>
        <v>45289365.533896483</v>
      </c>
      <c r="AH25" s="9">
        <f t="shared" si="0"/>
        <v>45696969.823701546</v>
      </c>
      <c r="AI25" s="9">
        <f t="shared" si="0"/>
        <v>46108242.552114852</v>
      </c>
    </row>
    <row r="26" spans="1:36" ht="14.25" customHeight="1">
      <c r="A26" s="96" t="s">
        <v>112</v>
      </c>
      <c r="B26" s="10">
        <v>37</v>
      </c>
    </row>
    <row r="27" spans="1:36" ht="14.25" customHeight="1">
      <c r="A27" s="38" t="s">
        <v>114</v>
      </c>
      <c r="C27" s="71">
        <f>(C30/C28)</f>
        <v>0.21043043121176835</v>
      </c>
      <c r="D27" s="71">
        <f>C27</f>
        <v>0.21043043121176835</v>
      </c>
      <c r="E27" s="71">
        <f t="shared" ref="E27:T27" si="1">D27</f>
        <v>0.21043043121176835</v>
      </c>
      <c r="F27" s="71">
        <f t="shared" si="1"/>
        <v>0.21043043121176835</v>
      </c>
      <c r="G27" s="71">
        <f t="shared" si="1"/>
        <v>0.21043043121176835</v>
      </c>
      <c r="H27" s="71">
        <f t="shared" si="1"/>
        <v>0.21043043121176835</v>
      </c>
      <c r="I27" s="71">
        <f t="shared" si="1"/>
        <v>0.21043043121176835</v>
      </c>
      <c r="J27" s="71">
        <f t="shared" si="1"/>
        <v>0.21043043121176835</v>
      </c>
      <c r="K27" s="71">
        <f t="shared" si="1"/>
        <v>0.21043043121176835</v>
      </c>
      <c r="L27" s="71">
        <f t="shared" si="1"/>
        <v>0.21043043121176835</v>
      </c>
      <c r="M27" s="71">
        <f t="shared" si="1"/>
        <v>0.21043043121176835</v>
      </c>
      <c r="N27" s="71">
        <f t="shared" si="1"/>
        <v>0.21043043121176835</v>
      </c>
      <c r="O27" s="71">
        <f t="shared" si="1"/>
        <v>0.21043043121176835</v>
      </c>
      <c r="P27" s="71">
        <f t="shared" si="1"/>
        <v>0.21043043121176835</v>
      </c>
      <c r="Q27" s="71">
        <f t="shared" si="1"/>
        <v>0.21043043121176835</v>
      </c>
      <c r="R27" s="71">
        <f t="shared" si="1"/>
        <v>0.21043043121176835</v>
      </c>
      <c r="S27" s="71">
        <f t="shared" si="1"/>
        <v>0.21043043121176835</v>
      </c>
      <c r="T27" s="71">
        <f t="shared" si="1"/>
        <v>0.21043043121176835</v>
      </c>
      <c r="U27" s="71">
        <f t="shared" ref="T27:AI30" si="2">T27</f>
        <v>0.21043043121176835</v>
      </c>
      <c r="V27" s="71">
        <f t="shared" si="2"/>
        <v>0.21043043121176835</v>
      </c>
      <c r="W27" s="71">
        <f t="shared" si="2"/>
        <v>0.21043043121176835</v>
      </c>
      <c r="X27" s="71">
        <f t="shared" si="2"/>
        <v>0.21043043121176835</v>
      </c>
      <c r="Y27" s="71">
        <f t="shared" si="2"/>
        <v>0.21043043121176835</v>
      </c>
      <c r="Z27" s="71">
        <f t="shared" si="2"/>
        <v>0.21043043121176835</v>
      </c>
      <c r="AA27" s="71">
        <f t="shared" si="2"/>
        <v>0.21043043121176835</v>
      </c>
      <c r="AB27" s="71">
        <f t="shared" si="2"/>
        <v>0.21043043121176835</v>
      </c>
      <c r="AC27" s="71">
        <f t="shared" si="2"/>
        <v>0.21043043121176835</v>
      </c>
      <c r="AD27" s="71">
        <f t="shared" si="2"/>
        <v>0.21043043121176835</v>
      </c>
      <c r="AE27" s="71">
        <f t="shared" si="2"/>
        <v>0.21043043121176835</v>
      </c>
      <c r="AF27" s="71">
        <f t="shared" si="2"/>
        <v>0.21043043121176835</v>
      </c>
      <c r="AG27" s="71">
        <f t="shared" si="2"/>
        <v>0.21043043121176835</v>
      </c>
      <c r="AH27" s="71">
        <f t="shared" si="2"/>
        <v>0.21043043121176835</v>
      </c>
      <c r="AI27" s="71">
        <f t="shared" si="2"/>
        <v>0.21043043121176835</v>
      </c>
    </row>
    <row r="28" spans="1:36" ht="14.25" customHeight="1">
      <c r="A28" s="38" t="s">
        <v>115</v>
      </c>
      <c r="C28" s="11">
        <v>1</v>
      </c>
      <c r="D28" s="10">
        <f t="shared" ref="D28:S30" si="3">C28</f>
        <v>1</v>
      </c>
      <c r="E28" s="10">
        <f t="shared" si="3"/>
        <v>1</v>
      </c>
      <c r="F28" s="10">
        <f t="shared" si="3"/>
        <v>1</v>
      </c>
      <c r="G28" s="10">
        <f t="shared" si="3"/>
        <v>1</v>
      </c>
      <c r="H28" s="10">
        <f t="shared" si="3"/>
        <v>1</v>
      </c>
      <c r="I28" s="10">
        <f t="shared" si="3"/>
        <v>1</v>
      </c>
      <c r="J28" s="10">
        <f t="shared" si="3"/>
        <v>1</v>
      </c>
      <c r="K28" s="10">
        <f t="shared" si="3"/>
        <v>1</v>
      </c>
      <c r="L28" s="10">
        <f t="shared" si="3"/>
        <v>1</v>
      </c>
      <c r="M28" s="10">
        <f t="shared" si="3"/>
        <v>1</v>
      </c>
      <c r="N28" s="10">
        <f t="shared" si="3"/>
        <v>1</v>
      </c>
      <c r="O28" s="10">
        <f t="shared" si="3"/>
        <v>1</v>
      </c>
      <c r="P28" s="10">
        <f t="shared" si="3"/>
        <v>1</v>
      </c>
      <c r="Q28" s="10">
        <f t="shared" si="3"/>
        <v>1</v>
      </c>
      <c r="R28" s="10">
        <f t="shared" si="3"/>
        <v>1</v>
      </c>
      <c r="S28" s="10">
        <f t="shared" si="3"/>
        <v>1</v>
      </c>
      <c r="T28" s="10">
        <f t="shared" si="2"/>
        <v>1</v>
      </c>
      <c r="U28" s="10">
        <f t="shared" si="2"/>
        <v>1</v>
      </c>
      <c r="V28" s="10">
        <f t="shared" si="2"/>
        <v>1</v>
      </c>
      <c r="W28" s="10">
        <f t="shared" si="2"/>
        <v>1</v>
      </c>
      <c r="X28" s="10">
        <f t="shared" si="2"/>
        <v>1</v>
      </c>
      <c r="Y28" s="10">
        <f t="shared" si="2"/>
        <v>1</v>
      </c>
      <c r="Z28" s="10">
        <f t="shared" si="2"/>
        <v>1</v>
      </c>
      <c r="AA28" s="10">
        <f t="shared" si="2"/>
        <v>1</v>
      </c>
      <c r="AB28" s="10">
        <f t="shared" si="2"/>
        <v>1</v>
      </c>
      <c r="AC28" s="10">
        <f t="shared" si="2"/>
        <v>1</v>
      </c>
      <c r="AD28" s="10">
        <f t="shared" si="2"/>
        <v>1</v>
      </c>
      <c r="AE28" s="10">
        <f t="shared" si="2"/>
        <v>1</v>
      </c>
      <c r="AF28" s="10">
        <f t="shared" si="2"/>
        <v>1</v>
      </c>
      <c r="AG28" s="10">
        <f t="shared" si="2"/>
        <v>1</v>
      </c>
      <c r="AH28" s="10">
        <f t="shared" si="2"/>
        <v>1</v>
      </c>
      <c r="AI28" s="10">
        <f t="shared" si="2"/>
        <v>1</v>
      </c>
    </row>
    <row r="29" spans="1:36" ht="14.25" customHeight="1">
      <c r="A29" s="97" t="s">
        <v>116</v>
      </c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51"/>
    </row>
    <row r="30" spans="1:36" ht="14.25" customHeight="1">
      <c r="A30" s="38" t="s">
        <v>113</v>
      </c>
      <c r="B30" s="31">
        <f>SUM(C30:AI30)</f>
        <v>6.944204229988352</v>
      </c>
      <c r="C30" s="71">
        <f>B52/33</f>
        <v>0.21043043121176835</v>
      </c>
      <c r="D30" s="71">
        <f>C30</f>
        <v>0.21043043121176835</v>
      </c>
      <c r="E30" s="71">
        <f t="shared" si="3"/>
        <v>0.21043043121176835</v>
      </c>
      <c r="F30" s="71">
        <f t="shared" si="3"/>
        <v>0.21043043121176835</v>
      </c>
      <c r="G30" s="71">
        <f t="shared" si="3"/>
        <v>0.21043043121176835</v>
      </c>
      <c r="H30" s="71">
        <f t="shared" si="3"/>
        <v>0.21043043121176835</v>
      </c>
      <c r="I30" s="71">
        <f t="shared" si="3"/>
        <v>0.21043043121176835</v>
      </c>
      <c r="J30" s="71">
        <f t="shared" si="3"/>
        <v>0.21043043121176835</v>
      </c>
      <c r="K30" s="71">
        <f t="shared" si="3"/>
        <v>0.21043043121176835</v>
      </c>
      <c r="L30" s="71">
        <f t="shared" si="3"/>
        <v>0.21043043121176835</v>
      </c>
      <c r="M30" s="71">
        <f t="shared" si="3"/>
        <v>0.21043043121176835</v>
      </c>
      <c r="N30" s="71">
        <f t="shared" si="3"/>
        <v>0.21043043121176835</v>
      </c>
      <c r="O30" s="71">
        <f t="shared" si="3"/>
        <v>0.21043043121176835</v>
      </c>
      <c r="P30" s="71">
        <f t="shared" si="3"/>
        <v>0.21043043121176835</v>
      </c>
      <c r="Q30" s="71">
        <f t="shared" si="3"/>
        <v>0.21043043121176835</v>
      </c>
      <c r="R30" s="71">
        <f t="shared" si="3"/>
        <v>0.21043043121176835</v>
      </c>
      <c r="S30" s="71">
        <f t="shared" si="3"/>
        <v>0.21043043121176835</v>
      </c>
      <c r="T30" s="71">
        <f t="shared" si="2"/>
        <v>0.21043043121176835</v>
      </c>
      <c r="U30" s="71">
        <f t="shared" si="2"/>
        <v>0.21043043121176835</v>
      </c>
      <c r="V30" s="71">
        <f t="shared" si="2"/>
        <v>0.21043043121176835</v>
      </c>
      <c r="W30" s="71">
        <f t="shared" si="2"/>
        <v>0.21043043121176835</v>
      </c>
      <c r="X30" s="71">
        <f t="shared" si="2"/>
        <v>0.21043043121176835</v>
      </c>
      <c r="Y30" s="71">
        <f t="shared" si="2"/>
        <v>0.21043043121176835</v>
      </c>
      <c r="Z30" s="71">
        <f t="shared" si="2"/>
        <v>0.21043043121176835</v>
      </c>
      <c r="AA30" s="71">
        <f t="shared" si="2"/>
        <v>0.21043043121176835</v>
      </c>
      <c r="AB30" s="71">
        <f t="shared" si="2"/>
        <v>0.21043043121176835</v>
      </c>
      <c r="AC30" s="71">
        <f t="shared" si="2"/>
        <v>0.21043043121176835</v>
      </c>
      <c r="AD30" s="71">
        <f t="shared" si="2"/>
        <v>0.21043043121176835</v>
      </c>
      <c r="AE30" s="71">
        <f t="shared" si="2"/>
        <v>0.21043043121176835</v>
      </c>
      <c r="AF30" s="71">
        <f t="shared" si="2"/>
        <v>0.21043043121176835</v>
      </c>
      <c r="AG30" s="71">
        <f t="shared" si="2"/>
        <v>0.21043043121176835</v>
      </c>
      <c r="AH30" s="71">
        <f t="shared" si="2"/>
        <v>0.21043043121176835</v>
      </c>
      <c r="AI30" s="71">
        <f t="shared" si="2"/>
        <v>0.21043043121176835</v>
      </c>
    </row>
    <row r="31" spans="1:36" ht="14.25" customHeight="1">
      <c r="A31" s="57" t="s">
        <v>94</v>
      </c>
      <c r="C31" s="3">
        <f t="shared" ref="C31:AI31" si="4">C25/$B$26*C30</f>
        <v>196864.80028403469</v>
      </c>
      <c r="D31" s="3">
        <f t="shared" si="4"/>
        <v>198636.583486591</v>
      </c>
      <c r="E31" s="3">
        <f t="shared" si="4"/>
        <v>200424.31273797032</v>
      </c>
      <c r="F31" s="3">
        <f t="shared" si="4"/>
        <v>202228.131552612</v>
      </c>
      <c r="G31" s="3">
        <f t="shared" si="4"/>
        <v>204048.18473658551</v>
      </c>
      <c r="H31" s="3">
        <f t="shared" si="4"/>
        <v>205884.61839921476</v>
      </c>
      <c r="I31" s="3">
        <f t="shared" si="4"/>
        <v>207737.57996480764</v>
      </c>
      <c r="J31" s="3">
        <f t="shared" si="4"/>
        <v>209607.21818449086</v>
      </c>
      <c r="K31" s="3">
        <f t="shared" si="4"/>
        <v>211493.68314815126</v>
      </c>
      <c r="L31" s="3">
        <f t="shared" si="4"/>
        <v>213397.12629648461</v>
      </c>
      <c r="M31" s="3">
        <f t="shared" si="4"/>
        <v>215317.70043315296</v>
      </c>
      <c r="N31" s="3">
        <f t="shared" si="4"/>
        <v>217255.55973705126</v>
      </c>
      <c r="O31" s="3">
        <f t="shared" si="4"/>
        <v>219210.85977468471</v>
      </c>
      <c r="P31" s="3">
        <f t="shared" si="4"/>
        <v>221183.75751265691</v>
      </c>
      <c r="Q31" s="3">
        <f t="shared" si="4"/>
        <v>223174.41133027078</v>
      </c>
      <c r="R31" s="3">
        <f t="shared" si="4"/>
        <v>225182.98103224317</v>
      </c>
      <c r="S31" s="3">
        <f t="shared" si="4"/>
        <v>227209.6278615334</v>
      </c>
      <c r="T31" s="3">
        <f t="shared" si="4"/>
        <v>229254.51451228713</v>
      </c>
      <c r="U31" s="3">
        <f t="shared" si="4"/>
        <v>231317.80514289768</v>
      </c>
      <c r="V31" s="3">
        <f t="shared" si="4"/>
        <v>233399.66538918373</v>
      </c>
      <c r="W31" s="3">
        <f t="shared" si="4"/>
        <v>235500.26237768636</v>
      </c>
      <c r="X31" s="3">
        <f t="shared" si="4"/>
        <v>237619.76473908551</v>
      </c>
      <c r="Y31" s="3">
        <f t="shared" si="4"/>
        <v>239758.34262173722</v>
      </c>
      <c r="Z31" s="3">
        <f t="shared" si="4"/>
        <v>241916.16770533286</v>
      </c>
      <c r="AA31" s="3">
        <f t="shared" si="4"/>
        <v>244093.41321468086</v>
      </c>
      <c r="AB31" s="3">
        <f t="shared" si="4"/>
        <v>246290.25393361296</v>
      </c>
      <c r="AC31" s="3">
        <f t="shared" si="4"/>
        <v>248506.86621901544</v>
      </c>
      <c r="AD31" s="3">
        <f t="shared" si="4"/>
        <v>250743.42801498657</v>
      </c>
      <c r="AE31" s="3">
        <f t="shared" si="4"/>
        <v>253000.1188671214</v>
      </c>
      <c r="AF31" s="3">
        <f t="shared" si="4"/>
        <v>255277.11993692548</v>
      </c>
      <c r="AG31" s="3">
        <f t="shared" si="4"/>
        <v>257574.61401635772</v>
      </c>
      <c r="AH31" s="3">
        <f t="shared" si="4"/>
        <v>259892.78554250492</v>
      </c>
      <c r="AI31" s="3">
        <f t="shared" si="4"/>
        <v>262231.82061238744</v>
      </c>
    </row>
    <row r="32" spans="1:36" s="55" customFormat="1" ht="14.25" customHeight="1">
      <c r="A32" s="58"/>
      <c r="B32" s="63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</row>
    <row r="33" spans="1:35" s="55" customFormat="1" ht="14.25" customHeight="1">
      <c r="A33" s="67" t="s">
        <v>8</v>
      </c>
      <c r="B33" s="55">
        <v>2022</v>
      </c>
      <c r="C33" s="55">
        <v>2023</v>
      </c>
      <c r="D33" s="55">
        <v>2024</v>
      </c>
      <c r="E33" s="55">
        <v>2025</v>
      </c>
      <c r="F33" s="55">
        <v>2026</v>
      </c>
      <c r="G33" s="55">
        <v>2027</v>
      </c>
      <c r="H33" s="55">
        <v>2028</v>
      </c>
      <c r="I33" s="55">
        <v>2029</v>
      </c>
      <c r="J33" s="55">
        <v>2030</v>
      </c>
      <c r="K33" s="55">
        <v>2031</v>
      </c>
      <c r="L33" s="55">
        <v>2032</v>
      </c>
      <c r="M33" s="55">
        <v>2033</v>
      </c>
      <c r="N33" s="55">
        <v>2034</v>
      </c>
      <c r="O33" s="55">
        <v>2035</v>
      </c>
      <c r="P33" s="55">
        <v>2036</v>
      </c>
      <c r="Q33" s="55">
        <v>2037</v>
      </c>
      <c r="R33" s="55">
        <v>2038</v>
      </c>
      <c r="S33" s="55">
        <v>2039</v>
      </c>
      <c r="T33" s="55">
        <v>2040</v>
      </c>
      <c r="U33" s="55">
        <v>2041</v>
      </c>
      <c r="V33" s="55">
        <v>2042</v>
      </c>
      <c r="W33" s="55">
        <v>2043</v>
      </c>
      <c r="X33" s="55">
        <v>2044</v>
      </c>
      <c r="Y33" s="55">
        <v>2045</v>
      </c>
      <c r="Z33" s="55">
        <v>2046</v>
      </c>
      <c r="AA33" s="55">
        <v>2047</v>
      </c>
      <c r="AB33" s="55">
        <v>2048</v>
      </c>
      <c r="AC33" s="55">
        <v>2049</v>
      </c>
      <c r="AD33" s="55">
        <v>2050</v>
      </c>
      <c r="AE33" s="55">
        <v>2051</v>
      </c>
      <c r="AF33" s="55">
        <v>2052</v>
      </c>
      <c r="AG33" s="55">
        <v>2053</v>
      </c>
      <c r="AH33" s="55">
        <v>2054</v>
      </c>
      <c r="AI33" s="55">
        <v>2055</v>
      </c>
    </row>
    <row r="34" spans="1:35" ht="14.25" customHeight="1">
      <c r="A34" s="4" t="s">
        <v>9</v>
      </c>
      <c r="B34" s="4">
        <v>0</v>
      </c>
      <c r="C34" s="4">
        <v>1</v>
      </c>
      <c r="D34" s="4">
        <v>2</v>
      </c>
      <c r="E34" s="4">
        <v>3</v>
      </c>
      <c r="F34" s="4">
        <v>4</v>
      </c>
      <c r="G34" s="4">
        <v>5</v>
      </c>
      <c r="H34" s="4">
        <v>6</v>
      </c>
      <c r="I34" s="4">
        <v>7</v>
      </c>
      <c r="J34" s="4">
        <v>8</v>
      </c>
      <c r="K34" s="4">
        <v>9</v>
      </c>
      <c r="L34" s="4">
        <v>10</v>
      </c>
      <c r="M34" s="4">
        <v>11</v>
      </c>
      <c r="N34" s="4">
        <v>12</v>
      </c>
      <c r="O34" s="4">
        <v>13</v>
      </c>
      <c r="P34" s="4">
        <v>14</v>
      </c>
      <c r="Q34" s="4">
        <v>15</v>
      </c>
      <c r="R34" s="4">
        <v>16</v>
      </c>
      <c r="S34" s="4">
        <v>17</v>
      </c>
      <c r="T34" s="4">
        <v>18</v>
      </c>
      <c r="U34" s="4">
        <v>19</v>
      </c>
      <c r="V34" s="4">
        <v>20</v>
      </c>
      <c r="W34" s="4">
        <v>21</v>
      </c>
      <c r="X34" s="4">
        <v>22</v>
      </c>
      <c r="Y34" s="4">
        <v>23</v>
      </c>
      <c r="Z34" s="4">
        <v>24</v>
      </c>
      <c r="AA34" s="4">
        <v>25</v>
      </c>
      <c r="AB34" s="4">
        <v>26</v>
      </c>
      <c r="AC34" s="4">
        <v>27</v>
      </c>
      <c r="AD34" s="4">
        <v>28</v>
      </c>
      <c r="AE34" s="4">
        <v>29</v>
      </c>
      <c r="AF34" s="4">
        <v>30</v>
      </c>
      <c r="AG34" s="4">
        <v>31</v>
      </c>
      <c r="AH34" s="4">
        <v>32</v>
      </c>
      <c r="AI34" s="4">
        <v>33</v>
      </c>
    </row>
    <row r="35" spans="1:35" s="55" customFormat="1" ht="14.25" customHeight="1">
      <c r="A35" s="53" t="s">
        <v>18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</row>
    <row r="36" spans="1:35" s="55" customFormat="1" ht="14.25" customHeight="1">
      <c r="A36" s="56" t="s">
        <v>19</v>
      </c>
      <c r="B36" s="59"/>
      <c r="C36" s="59">
        <f>B4</f>
        <v>24747.016</v>
      </c>
      <c r="D36" s="59">
        <f t="shared" ref="D36:AI36" si="5">C36*1.022</f>
        <v>25291.450352</v>
      </c>
      <c r="E36" s="59">
        <f t="shared" si="5"/>
        <v>25847.862259744001</v>
      </c>
      <c r="F36" s="59">
        <f t="shared" si="5"/>
        <v>26416.515229458368</v>
      </c>
      <c r="G36" s="59">
        <f t="shared" si="5"/>
        <v>26997.678564506452</v>
      </c>
      <c r="H36" s="59">
        <f t="shared" si="5"/>
        <v>27591.627492925596</v>
      </c>
      <c r="I36" s="59">
        <f t="shared" si="5"/>
        <v>28198.643297769959</v>
      </c>
      <c r="J36" s="59">
        <f t="shared" si="5"/>
        <v>28819.013450320897</v>
      </c>
      <c r="K36" s="59">
        <f t="shared" si="5"/>
        <v>29453.031746227956</v>
      </c>
      <c r="L36" s="59">
        <f t="shared" si="5"/>
        <v>30100.998444644971</v>
      </c>
      <c r="M36" s="59">
        <f t="shared" si="5"/>
        <v>30763.220410427162</v>
      </c>
      <c r="N36" s="59">
        <f t="shared" si="5"/>
        <v>31440.011259456562</v>
      </c>
      <c r="O36" s="59">
        <f t="shared" si="5"/>
        <v>32131.691507164607</v>
      </c>
      <c r="P36" s="59">
        <f t="shared" si="5"/>
        <v>32838.58872032223</v>
      </c>
      <c r="Q36" s="59">
        <f t="shared" si="5"/>
        <v>33561.037672169317</v>
      </c>
      <c r="R36" s="59">
        <f t="shared" si="5"/>
        <v>34299.380500957042</v>
      </c>
      <c r="S36" s="59">
        <f t="shared" si="5"/>
        <v>35053.966871978097</v>
      </c>
      <c r="T36" s="59">
        <f t="shared" si="5"/>
        <v>35825.154143161613</v>
      </c>
      <c r="U36" s="59">
        <f t="shared" si="5"/>
        <v>36613.30753431117</v>
      </c>
      <c r="V36" s="59">
        <f t="shared" si="5"/>
        <v>37418.800300066017</v>
      </c>
      <c r="W36" s="59">
        <f t="shared" si="5"/>
        <v>38242.013906667467</v>
      </c>
      <c r="X36" s="59">
        <f t="shared" si="5"/>
        <v>39083.338212614151</v>
      </c>
      <c r="Y36" s="59">
        <f t="shared" si="5"/>
        <v>39943.171653291662</v>
      </c>
      <c r="Z36" s="59">
        <f t="shared" si="5"/>
        <v>40821.921429664078</v>
      </c>
      <c r="AA36" s="59">
        <f t="shared" si="5"/>
        <v>41720.003701116686</v>
      </c>
      <c r="AB36" s="59">
        <f t="shared" si="5"/>
        <v>42637.843782541255</v>
      </c>
      <c r="AC36" s="59">
        <f t="shared" si="5"/>
        <v>43575.876345757162</v>
      </c>
      <c r="AD36" s="59">
        <f t="shared" si="5"/>
        <v>44534.545625363819</v>
      </c>
      <c r="AE36" s="59">
        <f t="shared" si="5"/>
        <v>45514.305629121824</v>
      </c>
      <c r="AF36" s="59">
        <f t="shared" si="5"/>
        <v>46515.620352962505</v>
      </c>
      <c r="AG36" s="59">
        <f t="shared" si="5"/>
        <v>47538.964000727683</v>
      </c>
      <c r="AH36" s="59">
        <f t="shared" si="5"/>
        <v>48584.821208743691</v>
      </c>
      <c r="AI36" s="59">
        <f t="shared" si="5"/>
        <v>49653.687275336051</v>
      </c>
    </row>
    <row r="37" spans="1:35" s="55" customFormat="1" ht="14.25" customHeight="1">
      <c r="A37" s="57" t="s">
        <v>93</v>
      </c>
      <c r="B37" s="59"/>
      <c r="C37" s="59">
        <f>B5</f>
        <v>33777.843749999993</v>
      </c>
      <c r="D37" s="59">
        <f t="shared" ref="D37:S38" si="6">C37*$B$23</f>
        <v>35128.957499999997</v>
      </c>
      <c r="E37" s="59">
        <f t="shared" si="6"/>
        <v>36534.1158</v>
      </c>
      <c r="F37" s="59">
        <f t="shared" si="6"/>
        <v>37995.480432000004</v>
      </c>
      <c r="G37" s="59">
        <f t="shared" si="6"/>
        <v>39515.299649280008</v>
      </c>
      <c r="H37" s="59">
        <f t="shared" si="6"/>
        <v>41095.911635251214</v>
      </c>
      <c r="I37" s="59">
        <f t="shared" si="6"/>
        <v>42739.748100661265</v>
      </c>
      <c r="J37" s="59">
        <f t="shared" si="6"/>
        <v>44449.33802468772</v>
      </c>
      <c r="K37" s="59">
        <f t="shared" si="6"/>
        <v>46227.311545675228</v>
      </c>
      <c r="L37" s="59">
        <f t="shared" si="6"/>
        <v>48076.404007502235</v>
      </c>
      <c r="M37" s="59">
        <f t="shared" si="6"/>
        <v>49999.460167802325</v>
      </c>
      <c r="N37" s="59">
        <f t="shared" si="6"/>
        <v>51999.438574514417</v>
      </c>
      <c r="O37" s="59">
        <f t="shared" si="6"/>
        <v>54079.416117494999</v>
      </c>
      <c r="P37" s="59">
        <f t="shared" si="6"/>
        <v>56242.592762194799</v>
      </c>
      <c r="Q37" s="59">
        <f t="shared" si="6"/>
        <v>58492.296472682596</v>
      </c>
      <c r="R37" s="59">
        <f t="shared" si="6"/>
        <v>60831.988331589899</v>
      </c>
      <c r="S37" s="59">
        <f t="shared" si="6"/>
        <v>63265.2678648535</v>
      </c>
      <c r="T37" s="59">
        <f t="shared" ref="T37:AI38" si="7">S37*$B$23</f>
        <v>65795.878579447643</v>
      </c>
      <c r="U37" s="59">
        <f t="shared" si="7"/>
        <v>68427.713722625544</v>
      </c>
      <c r="V37" s="59">
        <f t="shared" si="7"/>
        <v>71164.822271530575</v>
      </c>
      <c r="W37" s="59">
        <f t="shared" si="7"/>
        <v>74011.415162391801</v>
      </c>
      <c r="X37" s="59">
        <f t="shared" si="7"/>
        <v>76971.871768887475</v>
      </c>
      <c r="Y37" s="59">
        <f t="shared" si="7"/>
        <v>80050.746639642981</v>
      </c>
      <c r="Z37" s="59">
        <f t="shared" si="7"/>
        <v>83252.7765052287</v>
      </c>
      <c r="AA37" s="59">
        <f t="shared" si="7"/>
        <v>86582.88756543785</v>
      </c>
      <c r="AB37" s="59">
        <f t="shared" si="7"/>
        <v>90046.203068055373</v>
      </c>
      <c r="AC37" s="59">
        <f t="shared" si="7"/>
        <v>93648.051190777594</v>
      </c>
      <c r="AD37" s="59">
        <f t="shared" si="7"/>
        <v>97393.973238408696</v>
      </c>
      <c r="AE37" s="59">
        <f t="shared" si="7"/>
        <v>101289.73216794505</v>
      </c>
      <c r="AF37" s="59">
        <f t="shared" si="7"/>
        <v>105341.32145466286</v>
      </c>
      <c r="AG37" s="59">
        <f t="shared" si="7"/>
        <v>109554.97431284937</v>
      </c>
      <c r="AH37" s="59">
        <f t="shared" si="7"/>
        <v>113937.17328536334</v>
      </c>
      <c r="AI37" s="59">
        <f t="shared" si="7"/>
        <v>118494.66021677788</v>
      </c>
    </row>
    <row r="38" spans="1:35" s="55" customFormat="1" ht="14.25" customHeight="1">
      <c r="A38" s="56" t="s">
        <v>20</v>
      </c>
      <c r="B38" s="59"/>
      <c r="C38" s="59">
        <f>B8</f>
        <v>54180</v>
      </c>
      <c r="D38" s="59">
        <f t="shared" si="6"/>
        <v>56347.200000000004</v>
      </c>
      <c r="E38" s="59">
        <f t="shared" si="6"/>
        <v>58601.088000000003</v>
      </c>
      <c r="F38" s="59">
        <f t="shared" si="6"/>
        <v>60945.131520000003</v>
      </c>
      <c r="G38" s="59">
        <f t="shared" si="6"/>
        <v>63382.936780800002</v>
      </c>
      <c r="H38" s="59">
        <f t="shared" si="6"/>
        <v>65918.254252031998</v>
      </c>
      <c r="I38" s="59">
        <f t="shared" si="6"/>
        <v>68554.984422113281</v>
      </c>
      <c r="J38" s="59">
        <f t="shared" si="6"/>
        <v>71297.183798997808</v>
      </c>
      <c r="K38" s="59">
        <f t="shared" si="6"/>
        <v>74149.071150957723</v>
      </c>
      <c r="L38" s="59">
        <f t="shared" si="6"/>
        <v>77115.033996996033</v>
      </c>
      <c r="M38" s="59">
        <f t="shared" si="6"/>
        <v>80199.635356875879</v>
      </c>
      <c r="N38" s="59">
        <f t="shared" si="6"/>
        <v>83407.62077115092</v>
      </c>
      <c r="O38" s="59">
        <f t="shared" si="6"/>
        <v>86743.925601996962</v>
      </c>
      <c r="P38" s="59">
        <f t="shared" si="6"/>
        <v>90213.682626076843</v>
      </c>
      <c r="Q38" s="59">
        <f t="shared" si="6"/>
        <v>93822.229931119917</v>
      </c>
      <c r="R38" s="59">
        <f t="shared" si="6"/>
        <v>97575.11912836472</v>
      </c>
      <c r="S38" s="59">
        <f t="shared" si="6"/>
        <v>101478.12389349932</v>
      </c>
      <c r="T38" s="59">
        <f t="shared" si="7"/>
        <v>105537.24884923929</v>
      </c>
      <c r="U38" s="59">
        <f t="shared" si="7"/>
        <v>109758.73880320886</v>
      </c>
      <c r="V38" s="59">
        <f t="shared" si="7"/>
        <v>114149.08835533723</v>
      </c>
      <c r="W38" s="59">
        <f t="shared" si="7"/>
        <v>118715.05188955071</v>
      </c>
      <c r="X38" s="59">
        <f t="shared" si="7"/>
        <v>123463.65396513275</v>
      </c>
      <c r="Y38" s="59">
        <f t="shared" si="7"/>
        <v>128402.20012373806</v>
      </c>
      <c r="Z38" s="59">
        <f t="shared" si="7"/>
        <v>133538.28812868759</v>
      </c>
      <c r="AA38" s="59">
        <f t="shared" si="7"/>
        <v>138879.81965383509</v>
      </c>
      <c r="AB38" s="59">
        <f t="shared" si="7"/>
        <v>144435.0124399885</v>
      </c>
      <c r="AC38" s="59">
        <f t="shared" si="7"/>
        <v>150212.41293758803</v>
      </c>
      <c r="AD38" s="59">
        <f t="shared" si="7"/>
        <v>156220.90945509155</v>
      </c>
      <c r="AE38" s="59">
        <f t="shared" si="7"/>
        <v>162469.74583329522</v>
      </c>
      <c r="AF38" s="59">
        <f t="shared" si="7"/>
        <v>168968.53566662702</v>
      </c>
      <c r="AG38" s="59">
        <f t="shared" si="7"/>
        <v>175727.2770932921</v>
      </c>
      <c r="AH38" s="59">
        <f t="shared" si="7"/>
        <v>182756.36817702377</v>
      </c>
      <c r="AI38" s="59">
        <f t="shared" si="7"/>
        <v>190066.62290410473</v>
      </c>
    </row>
    <row r="39" spans="1:35" s="55" customFormat="1" ht="14.25" customHeight="1">
      <c r="A39" s="57" t="s">
        <v>94</v>
      </c>
      <c r="B39" s="59"/>
      <c r="C39" s="59">
        <f t="shared" ref="C39:AI39" si="8">C31</f>
        <v>196864.80028403469</v>
      </c>
      <c r="D39" s="59">
        <f t="shared" si="8"/>
        <v>198636.583486591</v>
      </c>
      <c r="E39" s="59">
        <f t="shared" si="8"/>
        <v>200424.31273797032</v>
      </c>
      <c r="F39" s="59">
        <f t="shared" si="8"/>
        <v>202228.131552612</v>
      </c>
      <c r="G39" s="59">
        <f t="shared" si="8"/>
        <v>204048.18473658551</v>
      </c>
      <c r="H39" s="59">
        <f t="shared" si="8"/>
        <v>205884.61839921476</v>
      </c>
      <c r="I39" s="59">
        <f t="shared" si="8"/>
        <v>207737.57996480764</v>
      </c>
      <c r="J39" s="59">
        <f t="shared" si="8"/>
        <v>209607.21818449086</v>
      </c>
      <c r="K39" s="59">
        <f t="shared" si="8"/>
        <v>211493.68314815126</v>
      </c>
      <c r="L39" s="59">
        <f t="shared" si="8"/>
        <v>213397.12629648461</v>
      </c>
      <c r="M39" s="59">
        <f t="shared" si="8"/>
        <v>215317.70043315296</v>
      </c>
      <c r="N39" s="59">
        <f t="shared" si="8"/>
        <v>217255.55973705126</v>
      </c>
      <c r="O39" s="59">
        <f t="shared" si="8"/>
        <v>219210.85977468471</v>
      </c>
      <c r="P39" s="59">
        <f t="shared" si="8"/>
        <v>221183.75751265691</v>
      </c>
      <c r="Q39" s="59">
        <f t="shared" si="8"/>
        <v>223174.41133027078</v>
      </c>
      <c r="R39" s="59">
        <f t="shared" si="8"/>
        <v>225182.98103224317</v>
      </c>
      <c r="S39" s="59">
        <f t="shared" si="8"/>
        <v>227209.6278615334</v>
      </c>
      <c r="T39" s="59">
        <f t="shared" si="8"/>
        <v>229254.51451228713</v>
      </c>
      <c r="U39" s="59">
        <f t="shared" si="8"/>
        <v>231317.80514289768</v>
      </c>
      <c r="V39" s="59">
        <f t="shared" si="8"/>
        <v>233399.66538918373</v>
      </c>
      <c r="W39" s="59">
        <f t="shared" si="8"/>
        <v>235500.26237768636</v>
      </c>
      <c r="X39" s="59">
        <f t="shared" si="8"/>
        <v>237619.76473908551</v>
      </c>
      <c r="Y39" s="59">
        <f t="shared" si="8"/>
        <v>239758.34262173722</v>
      </c>
      <c r="Z39" s="59">
        <f t="shared" si="8"/>
        <v>241916.16770533286</v>
      </c>
      <c r="AA39" s="59">
        <f t="shared" si="8"/>
        <v>244093.41321468086</v>
      </c>
      <c r="AB39" s="59">
        <f t="shared" si="8"/>
        <v>246290.25393361296</v>
      </c>
      <c r="AC39" s="59">
        <f t="shared" si="8"/>
        <v>248506.86621901544</v>
      </c>
      <c r="AD39" s="59">
        <f t="shared" si="8"/>
        <v>250743.42801498657</v>
      </c>
      <c r="AE39" s="59">
        <f t="shared" si="8"/>
        <v>253000.1188671214</v>
      </c>
      <c r="AF39" s="59">
        <f t="shared" si="8"/>
        <v>255277.11993692548</v>
      </c>
      <c r="AG39" s="59">
        <f t="shared" si="8"/>
        <v>257574.61401635772</v>
      </c>
      <c r="AH39" s="59">
        <f t="shared" si="8"/>
        <v>259892.78554250492</v>
      </c>
      <c r="AI39" s="59">
        <f t="shared" si="8"/>
        <v>262231.82061238744</v>
      </c>
    </row>
    <row r="40" spans="1:35" s="55" customFormat="1" ht="14.25" customHeight="1">
      <c r="A40" s="53" t="s">
        <v>21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</row>
    <row r="41" spans="1:35" s="55" customFormat="1" ht="14.25" customHeight="1">
      <c r="A41" s="57" t="s">
        <v>95</v>
      </c>
      <c r="B41" s="59"/>
      <c r="C41" s="59">
        <f>$B$17</f>
        <v>-5188.2352941176468</v>
      </c>
      <c r="D41" s="59">
        <f t="shared" ref="D41:AI41" si="9">C41*1.025</f>
        <v>-5317.9411764705874</v>
      </c>
      <c r="E41" s="59">
        <f t="shared" si="9"/>
        <v>-5450.8897058823513</v>
      </c>
      <c r="F41" s="59">
        <f t="shared" si="9"/>
        <v>-5587.1619485294095</v>
      </c>
      <c r="G41" s="59">
        <f t="shared" si="9"/>
        <v>-5726.8409972426443</v>
      </c>
      <c r="H41" s="59">
        <f t="shared" si="9"/>
        <v>-5870.0120221737097</v>
      </c>
      <c r="I41" s="59">
        <f t="shared" si="9"/>
        <v>-6016.7623227280519</v>
      </c>
      <c r="J41" s="59">
        <f t="shared" si="9"/>
        <v>-6167.1813807962526</v>
      </c>
      <c r="K41" s="59">
        <f t="shared" si="9"/>
        <v>-6321.3609153161588</v>
      </c>
      <c r="L41" s="59">
        <f t="shared" si="9"/>
        <v>-6479.3949381990624</v>
      </c>
      <c r="M41" s="59">
        <f t="shared" si="9"/>
        <v>-6641.3798116540383</v>
      </c>
      <c r="N41" s="59">
        <f t="shared" si="9"/>
        <v>-6807.4143069453885</v>
      </c>
      <c r="O41" s="59">
        <f t="shared" si="9"/>
        <v>-6977.5996646190224</v>
      </c>
      <c r="P41" s="59">
        <f t="shared" si="9"/>
        <v>-7152.0396562344977</v>
      </c>
      <c r="Q41" s="59">
        <f t="shared" si="9"/>
        <v>-7330.8406476403597</v>
      </c>
      <c r="R41" s="59">
        <f t="shared" si="9"/>
        <v>-7514.1116638313679</v>
      </c>
      <c r="S41" s="59">
        <f t="shared" si="9"/>
        <v>-7701.9644554271517</v>
      </c>
      <c r="T41" s="59">
        <f t="shared" si="9"/>
        <v>-7894.5135668128296</v>
      </c>
      <c r="U41" s="59">
        <f t="shared" si="9"/>
        <v>-8091.8764059831492</v>
      </c>
      <c r="V41" s="59">
        <f t="shared" si="9"/>
        <v>-8294.1733161327265</v>
      </c>
      <c r="W41" s="59">
        <f t="shared" si="9"/>
        <v>-8501.5276490360447</v>
      </c>
      <c r="X41" s="59">
        <f t="shared" si="9"/>
        <v>-8714.0658402619447</v>
      </c>
      <c r="Y41" s="59">
        <f t="shared" si="9"/>
        <v>-8931.9174862684922</v>
      </c>
      <c r="Z41" s="59">
        <f t="shared" si="9"/>
        <v>-9155.215423425203</v>
      </c>
      <c r="AA41" s="59">
        <f t="shared" si="9"/>
        <v>-9384.0958090108325</v>
      </c>
      <c r="AB41" s="59">
        <f t="shared" si="9"/>
        <v>-9618.6982042361033</v>
      </c>
      <c r="AC41" s="59">
        <f t="shared" si="9"/>
        <v>-9859.1656593420048</v>
      </c>
      <c r="AD41" s="59">
        <f t="shared" si="9"/>
        <v>-10105.644800825554</v>
      </c>
      <c r="AE41" s="59">
        <f t="shared" si="9"/>
        <v>-10358.285920846192</v>
      </c>
      <c r="AF41" s="59">
        <f t="shared" si="9"/>
        <v>-10617.243068867347</v>
      </c>
      <c r="AG41" s="59">
        <f t="shared" si="9"/>
        <v>-10882.67414558903</v>
      </c>
      <c r="AH41" s="59">
        <f t="shared" si="9"/>
        <v>-11154.740999228754</v>
      </c>
      <c r="AI41" s="59">
        <f t="shared" si="9"/>
        <v>-11433.609524209473</v>
      </c>
    </row>
    <row r="42" spans="1:35" s="55" customFormat="1" ht="14.25" customHeight="1">
      <c r="A42" s="56" t="s">
        <v>7</v>
      </c>
      <c r="B42" s="59"/>
      <c r="C42" s="59">
        <f>$B$18</f>
        <v>-187000</v>
      </c>
      <c r="D42" s="59">
        <f t="shared" ref="D42:AI42" si="10">C42*1.022</f>
        <v>-191114</v>
      </c>
      <c r="E42" s="59">
        <f t="shared" si="10"/>
        <v>-195318.508</v>
      </c>
      <c r="F42" s="59">
        <f t="shared" si="10"/>
        <v>-199615.51517600002</v>
      </c>
      <c r="G42" s="59">
        <f t="shared" si="10"/>
        <v>-204007.05650987203</v>
      </c>
      <c r="H42" s="59">
        <f t="shared" si="10"/>
        <v>-208495.21175308921</v>
      </c>
      <c r="I42" s="59">
        <f t="shared" si="10"/>
        <v>-213082.10641165718</v>
      </c>
      <c r="J42" s="59">
        <f t="shared" si="10"/>
        <v>-217769.91275271363</v>
      </c>
      <c r="K42" s="59">
        <f t="shared" si="10"/>
        <v>-222560.85083327335</v>
      </c>
      <c r="L42" s="59">
        <f t="shared" si="10"/>
        <v>-227457.18955160538</v>
      </c>
      <c r="M42" s="59">
        <f t="shared" si="10"/>
        <v>-232461.24772174071</v>
      </c>
      <c r="N42" s="59">
        <f t="shared" si="10"/>
        <v>-237575.39517161902</v>
      </c>
      <c r="O42" s="59">
        <f t="shared" si="10"/>
        <v>-242802.05386539464</v>
      </c>
      <c r="P42" s="59">
        <f t="shared" si="10"/>
        <v>-248143.69905043332</v>
      </c>
      <c r="Q42" s="59">
        <f t="shared" si="10"/>
        <v>-253602.86042954287</v>
      </c>
      <c r="R42" s="59">
        <f t="shared" si="10"/>
        <v>-259182.1233589928</v>
      </c>
      <c r="S42" s="59">
        <f t="shared" si="10"/>
        <v>-264884.13007289066</v>
      </c>
      <c r="T42" s="59">
        <f t="shared" si="10"/>
        <v>-270711.58093449427</v>
      </c>
      <c r="U42" s="59">
        <f t="shared" si="10"/>
        <v>-276667.23571505316</v>
      </c>
      <c r="V42" s="59">
        <f t="shared" si="10"/>
        <v>-282753.91490078432</v>
      </c>
      <c r="W42" s="59">
        <f t="shared" si="10"/>
        <v>-288974.5010286016</v>
      </c>
      <c r="X42" s="59">
        <f t="shared" si="10"/>
        <v>-295331.94005123083</v>
      </c>
      <c r="Y42" s="59">
        <f t="shared" si="10"/>
        <v>-301829.24273235793</v>
      </c>
      <c r="Z42" s="59">
        <f t="shared" si="10"/>
        <v>-308469.48607246979</v>
      </c>
      <c r="AA42" s="59">
        <f t="shared" si="10"/>
        <v>-315255.81476606411</v>
      </c>
      <c r="AB42" s="59">
        <f t="shared" si="10"/>
        <v>-322191.44269091752</v>
      </c>
      <c r="AC42" s="59">
        <f t="shared" si="10"/>
        <v>-329279.65443011769</v>
      </c>
      <c r="AD42" s="59">
        <f t="shared" si="10"/>
        <v>-336523.80682758027</v>
      </c>
      <c r="AE42" s="59">
        <f t="shared" si="10"/>
        <v>-343927.33057778701</v>
      </c>
      <c r="AF42" s="59">
        <f t="shared" si="10"/>
        <v>-351493.73185049836</v>
      </c>
      <c r="AG42" s="59">
        <f t="shared" si="10"/>
        <v>-359226.59395120933</v>
      </c>
      <c r="AH42" s="59">
        <f t="shared" si="10"/>
        <v>-367129.57901813596</v>
      </c>
      <c r="AI42" s="59">
        <f t="shared" si="10"/>
        <v>-375206.42975653498</v>
      </c>
    </row>
    <row r="43" spans="1:35" s="55" customFormat="1" ht="14.25" customHeight="1">
      <c r="A43" s="56" t="s">
        <v>16</v>
      </c>
      <c r="B43" s="59"/>
      <c r="C43" s="59"/>
      <c r="D43" s="59"/>
      <c r="E43" s="59"/>
      <c r="F43" s="59"/>
      <c r="G43" s="59"/>
      <c r="H43" s="59"/>
      <c r="I43" s="59">
        <f>$B$19*POWER(1.022,H34)</f>
        <v>-11394.765048751718</v>
      </c>
      <c r="J43" s="59"/>
      <c r="K43" s="59"/>
      <c r="L43" s="59"/>
      <c r="M43" s="59"/>
      <c r="N43" s="59"/>
      <c r="O43" s="59"/>
      <c r="P43" s="59">
        <f>$B$19*POWER(1.022,O34)</f>
        <v>-13269.716526761138</v>
      </c>
      <c r="Q43" s="59"/>
      <c r="R43" s="59"/>
      <c r="S43" s="59"/>
      <c r="T43" s="59"/>
      <c r="U43" s="59"/>
      <c r="V43" s="59"/>
      <c r="W43" s="59">
        <f>$B$19*POWER(1.022,V34)</f>
        <v>-15453.181873187244</v>
      </c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</row>
    <row r="44" spans="1:35" s="55" customFormat="1" ht="14.25" customHeight="1">
      <c r="A44" s="56" t="s">
        <v>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>
        <f>$B$20*POWER(1.022,P34)</f>
        <v>-94931.552032449166</v>
      </c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</row>
    <row r="45" spans="1:35" ht="14.25" customHeight="1" thickBot="1">
      <c r="A45" s="70" t="s">
        <v>10</v>
      </c>
      <c r="B45" s="52"/>
      <c r="C45" s="61">
        <f>SUM(C35:C44)</f>
        <v>117381.42473991704</v>
      </c>
      <c r="D45" s="61">
        <f t="shared" ref="D45:AI45" si="11">SUM(D35:D44)</f>
        <v>118972.25016212038</v>
      </c>
      <c r="E45" s="61">
        <f t="shared" si="11"/>
        <v>120637.98109183196</v>
      </c>
      <c r="F45" s="61">
        <f t="shared" si="11"/>
        <v>122382.58160954091</v>
      </c>
      <c r="G45" s="61">
        <f t="shared" si="11"/>
        <v>124210.20222405728</v>
      </c>
      <c r="H45" s="61">
        <f t="shared" si="11"/>
        <v>126125.18800416065</v>
      </c>
      <c r="I45" s="61">
        <f t="shared" si="11"/>
        <v>116737.32200221519</v>
      </c>
      <c r="J45" s="61">
        <f t="shared" si="11"/>
        <v>130235.65932498741</v>
      </c>
      <c r="K45" s="61">
        <f t="shared" si="11"/>
        <v>132440.88584242263</v>
      </c>
      <c r="L45" s="61">
        <f t="shared" si="11"/>
        <v>134752.97825582337</v>
      </c>
      <c r="M45" s="61">
        <f t="shared" si="11"/>
        <v>137177.38883486358</v>
      </c>
      <c r="N45" s="61">
        <f t="shared" si="11"/>
        <v>139719.82086360874</v>
      </c>
      <c r="O45" s="61">
        <f t="shared" si="11"/>
        <v>142386.2394713276</v>
      </c>
      <c r="P45" s="61">
        <f t="shared" si="11"/>
        <v>131913.16638782181</v>
      </c>
      <c r="Q45" s="61">
        <f t="shared" si="11"/>
        <v>53184.722296610271</v>
      </c>
      <c r="R45" s="61">
        <f t="shared" si="11"/>
        <v>151193.23397033068</v>
      </c>
      <c r="S45" s="61">
        <f t="shared" si="11"/>
        <v>154420.89196354651</v>
      </c>
      <c r="T45" s="61">
        <f t="shared" si="11"/>
        <v>157806.70158282854</v>
      </c>
      <c r="U45" s="61">
        <f t="shared" si="11"/>
        <v>161358.45308200695</v>
      </c>
      <c r="V45" s="61">
        <f t="shared" si="11"/>
        <v>165084.28809920046</v>
      </c>
      <c r="W45" s="61">
        <f t="shared" si="11"/>
        <v>153539.53278547141</v>
      </c>
      <c r="X45" s="61">
        <f t="shared" si="11"/>
        <v>173092.62279422715</v>
      </c>
      <c r="Y45" s="61">
        <f t="shared" si="11"/>
        <v>177393.30081978347</v>
      </c>
      <c r="Z45" s="61">
        <f t="shared" si="11"/>
        <v>181904.45227301825</v>
      </c>
      <c r="AA45" s="61">
        <f t="shared" si="11"/>
        <v>186636.21355999552</v>
      </c>
      <c r="AB45" s="61">
        <f t="shared" si="11"/>
        <v>191599.17232904444</v>
      </c>
      <c r="AC45" s="61">
        <f t="shared" si="11"/>
        <v>196804.38660367858</v>
      </c>
      <c r="AD45" s="61">
        <f t="shared" si="11"/>
        <v>202263.40470544487</v>
      </c>
      <c r="AE45" s="61">
        <f t="shared" si="11"/>
        <v>207988.28599885036</v>
      </c>
      <c r="AF45" s="61">
        <f t="shared" si="11"/>
        <v>213991.6224918121</v>
      </c>
      <c r="AG45" s="61">
        <f t="shared" si="11"/>
        <v>220286.56132642855</v>
      </c>
      <c r="AH45" s="61">
        <f t="shared" si="11"/>
        <v>226886.82819627092</v>
      </c>
      <c r="AI45" s="61">
        <f t="shared" si="11"/>
        <v>233806.75172786159</v>
      </c>
    </row>
    <row r="46" spans="1:35" s="55" customFormat="1" ht="14.25" customHeight="1" thickTop="1">
      <c r="A46" s="58" t="s">
        <v>11</v>
      </c>
      <c r="B46" s="59">
        <f>B13</f>
        <v>-2966000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</row>
    <row r="47" spans="1:35" ht="14.25" customHeight="1">
      <c r="A47" s="7" t="s">
        <v>8</v>
      </c>
      <c r="B47" s="62">
        <f t="shared" ref="B47:AI47" si="12">SUM(B45:B46)</f>
        <v>-2966000</v>
      </c>
      <c r="C47" s="62">
        <f t="shared" si="12"/>
        <v>117381.42473991704</v>
      </c>
      <c r="D47" s="62">
        <f t="shared" si="12"/>
        <v>118972.25016212038</v>
      </c>
      <c r="E47" s="62">
        <f t="shared" si="12"/>
        <v>120637.98109183196</v>
      </c>
      <c r="F47" s="62">
        <f t="shared" si="12"/>
        <v>122382.58160954091</v>
      </c>
      <c r="G47" s="62">
        <f t="shared" si="12"/>
        <v>124210.20222405728</v>
      </c>
      <c r="H47" s="62">
        <f t="shared" si="12"/>
        <v>126125.18800416065</v>
      </c>
      <c r="I47" s="62">
        <f t="shared" si="12"/>
        <v>116737.32200221519</v>
      </c>
      <c r="J47" s="62">
        <f t="shared" si="12"/>
        <v>130235.65932498741</v>
      </c>
      <c r="K47" s="62">
        <f t="shared" si="12"/>
        <v>132440.88584242263</v>
      </c>
      <c r="L47" s="62">
        <f t="shared" si="12"/>
        <v>134752.97825582337</v>
      </c>
      <c r="M47" s="62">
        <f t="shared" si="12"/>
        <v>137177.38883486358</v>
      </c>
      <c r="N47" s="62">
        <f t="shared" si="12"/>
        <v>139719.82086360874</v>
      </c>
      <c r="O47" s="62">
        <f t="shared" si="12"/>
        <v>142386.2394713276</v>
      </c>
      <c r="P47" s="62">
        <f t="shared" si="12"/>
        <v>131913.16638782181</v>
      </c>
      <c r="Q47" s="62">
        <f t="shared" si="12"/>
        <v>53184.722296610271</v>
      </c>
      <c r="R47" s="62">
        <f t="shared" si="12"/>
        <v>151193.23397033068</v>
      </c>
      <c r="S47" s="62">
        <f t="shared" si="12"/>
        <v>154420.89196354651</v>
      </c>
      <c r="T47" s="62">
        <f t="shared" si="12"/>
        <v>157806.70158282854</v>
      </c>
      <c r="U47" s="62">
        <f t="shared" si="12"/>
        <v>161358.45308200695</v>
      </c>
      <c r="V47" s="62">
        <f t="shared" si="12"/>
        <v>165084.28809920046</v>
      </c>
      <c r="W47" s="62">
        <f t="shared" si="12"/>
        <v>153539.53278547141</v>
      </c>
      <c r="X47" s="62">
        <f t="shared" si="12"/>
        <v>173092.62279422715</v>
      </c>
      <c r="Y47" s="62">
        <f t="shared" si="12"/>
        <v>177393.30081978347</v>
      </c>
      <c r="Z47" s="62">
        <f t="shared" si="12"/>
        <v>181904.45227301825</v>
      </c>
      <c r="AA47" s="62">
        <f t="shared" si="12"/>
        <v>186636.21355999552</v>
      </c>
      <c r="AB47" s="62">
        <f t="shared" si="12"/>
        <v>191599.17232904444</v>
      </c>
      <c r="AC47" s="62">
        <f t="shared" si="12"/>
        <v>196804.38660367858</v>
      </c>
      <c r="AD47" s="62">
        <f t="shared" si="12"/>
        <v>202263.40470544487</v>
      </c>
      <c r="AE47" s="62">
        <f t="shared" si="12"/>
        <v>207988.28599885036</v>
      </c>
      <c r="AF47" s="62">
        <f t="shared" si="12"/>
        <v>213991.6224918121</v>
      </c>
      <c r="AG47" s="62">
        <f t="shared" si="12"/>
        <v>220286.56132642855</v>
      </c>
      <c r="AH47" s="62">
        <f t="shared" si="12"/>
        <v>226886.82819627092</v>
      </c>
      <c r="AI47" s="62">
        <f t="shared" si="12"/>
        <v>233806.75172786159</v>
      </c>
    </row>
    <row r="48" spans="1:35" s="55" customFormat="1" ht="14.25" customHeight="1"/>
    <row r="49" spans="1:7" s="55" customFormat="1" ht="14.25" customHeight="1">
      <c r="A49" s="64" t="s">
        <v>22</v>
      </c>
      <c r="B49" s="65">
        <v>3.2500000000000001E-2</v>
      </c>
      <c r="D49" s="66"/>
    </row>
    <row r="50" spans="1:7" s="55" customFormat="1" ht="14.25" customHeight="1">
      <c r="A50" s="69" t="s">
        <v>96</v>
      </c>
      <c r="B50" s="60">
        <f>NPV(B49,$C$47:$AI$47)+$B$47</f>
        <v>0</v>
      </c>
      <c r="D50" s="63"/>
    </row>
    <row r="51" spans="1:7" s="55" customFormat="1" ht="14.25" customHeight="1"/>
    <row r="52" spans="1:7" s="55" customFormat="1" ht="14.25" customHeight="1">
      <c r="A52" s="72" t="s">
        <v>91</v>
      </c>
      <c r="B52" s="73">
        <v>6.9442042299883555</v>
      </c>
    </row>
    <row r="53" spans="1:7" s="55" customFormat="1" ht="14.25" customHeight="1"/>
    <row r="54" spans="1:7" s="55" customFormat="1" ht="14.25" customHeight="1">
      <c r="A54" s="72" t="s">
        <v>92</v>
      </c>
    </row>
    <row r="55" spans="1:7" s="55" customFormat="1" ht="14.25" customHeight="1">
      <c r="A55" s="98" t="s">
        <v>122</v>
      </c>
      <c r="B55" s="74">
        <v>6.9442042299883555</v>
      </c>
    </row>
    <row r="56" spans="1:7" s="55" customFormat="1" ht="14.25" customHeight="1">
      <c r="A56" s="99" t="s">
        <v>121</v>
      </c>
    </row>
    <row r="57" spans="1:7" s="55" customFormat="1" ht="14.25" customHeight="1">
      <c r="A57" s="98" t="s">
        <v>123</v>
      </c>
      <c r="B57" s="55">
        <v>0</v>
      </c>
      <c r="C57" s="55">
        <v>5</v>
      </c>
      <c r="D57" s="55">
        <v>10</v>
      </c>
      <c r="E57" s="55">
        <v>15</v>
      </c>
      <c r="F57" s="63"/>
      <c r="G57" s="63"/>
    </row>
    <row r="58" spans="1:7" s="55" customFormat="1" ht="14.25" customHeight="1">
      <c r="A58" s="75" t="s">
        <v>59</v>
      </c>
      <c r="B58" s="59">
        <v>-4458573.489130171</v>
      </c>
      <c r="C58" s="59">
        <v>-1248289.5304038818</v>
      </c>
      <c r="D58" s="59">
        <v>1961994.4283224074</v>
      </c>
      <c r="E58" s="59">
        <v>5172278.387048698</v>
      </c>
    </row>
    <row r="59" spans="1:7" s="55" customFormat="1" ht="14.25" customHeight="1"/>
    <row r="60" spans="1:7" s="55" customFormat="1" ht="14.25" customHeight="1"/>
    <row r="61" spans="1:7" ht="14.25" customHeight="1"/>
    <row r="62" spans="1:7" ht="14.25" customHeight="1"/>
    <row r="63" spans="1:7" ht="14.25" customHeight="1"/>
    <row r="64" spans="1: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00"/>
  <sheetViews>
    <sheetView workbookViewId="0"/>
  </sheetViews>
  <sheetFormatPr defaultColWidth="14.44140625" defaultRowHeight="15" customHeight="1"/>
  <cols>
    <col min="1" max="1" width="15" customWidth="1"/>
    <col min="2" max="2" width="12.5546875" customWidth="1"/>
    <col min="3" max="3" width="11" customWidth="1"/>
    <col min="4" max="4" width="13.77734375" customWidth="1"/>
    <col min="5" max="5" width="14.5546875" customWidth="1"/>
    <col min="6" max="6" width="11.5546875" customWidth="1"/>
  </cols>
  <sheetData>
    <row r="1" spans="1:6" ht="14.25" customHeight="1">
      <c r="A1" s="29" t="s">
        <v>63</v>
      </c>
      <c r="B1" s="29" t="s">
        <v>64</v>
      </c>
      <c r="C1" s="29" t="s">
        <v>65</v>
      </c>
      <c r="D1" s="29" t="s">
        <v>64</v>
      </c>
      <c r="E1" s="29" t="s">
        <v>66</v>
      </c>
      <c r="F1" s="29" t="s">
        <v>64</v>
      </c>
    </row>
    <row r="2" spans="1:6" ht="14.25" customHeight="1">
      <c r="A2" s="2" t="s">
        <v>81</v>
      </c>
      <c r="B2" s="30">
        <v>123</v>
      </c>
      <c r="C2" s="30">
        <v>2017</v>
      </c>
      <c r="D2" s="30">
        <v>14</v>
      </c>
      <c r="E2" s="30" t="s">
        <v>67</v>
      </c>
      <c r="F2" s="30">
        <v>9</v>
      </c>
    </row>
    <row r="3" spans="1:6" ht="14.25" customHeight="1">
      <c r="A3" s="2" t="s">
        <v>82</v>
      </c>
      <c r="B3" s="30"/>
      <c r="C3" s="30"/>
      <c r="D3" s="30"/>
      <c r="E3" s="30" t="s">
        <v>74</v>
      </c>
      <c r="F3" s="30">
        <v>3</v>
      </c>
    </row>
    <row r="4" spans="1:6" ht="14.25" customHeight="1">
      <c r="B4" s="30"/>
      <c r="C4" s="30"/>
      <c r="D4" s="30"/>
      <c r="E4" s="30" t="s">
        <v>62</v>
      </c>
      <c r="F4" s="30">
        <v>2</v>
      </c>
    </row>
    <row r="5" spans="1:6" ht="14.25" customHeight="1">
      <c r="B5" s="30"/>
      <c r="C5" s="30">
        <v>2018</v>
      </c>
      <c r="D5" s="30">
        <v>33</v>
      </c>
      <c r="E5" s="30" t="s">
        <v>67</v>
      </c>
      <c r="F5" s="30">
        <v>19</v>
      </c>
    </row>
    <row r="6" spans="1:6" ht="14.25" customHeight="1">
      <c r="B6" s="30"/>
      <c r="C6" s="30"/>
      <c r="D6" s="30"/>
      <c r="E6" s="30" t="s">
        <v>74</v>
      </c>
      <c r="F6" s="30">
        <v>10</v>
      </c>
    </row>
    <row r="7" spans="1:6" ht="14.25" customHeight="1">
      <c r="B7" s="30"/>
      <c r="C7" s="30"/>
      <c r="D7" s="30"/>
      <c r="E7" s="30" t="s">
        <v>62</v>
      </c>
      <c r="F7" s="30">
        <v>4</v>
      </c>
    </row>
    <row r="8" spans="1:6" ht="14.25" customHeight="1">
      <c r="B8" s="30"/>
      <c r="C8" s="30">
        <v>2019</v>
      </c>
      <c r="D8" s="30">
        <v>29</v>
      </c>
      <c r="E8" s="30" t="s">
        <v>67</v>
      </c>
      <c r="F8" s="30">
        <v>15</v>
      </c>
    </row>
    <row r="9" spans="1:6" ht="14.25" customHeight="1">
      <c r="B9" s="30"/>
      <c r="C9" s="30"/>
      <c r="D9" s="30"/>
      <c r="E9" s="30" t="s">
        <v>74</v>
      </c>
      <c r="F9" s="30">
        <v>6</v>
      </c>
    </row>
    <row r="10" spans="1:6" ht="14.25" customHeight="1">
      <c r="B10" s="30"/>
      <c r="C10" s="30"/>
      <c r="D10" s="30"/>
      <c r="E10" s="30" t="s">
        <v>62</v>
      </c>
      <c r="F10" s="30">
        <v>8</v>
      </c>
    </row>
    <row r="11" spans="1:6" ht="14.25" customHeight="1">
      <c r="B11" s="30"/>
      <c r="C11" s="30">
        <v>2020</v>
      </c>
      <c r="D11" s="30">
        <v>19</v>
      </c>
      <c r="E11" s="30" t="s">
        <v>67</v>
      </c>
      <c r="F11" s="30">
        <v>10</v>
      </c>
    </row>
    <row r="12" spans="1:6" ht="14.25" customHeight="1">
      <c r="B12" s="30"/>
      <c r="C12" s="30"/>
      <c r="D12" s="30"/>
      <c r="E12" s="30" t="s">
        <v>74</v>
      </c>
      <c r="F12" s="30">
        <v>4</v>
      </c>
    </row>
    <row r="13" spans="1:6" ht="14.25" customHeight="1">
      <c r="B13" s="30"/>
      <c r="C13" s="30"/>
      <c r="D13" s="30"/>
      <c r="E13" s="30" t="s">
        <v>62</v>
      </c>
      <c r="F13" s="30">
        <v>5</v>
      </c>
    </row>
    <row r="14" spans="1:6" ht="14.25" customHeight="1">
      <c r="B14" s="30"/>
      <c r="C14" s="30">
        <v>2021</v>
      </c>
      <c r="D14" s="30">
        <v>28</v>
      </c>
      <c r="E14" s="30" t="s">
        <v>67</v>
      </c>
      <c r="F14" s="30">
        <v>12</v>
      </c>
    </row>
    <row r="15" spans="1:6" ht="14.25" customHeight="1">
      <c r="B15" s="30"/>
      <c r="C15" s="30"/>
      <c r="D15" s="30"/>
      <c r="E15" s="30" t="s">
        <v>74</v>
      </c>
      <c r="F15" s="30">
        <v>11</v>
      </c>
    </row>
    <row r="16" spans="1:6" ht="14.25" customHeight="1">
      <c r="B16" s="30"/>
      <c r="C16" s="30"/>
      <c r="D16" s="30"/>
      <c r="E16" s="30" t="s">
        <v>62</v>
      </c>
      <c r="F16" s="30">
        <v>5</v>
      </c>
    </row>
    <row r="17" spans="3:6" ht="14.25" customHeight="1"/>
    <row r="18" spans="3:6" ht="14.25" customHeight="1">
      <c r="C18" s="2" t="s">
        <v>68</v>
      </c>
      <c r="D18" s="2">
        <f>SUM(D2:D16)/5</f>
        <v>24.6</v>
      </c>
      <c r="E18" s="30" t="s">
        <v>69</v>
      </c>
      <c r="F18" s="2">
        <f>(F4+F7+F10+F13+F16)/5</f>
        <v>4.8</v>
      </c>
    </row>
    <row r="19" spans="3:6" ht="14.25" customHeight="1"/>
    <row r="20" spans="3:6" ht="14.25" customHeight="1"/>
    <row r="21" spans="3:6" ht="14.25" customHeight="1"/>
    <row r="22" spans="3:6" ht="14.25" customHeight="1"/>
    <row r="23" spans="3:6" ht="14.25" customHeight="1"/>
    <row r="24" spans="3:6" ht="14.25" customHeight="1"/>
    <row r="25" spans="3:6" ht="14.25" customHeight="1"/>
    <row r="26" spans="3:6" ht="14.25" customHeight="1"/>
    <row r="27" spans="3:6" ht="14.25" customHeight="1"/>
    <row r="28" spans="3:6" ht="14.25" customHeight="1"/>
    <row r="29" spans="3:6" ht="14.25" customHeight="1"/>
    <row r="30" spans="3:6" ht="14.25" customHeight="1"/>
    <row r="31" spans="3:6" ht="14.25" customHeight="1"/>
    <row r="32" spans="3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164FD-2259-42E0-A7ED-25C74FBAB20B}">
  <dimension ref="A1:Y242"/>
  <sheetViews>
    <sheetView zoomScale="80" zoomScaleNormal="80" workbookViewId="0">
      <selection activeCell="P14" sqref="P14"/>
    </sheetView>
  </sheetViews>
  <sheetFormatPr defaultColWidth="8.77734375" defaultRowHeight="14.4"/>
  <cols>
    <col min="1" max="16384" width="8.77734375" style="40"/>
  </cols>
  <sheetData>
    <row r="1" spans="1:25">
      <c r="A1" s="39" t="s">
        <v>85</v>
      </c>
      <c r="B1" s="39" t="s">
        <v>86</v>
      </c>
      <c r="C1" s="39" t="s">
        <v>87</v>
      </c>
    </row>
    <row r="2" spans="1:25">
      <c r="A2" s="41">
        <v>37347</v>
      </c>
      <c r="B2" s="42">
        <v>5.77</v>
      </c>
      <c r="C2" s="42" t="s">
        <v>88</v>
      </c>
      <c r="E2" s="93" t="s">
        <v>109</v>
      </c>
      <c r="F2" s="94" t="s">
        <v>110</v>
      </c>
    </row>
    <row r="3" spans="1:25">
      <c r="A3" s="43">
        <v>37377</v>
      </c>
      <c r="B3" s="44">
        <v>5.45</v>
      </c>
      <c r="C3" s="45">
        <v>-5.4199999999999998E-2</v>
      </c>
    </row>
    <row r="4" spans="1:25">
      <c r="A4" s="41">
        <v>37408</v>
      </c>
      <c r="B4" s="42">
        <v>5.0599999999999996</v>
      </c>
      <c r="C4" s="46">
        <v>-7.1599999999999997E-2</v>
      </c>
      <c r="E4" s="47" t="s">
        <v>89</v>
      </c>
      <c r="F4" s="40">
        <v>1</v>
      </c>
      <c r="G4" s="40">
        <v>2</v>
      </c>
      <c r="H4" s="40">
        <v>3</v>
      </c>
      <c r="I4" s="40">
        <v>4</v>
      </c>
      <c r="J4" s="40">
        <v>5</v>
      </c>
      <c r="K4" s="40">
        <v>6</v>
      </c>
      <c r="L4" s="40">
        <v>7</v>
      </c>
      <c r="M4" s="40">
        <v>8</v>
      </c>
      <c r="N4" s="40">
        <v>9</v>
      </c>
      <c r="O4" s="40">
        <v>10</v>
      </c>
      <c r="P4" s="40">
        <v>11</v>
      </c>
      <c r="Q4" s="40">
        <v>12</v>
      </c>
      <c r="R4" s="40">
        <v>13</v>
      </c>
      <c r="S4" s="40">
        <v>14</v>
      </c>
      <c r="T4" s="40">
        <v>15</v>
      </c>
      <c r="U4" s="40">
        <v>16</v>
      </c>
      <c r="V4" s="40">
        <v>17</v>
      </c>
      <c r="W4" s="40">
        <v>18</v>
      </c>
      <c r="X4" s="40">
        <v>19</v>
      </c>
      <c r="Y4" s="40">
        <v>20</v>
      </c>
    </row>
    <row r="5" spans="1:25">
      <c r="A5" s="43">
        <v>37438</v>
      </c>
      <c r="B5" s="44">
        <v>5.16</v>
      </c>
      <c r="C5" s="45">
        <v>1.8499999999999999E-2</v>
      </c>
      <c r="E5" s="47" t="s">
        <v>90</v>
      </c>
      <c r="F5" s="40">
        <v>9</v>
      </c>
      <c r="G5" s="40">
        <f t="shared" ref="G5:Y5" si="0">F5*$F$6</f>
        <v>9.36</v>
      </c>
      <c r="H5" s="40">
        <f t="shared" si="0"/>
        <v>9.7343999999999991</v>
      </c>
      <c r="I5" s="40">
        <f t="shared" si="0"/>
        <v>10.123775999999999</v>
      </c>
      <c r="J5" s="40">
        <f t="shared" si="0"/>
        <v>10.52872704</v>
      </c>
      <c r="K5" s="40">
        <f t="shared" si="0"/>
        <v>10.949876121600001</v>
      </c>
      <c r="L5" s="40">
        <f t="shared" si="0"/>
        <v>11.387871166464</v>
      </c>
      <c r="M5" s="40">
        <f t="shared" si="0"/>
        <v>11.843386013122561</v>
      </c>
      <c r="N5" s="40">
        <f t="shared" si="0"/>
        <v>12.317121453647465</v>
      </c>
      <c r="O5" s="40">
        <f t="shared" si="0"/>
        <v>12.809806311793364</v>
      </c>
      <c r="P5" s="40">
        <f t="shared" si="0"/>
        <v>13.322198564265099</v>
      </c>
      <c r="Q5" s="40">
        <f t="shared" si="0"/>
        <v>13.855086506835704</v>
      </c>
      <c r="R5" s="40">
        <f t="shared" si="0"/>
        <v>14.409289967109133</v>
      </c>
      <c r="S5" s="40">
        <f t="shared" si="0"/>
        <v>14.9856615657935</v>
      </c>
      <c r="T5" s="40">
        <f t="shared" si="0"/>
        <v>15.58508802842524</v>
      </c>
      <c r="U5" s="40">
        <f t="shared" si="0"/>
        <v>16.20849154956225</v>
      </c>
      <c r="V5" s="40">
        <f t="shared" si="0"/>
        <v>16.856831211544741</v>
      </c>
      <c r="W5" s="40">
        <f t="shared" si="0"/>
        <v>17.531104460006532</v>
      </c>
      <c r="X5" s="40">
        <f t="shared" si="0"/>
        <v>18.232348638406794</v>
      </c>
      <c r="Y5" s="40">
        <f t="shared" si="0"/>
        <v>18.961642583943068</v>
      </c>
    </row>
    <row r="6" spans="1:25">
      <c r="A6" s="41">
        <v>37469</v>
      </c>
      <c r="B6" s="42">
        <v>5.49</v>
      </c>
      <c r="C6" s="46">
        <v>6.4399999999999999E-2</v>
      </c>
      <c r="E6" s="95" t="s">
        <v>111</v>
      </c>
      <c r="F6" s="95">
        <v>1.04</v>
      </c>
    </row>
    <row r="7" spans="1:25">
      <c r="A7" s="43">
        <v>37500</v>
      </c>
      <c r="B7" s="44">
        <v>6</v>
      </c>
      <c r="C7" s="45">
        <v>9.4E-2</v>
      </c>
    </row>
    <row r="8" spans="1:25">
      <c r="A8" s="41">
        <v>37530</v>
      </c>
      <c r="B8" s="42">
        <v>5.9</v>
      </c>
      <c r="C8" s="46">
        <v>-1.77E-2</v>
      </c>
    </row>
    <row r="9" spans="1:25">
      <c r="A9" s="43">
        <v>37561</v>
      </c>
      <c r="B9" s="44">
        <v>5.17</v>
      </c>
      <c r="C9" s="45">
        <v>-0.1236</v>
      </c>
    </row>
    <row r="10" spans="1:25">
      <c r="A10" s="41">
        <v>37591</v>
      </c>
      <c r="B10" s="42">
        <v>5.8</v>
      </c>
      <c r="C10" s="46">
        <v>0.1222</v>
      </c>
    </row>
    <row r="11" spans="1:25">
      <c r="A11" s="43">
        <v>37622</v>
      </c>
      <c r="B11" s="44">
        <v>6.13</v>
      </c>
      <c r="C11" s="45">
        <v>5.62E-2</v>
      </c>
    </row>
    <row r="12" spans="1:25">
      <c r="A12" s="41">
        <v>37653</v>
      </c>
      <c r="B12" s="42">
        <v>7.39</v>
      </c>
      <c r="C12" s="46">
        <v>0.20580000000000001</v>
      </c>
    </row>
    <row r="13" spans="1:25">
      <c r="A13" s="43">
        <v>37681</v>
      </c>
      <c r="B13" s="44">
        <v>6.48</v>
      </c>
      <c r="C13" s="45">
        <v>-0.12230000000000001</v>
      </c>
    </row>
    <row r="14" spans="1:25">
      <c r="A14" s="41">
        <v>37712</v>
      </c>
      <c r="B14" s="42">
        <v>5.37</v>
      </c>
      <c r="C14" s="46">
        <v>-0.17230000000000001</v>
      </c>
    </row>
    <row r="15" spans="1:25">
      <c r="A15" s="43">
        <v>37742</v>
      </c>
      <c r="B15" s="44">
        <v>4.8600000000000003</v>
      </c>
      <c r="C15" s="45">
        <v>-9.5000000000000001E-2</v>
      </c>
    </row>
    <row r="16" spans="1:25">
      <c r="A16" s="41">
        <v>37773</v>
      </c>
      <c r="B16" s="42">
        <v>5.24</v>
      </c>
      <c r="C16" s="46">
        <v>7.8200000000000006E-2</v>
      </c>
    </row>
    <row r="17" spans="1:3">
      <c r="A17" s="43">
        <v>37803</v>
      </c>
      <c r="B17" s="44">
        <v>5.69</v>
      </c>
      <c r="C17" s="45">
        <v>8.5800000000000001E-2</v>
      </c>
    </row>
    <row r="18" spans="1:3">
      <c r="A18" s="41">
        <v>37834</v>
      </c>
      <c r="B18" s="42">
        <v>6.1</v>
      </c>
      <c r="C18" s="46">
        <v>7.3099999999999998E-2</v>
      </c>
    </row>
    <row r="19" spans="1:3">
      <c r="A19" s="43">
        <v>37865</v>
      </c>
      <c r="B19" s="44">
        <v>5.39</v>
      </c>
      <c r="C19" s="45">
        <v>-0.1163</v>
      </c>
    </row>
    <row r="20" spans="1:3">
      <c r="A20" s="41">
        <v>37895</v>
      </c>
      <c r="B20" s="42">
        <v>5.77</v>
      </c>
      <c r="C20" s="46">
        <v>6.9699999999999998E-2</v>
      </c>
    </row>
    <row r="21" spans="1:3">
      <c r="A21" s="43">
        <v>37926</v>
      </c>
      <c r="B21" s="44">
        <v>5.82</v>
      </c>
      <c r="C21" s="45">
        <v>9.4000000000000004E-3</v>
      </c>
    </row>
    <row r="22" spans="1:3">
      <c r="A22" s="41">
        <v>37956</v>
      </c>
      <c r="B22" s="42">
        <v>5.88</v>
      </c>
      <c r="C22" s="46">
        <v>9.2999999999999992E-3</v>
      </c>
    </row>
    <row r="23" spans="1:3">
      <c r="A23" s="43">
        <v>37987</v>
      </c>
      <c r="B23" s="44">
        <v>6.8</v>
      </c>
      <c r="C23" s="45">
        <v>0.157</v>
      </c>
    </row>
    <row r="24" spans="1:3">
      <c r="A24" s="41">
        <v>38018</v>
      </c>
      <c r="B24" s="42">
        <v>6.48</v>
      </c>
      <c r="C24" s="46">
        <v>-4.7399999999999998E-2</v>
      </c>
    </row>
    <row r="25" spans="1:3">
      <c r="A25" s="43">
        <v>38047</v>
      </c>
      <c r="B25" s="44">
        <v>6.6</v>
      </c>
      <c r="C25" s="45">
        <v>1.84E-2</v>
      </c>
    </row>
    <row r="26" spans="1:3">
      <c r="A26" s="41">
        <v>38078</v>
      </c>
      <c r="B26" s="42">
        <v>6.74</v>
      </c>
      <c r="C26" s="46">
        <v>2.12E-2</v>
      </c>
    </row>
    <row r="27" spans="1:3">
      <c r="A27" s="43">
        <v>38108</v>
      </c>
      <c r="B27" s="44">
        <v>7.46</v>
      </c>
      <c r="C27" s="45">
        <v>0.1079</v>
      </c>
    </row>
    <row r="28" spans="1:3">
      <c r="A28" s="41">
        <v>38139</v>
      </c>
      <c r="B28" s="42">
        <v>7.05</v>
      </c>
      <c r="C28" s="46">
        <v>-5.6000000000000001E-2</v>
      </c>
    </row>
    <row r="29" spans="1:3">
      <c r="A29" s="43">
        <v>38169</v>
      </c>
      <c r="B29" s="44">
        <v>7.91</v>
      </c>
      <c r="C29" s="45">
        <v>0.1231</v>
      </c>
    </row>
    <row r="30" spans="1:3">
      <c r="A30" s="41">
        <v>38200</v>
      </c>
      <c r="B30" s="42">
        <v>8.4</v>
      </c>
      <c r="C30" s="46">
        <v>6.13E-2</v>
      </c>
    </row>
    <row r="31" spans="1:3">
      <c r="A31" s="43">
        <v>38231</v>
      </c>
      <c r="B31" s="44">
        <v>9.32</v>
      </c>
      <c r="C31" s="45">
        <v>0.11</v>
      </c>
    </row>
    <row r="32" spans="1:3">
      <c r="A32" s="41">
        <v>38261</v>
      </c>
      <c r="B32" s="42">
        <v>10.01</v>
      </c>
      <c r="C32" s="46">
        <v>7.4399999999999994E-2</v>
      </c>
    </row>
    <row r="33" spans="1:3">
      <c r="A33" s="43">
        <v>38292</v>
      </c>
      <c r="B33" s="44">
        <v>8.44</v>
      </c>
      <c r="C33" s="45">
        <v>-0.15720000000000001</v>
      </c>
    </row>
    <row r="34" spans="1:3">
      <c r="A34" s="41">
        <v>38322</v>
      </c>
      <c r="B34" s="42">
        <v>7.5</v>
      </c>
      <c r="C34" s="46">
        <v>-0.1114</v>
      </c>
    </row>
    <row r="35" spans="1:3">
      <c r="A35" s="43">
        <v>38353</v>
      </c>
      <c r="B35" s="44">
        <v>8.35</v>
      </c>
      <c r="C35" s="45">
        <v>0.1134</v>
      </c>
    </row>
    <row r="36" spans="1:3">
      <c r="A36" s="41">
        <v>38384</v>
      </c>
      <c r="B36" s="42">
        <v>8.56</v>
      </c>
      <c r="C36" s="46">
        <v>2.4899999999999999E-2</v>
      </c>
    </row>
    <row r="37" spans="1:3">
      <c r="A37" s="43">
        <v>38412</v>
      </c>
      <c r="B37" s="44">
        <v>9.6999999999999993</v>
      </c>
      <c r="C37" s="45">
        <v>0.13370000000000001</v>
      </c>
    </row>
    <row r="38" spans="1:3">
      <c r="A38" s="41">
        <v>38443</v>
      </c>
      <c r="B38" s="42">
        <v>9.94</v>
      </c>
      <c r="C38" s="46">
        <v>2.46E-2</v>
      </c>
    </row>
    <row r="39" spans="1:3">
      <c r="A39" s="43">
        <v>38473</v>
      </c>
      <c r="B39" s="44">
        <v>9.36</v>
      </c>
      <c r="C39" s="45">
        <v>-5.8500000000000003E-2</v>
      </c>
    </row>
    <row r="40" spans="1:3">
      <c r="A40" s="41">
        <v>38504</v>
      </c>
      <c r="B40" s="42">
        <v>10.73</v>
      </c>
      <c r="C40" s="46">
        <v>0.14599999999999999</v>
      </c>
    </row>
    <row r="41" spans="1:3">
      <c r="A41" s="43">
        <v>38534</v>
      </c>
      <c r="B41" s="44">
        <v>10.94</v>
      </c>
      <c r="C41" s="45">
        <v>2.0299999999999999E-2</v>
      </c>
    </row>
    <row r="42" spans="1:3">
      <c r="A42" s="41">
        <v>38565</v>
      </c>
      <c r="B42" s="42">
        <v>12.07</v>
      </c>
      <c r="C42" s="46">
        <v>0.10290000000000001</v>
      </c>
    </row>
    <row r="43" spans="1:3">
      <c r="A43" s="43">
        <v>38596</v>
      </c>
      <c r="B43" s="44">
        <v>14.22</v>
      </c>
      <c r="C43" s="45">
        <v>0.1784</v>
      </c>
    </row>
    <row r="44" spans="1:3">
      <c r="A44" s="41">
        <v>38626</v>
      </c>
      <c r="B44" s="42">
        <v>15.64</v>
      </c>
      <c r="C44" s="46">
        <v>9.9500000000000005E-2</v>
      </c>
    </row>
    <row r="45" spans="1:3">
      <c r="A45" s="43">
        <v>38657</v>
      </c>
      <c r="B45" s="44">
        <v>11.3</v>
      </c>
      <c r="C45" s="45">
        <v>-0.2772</v>
      </c>
    </row>
    <row r="46" spans="1:3">
      <c r="A46" s="41">
        <v>38687</v>
      </c>
      <c r="B46" s="42">
        <v>11.62</v>
      </c>
      <c r="C46" s="46">
        <v>2.76E-2</v>
      </c>
    </row>
    <row r="47" spans="1:3">
      <c r="A47" s="43">
        <v>38718</v>
      </c>
      <c r="B47" s="44">
        <v>12.06</v>
      </c>
      <c r="C47" s="45">
        <v>3.8199999999999998E-2</v>
      </c>
    </row>
    <row r="48" spans="1:3">
      <c r="A48" s="41">
        <v>38749</v>
      </c>
      <c r="B48" s="42">
        <v>11.85</v>
      </c>
      <c r="C48" s="46">
        <v>-1.7000000000000001E-2</v>
      </c>
    </row>
    <row r="49" spans="1:3">
      <c r="A49" s="43">
        <v>38777</v>
      </c>
      <c r="B49" s="44">
        <v>12.44</v>
      </c>
      <c r="C49" s="45">
        <v>4.9700000000000001E-2</v>
      </c>
    </row>
    <row r="50" spans="1:3">
      <c r="A50" s="41">
        <v>38808</v>
      </c>
      <c r="B50" s="42">
        <v>13.24</v>
      </c>
      <c r="C50" s="46">
        <v>6.4299999999999996E-2</v>
      </c>
    </row>
    <row r="51" spans="1:3">
      <c r="A51" s="43">
        <v>38838</v>
      </c>
      <c r="B51" s="44">
        <v>12.64</v>
      </c>
      <c r="C51" s="45">
        <v>-4.5199999999999997E-2</v>
      </c>
    </row>
    <row r="52" spans="1:3">
      <c r="A52" s="41">
        <v>38869</v>
      </c>
      <c r="B52" s="42">
        <v>12.95</v>
      </c>
      <c r="C52" s="46">
        <v>2.4E-2</v>
      </c>
    </row>
    <row r="53" spans="1:3">
      <c r="A53" s="43">
        <v>38899</v>
      </c>
      <c r="B53" s="44">
        <v>13.49</v>
      </c>
      <c r="C53" s="45">
        <v>4.1599999999999998E-2</v>
      </c>
    </row>
    <row r="54" spans="1:3">
      <c r="A54" s="41">
        <v>38930</v>
      </c>
      <c r="B54" s="42">
        <v>13.29</v>
      </c>
      <c r="C54" s="46">
        <v>-1.4800000000000001E-2</v>
      </c>
    </row>
    <row r="55" spans="1:3">
      <c r="A55" s="43">
        <v>38961</v>
      </c>
      <c r="B55" s="44">
        <v>11.74</v>
      </c>
      <c r="C55" s="45">
        <v>-0.11650000000000001</v>
      </c>
    </row>
    <row r="56" spans="1:3">
      <c r="A56" s="41">
        <v>38991</v>
      </c>
      <c r="B56" s="42">
        <v>11.59</v>
      </c>
      <c r="C56" s="46">
        <v>-1.3100000000000001E-2</v>
      </c>
    </row>
    <row r="57" spans="1:3">
      <c r="A57" s="43">
        <v>39022</v>
      </c>
      <c r="B57" s="44">
        <v>11.1</v>
      </c>
      <c r="C57" s="45">
        <v>-4.1700000000000001E-2</v>
      </c>
    </row>
    <row r="58" spans="1:3">
      <c r="A58" s="41">
        <v>39052</v>
      </c>
      <c r="B58" s="42">
        <v>11.18</v>
      </c>
      <c r="C58" s="46">
        <v>6.4999999999999997E-3</v>
      </c>
    </row>
    <row r="59" spans="1:3">
      <c r="A59" s="43">
        <v>39083</v>
      </c>
      <c r="B59" s="44">
        <v>10.54</v>
      </c>
      <c r="C59" s="45">
        <v>-5.67E-2</v>
      </c>
    </row>
    <row r="60" spans="1:3">
      <c r="A60" s="41">
        <v>39114</v>
      </c>
      <c r="B60" s="42">
        <v>10.76</v>
      </c>
      <c r="C60" s="46">
        <v>2.1100000000000001E-2</v>
      </c>
    </row>
    <row r="61" spans="1:3">
      <c r="A61" s="43">
        <v>39142</v>
      </c>
      <c r="B61" s="44">
        <v>11.34</v>
      </c>
      <c r="C61" s="45">
        <v>5.33E-2</v>
      </c>
    </row>
    <row r="62" spans="1:3">
      <c r="A62" s="41">
        <v>39173</v>
      </c>
      <c r="B62" s="42">
        <v>12.22</v>
      </c>
      <c r="C62" s="46">
        <v>7.8200000000000006E-2</v>
      </c>
    </row>
    <row r="63" spans="1:3">
      <c r="A63" s="43">
        <v>39203</v>
      </c>
      <c r="B63" s="44">
        <v>12.31</v>
      </c>
      <c r="C63" s="45">
        <v>7.1999999999999998E-3</v>
      </c>
    </row>
    <row r="64" spans="1:3">
      <c r="A64" s="41">
        <v>39234</v>
      </c>
      <c r="B64" s="42">
        <v>12.61</v>
      </c>
      <c r="C64" s="46">
        <v>2.3900000000000001E-2</v>
      </c>
    </row>
    <row r="65" spans="1:3">
      <c r="A65" s="43">
        <v>39264</v>
      </c>
      <c r="B65" s="44">
        <v>12.36</v>
      </c>
      <c r="C65" s="45">
        <v>-1.9199999999999998E-2</v>
      </c>
    </row>
    <row r="66" spans="1:3">
      <c r="A66" s="41">
        <v>39295</v>
      </c>
      <c r="B66" s="42">
        <v>12.25</v>
      </c>
      <c r="C66" s="46">
        <v>-9.4999999999999998E-3</v>
      </c>
    </row>
    <row r="67" spans="1:3">
      <c r="A67" s="43">
        <v>39326</v>
      </c>
      <c r="B67" s="44">
        <v>12.77</v>
      </c>
      <c r="C67" s="45">
        <v>4.2500000000000003E-2</v>
      </c>
    </row>
    <row r="68" spans="1:3">
      <c r="A68" s="41">
        <v>39356</v>
      </c>
      <c r="B68" s="42">
        <v>12.83</v>
      </c>
      <c r="C68" s="46">
        <v>5.1000000000000004E-3</v>
      </c>
    </row>
    <row r="69" spans="1:3">
      <c r="A69" s="43">
        <v>39387</v>
      </c>
      <c r="B69" s="44">
        <v>14.48</v>
      </c>
      <c r="C69" s="45">
        <v>0.12809999999999999</v>
      </c>
    </row>
    <row r="70" spans="1:3">
      <c r="A70" s="41">
        <v>39417</v>
      </c>
      <c r="B70" s="42">
        <v>14.3</v>
      </c>
      <c r="C70" s="46">
        <v>-1.24E-2</v>
      </c>
    </row>
    <row r="71" spans="1:3">
      <c r="A71" s="43">
        <v>39448</v>
      </c>
      <c r="B71" s="44">
        <v>14.08</v>
      </c>
      <c r="C71" s="45">
        <v>-1.5299999999999999E-2</v>
      </c>
    </row>
    <row r="72" spans="1:3">
      <c r="A72" s="41">
        <v>39479</v>
      </c>
      <c r="B72" s="42">
        <v>14.7</v>
      </c>
      <c r="C72" s="46">
        <v>4.4400000000000002E-2</v>
      </c>
    </row>
    <row r="73" spans="1:3">
      <c r="A73" s="43">
        <v>39508</v>
      </c>
      <c r="B73" s="44">
        <v>16.02</v>
      </c>
      <c r="C73" s="45">
        <v>8.9300000000000004E-2</v>
      </c>
    </row>
    <row r="74" spans="1:3">
      <c r="A74" s="41">
        <v>39539</v>
      </c>
      <c r="B74" s="42">
        <v>17.010000000000002</v>
      </c>
      <c r="C74" s="46">
        <v>6.2399999999999997E-2</v>
      </c>
    </row>
    <row r="75" spans="1:3">
      <c r="A75" s="43">
        <v>39569</v>
      </c>
      <c r="B75" s="44">
        <v>18.89</v>
      </c>
      <c r="C75" s="45">
        <v>0.1105</v>
      </c>
    </row>
    <row r="76" spans="1:3">
      <c r="A76" s="41">
        <v>39600</v>
      </c>
      <c r="B76" s="42">
        <v>19.940000000000001</v>
      </c>
      <c r="C76" s="46">
        <v>5.5199999999999999E-2</v>
      </c>
    </row>
    <row r="77" spans="1:3">
      <c r="A77" s="43">
        <v>39630</v>
      </c>
      <c r="B77" s="44">
        <v>19.829999999999998</v>
      </c>
      <c r="C77" s="45">
        <v>-5.1000000000000004E-3</v>
      </c>
    </row>
    <row r="78" spans="1:3">
      <c r="A78" s="41">
        <v>39661</v>
      </c>
      <c r="B78" s="42">
        <v>17.41</v>
      </c>
      <c r="C78" s="46">
        <v>-0.12239999999999999</v>
      </c>
    </row>
    <row r="79" spans="1:3">
      <c r="A79" s="43">
        <v>39692</v>
      </c>
      <c r="B79" s="44">
        <v>19.16</v>
      </c>
      <c r="C79" s="45">
        <v>0.1008</v>
      </c>
    </row>
    <row r="80" spans="1:3">
      <c r="A80" s="41">
        <v>39722</v>
      </c>
      <c r="B80" s="42">
        <v>14.96</v>
      </c>
      <c r="C80" s="46">
        <v>-0.21920000000000001</v>
      </c>
    </row>
    <row r="81" spans="1:3">
      <c r="A81" s="43">
        <v>39753</v>
      </c>
      <c r="B81" s="44">
        <v>13.01</v>
      </c>
      <c r="C81" s="45">
        <v>-0.1305</v>
      </c>
    </row>
    <row r="82" spans="1:3">
      <c r="A82" s="41">
        <v>39783</v>
      </c>
      <c r="B82" s="42">
        <v>9.6300000000000008</v>
      </c>
      <c r="C82" s="46">
        <v>-0.25950000000000001</v>
      </c>
    </row>
    <row r="83" spans="1:3">
      <c r="A83" s="43">
        <v>39814</v>
      </c>
      <c r="B83" s="44">
        <v>10.23</v>
      </c>
      <c r="C83" s="45">
        <v>6.1699999999999998E-2</v>
      </c>
    </row>
    <row r="84" spans="1:3">
      <c r="A84" s="41">
        <v>39845</v>
      </c>
      <c r="B84" s="42">
        <v>8.65</v>
      </c>
      <c r="C84" s="46">
        <v>-0.1537</v>
      </c>
    </row>
    <row r="85" spans="1:3">
      <c r="A85" s="43">
        <v>39873</v>
      </c>
      <c r="B85" s="44">
        <v>8.6</v>
      </c>
      <c r="C85" s="45">
        <v>-6.4999999999999997E-3</v>
      </c>
    </row>
    <row r="86" spans="1:3">
      <c r="A86" s="41">
        <v>39904</v>
      </c>
      <c r="B86" s="42">
        <v>9.1300000000000008</v>
      </c>
      <c r="C86" s="46">
        <v>6.13E-2</v>
      </c>
    </row>
    <row r="87" spans="1:3">
      <c r="A87" s="43">
        <v>39934</v>
      </c>
      <c r="B87" s="44">
        <v>9.59</v>
      </c>
      <c r="C87" s="45">
        <v>5.0900000000000001E-2</v>
      </c>
    </row>
    <row r="88" spans="1:3">
      <c r="A88" s="41">
        <v>39965</v>
      </c>
      <c r="B88" s="42">
        <v>11.53</v>
      </c>
      <c r="C88" s="46">
        <v>0.2021</v>
      </c>
    </row>
    <row r="89" spans="1:3">
      <c r="A89" s="43">
        <v>39995</v>
      </c>
      <c r="B89" s="44">
        <v>10.88</v>
      </c>
      <c r="C89" s="45">
        <v>-5.6500000000000002E-2</v>
      </c>
    </row>
    <row r="90" spans="1:3">
      <c r="A90" s="41">
        <v>40026</v>
      </c>
      <c r="B90" s="42">
        <v>11.44</v>
      </c>
      <c r="C90" s="46">
        <v>5.1900000000000002E-2</v>
      </c>
    </row>
    <row r="91" spans="1:3">
      <c r="A91" s="43">
        <v>40057</v>
      </c>
      <c r="B91" s="44">
        <v>10.32</v>
      </c>
      <c r="C91" s="45">
        <v>-9.8400000000000001E-2</v>
      </c>
    </row>
    <row r="92" spans="1:3">
      <c r="A92" s="41">
        <v>40087</v>
      </c>
      <c r="B92" s="42">
        <v>10.95</v>
      </c>
      <c r="C92" s="46">
        <v>6.1899999999999997E-2</v>
      </c>
    </row>
    <row r="93" spans="1:3">
      <c r="A93" s="43">
        <v>40118</v>
      </c>
      <c r="B93" s="44">
        <v>11.21</v>
      </c>
      <c r="C93" s="45">
        <v>2.29E-2</v>
      </c>
    </row>
    <row r="94" spans="1:3">
      <c r="A94" s="41">
        <v>40148</v>
      </c>
      <c r="B94" s="42">
        <v>11.38</v>
      </c>
      <c r="C94" s="46">
        <v>1.5699999999999999E-2</v>
      </c>
    </row>
    <row r="95" spans="1:3">
      <c r="A95" s="43">
        <v>40179</v>
      </c>
      <c r="B95" s="44">
        <v>11.77</v>
      </c>
      <c r="C95" s="45">
        <v>3.3700000000000001E-2</v>
      </c>
    </row>
    <row r="96" spans="1:3">
      <c r="A96" s="41">
        <v>40210</v>
      </c>
      <c r="B96" s="42">
        <v>11.77</v>
      </c>
      <c r="C96" s="46">
        <v>0</v>
      </c>
    </row>
    <row r="97" spans="1:3">
      <c r="A97" s="43">
        <v>40238</v>
      </c>
      <c r="B97" s="44">
        <v>12.47</v>
      </c>
      <c r="C97" s="45">
        <v>5.9799999999999999E-2</v>
      </c>
    </row>
    <row r="98" spans="1:3">
      <c r="A98" s="41">
        <v>40269</v>
      </c>
      <c r="B98" s="42">
        <v>13.27</v>
      </c>
      <c r="C98" s="46">
        <v>6.4100000000000004E-2</v>
      </c>
    </row>
    <row r="99" spans="1:3">
      <c r="A99" s="43">
        <v>40299</v>
      </c>
      <c r="B99" s="44">
        <v>12.93</v>
      </c>
      <c r="C99" s="45">
        <v>-2.5399999999999999E-2</v>
      </c>
    </row>
    <row r="100" spans="1:3">
      <c r="A100" s="41">
        <v>40330</v>
      </c>
      <c r="B100" s="42">
        <v>13.33</v>
      </c>
      <c r="C100" s="46">
        <v>3.0800000000000001E-2</v>
      </c>
    </row>
    <row r="101" spans="1:3">
      <c r="A101" s="43">
        <v>40360</v>
      </c>
      <c r="B101" s="44">
        <v>12.69</v>
      </c>
      <c r="C101" s="45">
        <v>-4.8099999999999997E-2</v>
      </c>
    </row>
    <row r="102" spans="1:3">
      <c r="A102" s="41">
        <v>40391</v>
      </c>
      <c r="B102" s="42">
        <v>12.82</v>
      </c>
      <c r="C102" s="46">
        <v>1.04E-2</v>
      </c>
    </row>
    <row r="103" spans="1:3">
      <c r="A103" s="43">
        <v>40422</v>
      </c>
      <c r="B103" s="44">
        <v>12.81</v>
      </c>
      <c r="C103" s="45">
        <v>-1E-3</v>
      </c>
    </row>
    <row r="104" spans="1:3">
      <c r="A104" s="41">
        <v>40452</v>
      </c>
      <c r="B104" s="42">
        <v>13.12</v>
      </c>
      <c r="C104" s="46">
        <v>2.46E-2</v>
      </c>
    </row>
    <row r="105" spans="1:3">
      <c r="A105" s="43">
        <v>40483</v>
      </c>
      <c r="B105" s="44">
        <v>13.8</v>
      </c>
      <c r="C105" s="45">
        <v>5.1400000000000001E-2</v>
      </c>
    </row>
    <row r="106" spans="1:3">
      <c r="A106" s="41">
        <v>40513</v>
      </c>
      <c r="B106" s="42">
        <v>14.68</v>
      </c>
      <c r="C106" s="46">
        <v>6.4000000000000001E-2</v>
      </c>
    </row>
    <row r="107" spans="1:3">
      <c r="A107" s="43">
        <v>40544</v>
      </c>
      <c r="B107" s="44">
        <v>15.33</v>
      </c>
      <c r="C107" s="45">
        <v>4.4600000000000001E-2</v>
      </c>
    </row>
    <row r="108" spans="1:3">
      <c r="A108" s="41">
        <v>40575</v>
      </c>
      <c r="B108" s="42">
        <v>16.28</v>
      </c>
      <c r="C108" s="46">
        <v>6.1400000000000003E-2</v>
      </c>
    </row>
    <row r="109" spans="1:3">
      <c r="A109" s="43">
        <v>40603</v>
      </c>
      <c r="B109" s="44">
        <v>17.48</v>
      </c>
      <c r="C109" s="45">
        <v>7.3899999999999993E-2</v>
      </c>
    </row>
    <row r="110" spans="1:3">
      <c r="A110" s="41">
        <v>40634</v>
      </c>
      <c r="B110" s="42">
        <v>17.670000000000002</v>
      </c>
      <c r="C110" s="46">
        <v>1.11E-2</v>
      </c>
    </row>
    <row r="111" spans="1:3">
      <c r="A111" s="43">
        <v>40664</v>
      </c>
      <c r="B111" s="44">
        <v>16.82</v>
      </c>
      <c r="C111" s="45">
        <v>-4.8099999999999997E-2</v>
      </c>
    </row>
    <row r="112" spans="1:3">
      <c r="A112" s="41">
        <v>40695</v>
      </c>
      <c r="B112" s="42">
        <v>16.59</v>
      </c>
      <c r="C112" s="46">
        <v>-1.37E-2</v>
      </c>
    </row>
    <row r="113" spans="1:3">
      <c r="A113" s="43">
        <v>40725</v>
      </c>
      <c r="B113" s="44">
        <v>17.12</v>
      </c>
      <c r="C113" s="45">
        <v>3.1699999999999999E-2</v>
      </c>
    </row>
    <row r="114" spans="1:3">
      <c r="A114" s="41">
        <v>40756</v>
      </c>
      <c r="B114" s="42">
        <v>16.329999999999998</v>
      </c>
      <c r="C114" s="46">
        <v>-4.5900000000000003E-2</v>
      </c>
    </row>
    <row r="115" spans="1:3">
      <c r="A115" s="43">
        <v>40787</v>
      </c>
      <c r="B115" s="44">
        <v>16.57</v>
      </c>
      <c r="C115" s="45">
        <v>1.4500000000000001E-2</v>
      </c>
    </row>
    <row r="116" spans="1:3">
      <c r="A116" s="41">
        <v>40817</v>
      </c>
      <c r="B116" s="42">
        <v>16.760000000000002</v>
      </c>
      <c r="C116" s="46">
        <v>1.15E-2</v>
      </c>
    </row>
    <row r="117" spans="1:3">
      <c r="A117" s="43">
        <v>40848</v>
      </c>
      <c r="B117" s="44">
        <v>17.46</v>
      </c>
      <c r="C117" s="45">
        <v>4.1500000000000002E-2</v>
      </c>
    </row>
    <row r="118" spans="1:3">
      <c r="A118" s="41">
        <v>40878</v>
      </c>
      <c r="B118" s="42">
        <v>16.89</v>
      </c>
      <c r="C118" s="46">
        <v>-3.2500000000000001E-2</v>
      </c>
    </row>
    <row r="119" spans="1:3">
      <c r="A119" s="43">
        <v>40909</v>
      </c>
      <c r="B119" s="44">
        <v>18.34</v>
      </c>
      <c r="C119" s="45">
        <v>8.5900000000000004E-2</v>
      </c>
    </row>
    <row r="120" spans="1:3">
      <c r="A120" s="41">
        <v>40940</v>
      </c>
      <c r="B120" s="42">
        <v>18.329999999999998</v>
      </c>
      <c r="C120" s="46">
        <v>-5.9999999999999995E-4</v>
      </c>
    </row>
    <row r="121" spans="1:3">
      <c r="A121" s="43">
        <v>40969</v>
      </c>
      <c r="B121" s="44">
        <v>18.579999999999998</v>
      </c>
      <c r="C121" s="45">
        <v>1.3599999999999999E-2</v>
      </c>
    </row>
    <row r="122" spans="1:3">
      <c r="A122" s="41">
        <v>41000</v>
      </c>
      <c r="B122" s="42">
        <v>18.54</v>
      </c>
      <c r="C122" s="46">
        <v>-1.8E-3</v>
      </c>
    </row>
    <row r="123" spans="1:3">
      <c r="A123" s="43">
        <v>41030</v>
      </c>
      <c r="B123" s="44">
        <v>17.55</v>
      </c>
      <c r="C123" s="45">
        <v>-5.3400000000000003E-2</v>
      </c>
    </row>
    <row r="124" spans="1:3">
      <c r="A124" s="41">
        <v>41061</v>
      </c>
      <c r="B124" s="42">
        <v>16.12</v>
      </c>
      <c r="C124" s="46">
        <v>-8.1600000000000006E-2</v>
      </c>
    </row>
    <row r="125" spans="1:3">
      <c r="A125" s="43">
        <v>41091</v>
      </c>
      <c r="B125" s="44">
        <v>17.559999999999999</v>
      </c>
      <c r="C125" s="45">
        <v>8.9499999999999996E-2</v>
      </c>
    </row>
    <row r="126" spans="1:3">
      <c r="A126" s="41">
        <v>41122</v>
      </c>
      <c r="B126" s="42">
        <v>18.64</v>
      </c>
      <c r="C126" s="46">
        <v>6.1400000000000003E-2</v>
      </c>
    </row>
    <row r="127" spans="1:3">
      <c r="A127" s="43">
        <v>41153</v>
      </c>
      <c r="B127" s="44">
        <v>18.350000000000001</v>
      </c>
      <c r="C127" s="45">
        <v>-1.5900000000000001E-2</v>
      </c>
    </row>
    <row r="128" spans="1:3">
      <c r="A128" s="41">
        <v>41183</v>
      </c>
      <c r="B128" s="42">
        <v>17.75</v>
      </c>
      <c r="C128" s="46">
        <v>-3.2599999999999997E-2</v>
      </c>
    </row>
    <row r="129" spans="1:3">
      <c r="A129" s="43">
        <v>41214</v>
      </c>
      <c r="B129" s="44">
        <v>16.95</v>
      </c>
      <c r="C129" s="45">
        <v>-4.4900000000000002E-2</v>
      </c>
    </row>
    <row r="130" spans="1:3">
      <c r="A130" s="41">
        <v>41244</v>
      </c>
      <c r="B130" s="42">
        <v>16.48</v>
      </c>
      <c r="C130" s="46">
        <v>-2.7900000000000001E-2</v>
      </c>
    </row>
    <row r="131" spans="1:3">
      <c r="A131" s="43">
        <v>41275</v>
      </c>
      <c r="B131" s="44">
        <v>17.170000000000002</v>
      </c>
      <c r="C131" s="45">
        <v>4.19E-2</v>
      </c>
    </row>
    <row r="132" spans="1:3">
      <c r="A132" s="41">
        <v>41306</v>
      </c>
      <c r="B132" s="42">
        <v>17.86</v>
      </c>
      <c r="C132" s="46">
        <v>4.0300000000000002E-2</v>
      </c>
    </row>
    <row r="133" spans="1:3">
      <c r="A133" s="43">
        <v>41334</v>
      </c>
      <c r="B133" s="44">
        <v>17.14</v>
      </c>
      <c r="C133" s="45">
        <v>-4.0300000000000002E-2</v>
      </c>
    </row>
    <row r="134" spans="1:3">
      <c r="A134" s="41">
        <v>41365</v>
      </c>
      <c r="B134" s="42">
        <v>16.260000000000002</v>
      </c>
      <c r="C134" s="46">
        <v>-5.11E-2</v>
      </c>
    </row>
    <row r="135" spans="1:3">
      <c r="A135" s="43">
        <v>41395</v>
      </c>
      <c r="B135" s="44">
        <v>15.87</v>
      </c>
      <c r="C135" s="45">
        <v>-2.4299999999999999E-2</v>
      </c>
    </row>
    <row r="136" spans="1:3">
      <c r="A136" s="41">
        <v>41426</v>
      </c>
      <c r="B136" s="42">
        <v>16.25</v>
      </c>
      <c r="C136" s="46">
        <v>2.41E-2</v>
      </c>
    </row>
    <row r="137" spans="1:3">
      <c r="A137" s="43">
        <v>41456</v>
      </c>
      <c r="B137" s="44">
        <v>17.41</v>
      </c>
      <c r="C137" s="45">
        <v>7.1599999999999997E-2</v>
      </c>
    </row>
    <row r="138" spans="1:3">
      <c r="A138" s="41">
        <v>41487</v>
      </c>
      <c r="B138" s="42">
        <v>17.91</v>
      </c>
      <c r="C138" s="46">
        <v>2.86E-2</v>
      </c>
    </row>
    <row r="139" spans="1:3">
      <c r="A139" s="43">
        <v>41518</v>
      </c>
      <c r="B139" s="44">
        <v>17.510000000000002</v>
      </c>
      <c r="C139" s="45">
        <v>-2.2599999999999999E-2</v>
      </c>
    </row>
    <row r="140" spans="1:3">
      <c r="A140" s="41">
        <v>41548</v>
      </c>
      <c r="B140" s="42">
        <v>17.18</v>
      </c>
      <c r="C140" s="46">
        <v>-1.8700000000000001E-2</v>
      </c>
    </row>
    <row r="141" spans="1:3">
      <c r="A141" s="43">
        <v>41579</v>
      </c>
      <c r="B141" s="44">
        <v>17.2</v>
      </c>
      <c r="C141" s="45">
        <v>1.5E-3</v>
      </c>
    </row>
    <row r="142" spans="1:3">
      <c r="A142" s="41">
        <v>41609</v>
      </c>
      <c r="B142" s="42">
        <v>18.14</v>
      </c>
      <c r="C142" s="46">
        <v>5.4100000000000002E-2</v>
      </c>
    </row>
    <row r="143" spans="1:3">
      <c r="A143" s="43">
        <v>41640</v>
      </c>
      <c r="B143" s="44">
        <v>18.010000000000002</v>
      </c>
      <c r="C143" s="45">
        <v>-7.1000000000000004E-3</v>
      </c>
    </row>
    <row r="144" spans="1:3">
      <c r="A144" s="41">
        <v>41671</v>
      </c>
      <c r="B144" s="42">
        <v>18.18</v>
      </c>
      <c r="C144" s="46">
        <v>9.7000000000000003E-3</v>
      </c>
    </row>
    <row r="145" spans="1:3">
      <c r="A145" s="43">
        <v>41699</v>
      </c>
      <c r="B145" s="44">
        <v>17.34</v>
      </c>
      <c r="C145" s="45">
        <v>-4.6600000000000003E-2</v>
      </c>
    </row>
    <row r="146" spans="1:3">
      <c r="A146" s="41">
        <v>41730</v>
      </c>
      <c r="B146" s="42">
        <v>17.25</v>
      </c>
      <c r="C146" s="46">
        <v>-5.0000000000000001E-3</v>
      </c>
    </row>
    <row r="147" spans="1:3">
      <c r="A147" s="43">
        <v>41760</v>
      </c>
      <c r="B147" s="44">
        <v>17.02</v>
      </c>
      <c r="C147" s="45">
        <v>-1.34E-2</v>
      </c>
    </row>
    <row r="148" spans="1:3">
      <c r="A148" s="41">
        <v>41791</v>
      </c>
      <c r="B148" s="42">
        <v>17.41</v>
      </c>
      <c r="C148" s="46">
        <v>2.3199999999999998E-2</v>
      </c>
    </row>
    <row r="149" spans="1:3">
      <c r="A149" s="43">
        <v>41821</v>
      </c>
      <c r="B149" s="44">
        <v>17.45</v>
      </c>
      <c r="C149" s="45">
        <v>2.3E-3</v>
      </c>
    </row>
    <row r="150" spans="1:3">
      <c r="A150" s="41">
        <v>41852</v>
      </c>
      <c r="B150" s="42">
        <v>17.59</v>
      </c>
      <c r="C150" s="46">
        <v>8.0000000000000002E-3</v>
      </c>
    </row>
    <row r="151" spans="1:3">
      <c r="A151" s="43">
        <v>41883</v>
      </c>
      <c r="B151" s="44">
        <v>17.32</v>
      </c>
      <c r="C151" s="45">
        <v>-1.5299999999999999E-2</v>
      </c>
    </row>
    <row r="152" spans="1:3">
      <c r="A152" s="41">
        <v>41913</v>
      </c>
      <c r="B152" s="42">
        <v>16.149999999999999</v>
      </c>
      <c r="C152" s="46">
        <v>-6.8000000000000005E-2</v>
      </c>
    </row>
    <row r="153" spans="1:3">
      <c r="A153" s="43">
        <v>41944</v>
      </c>
      <c r="B153" s="44">
        <v>15.61</v>
      </c>
      <c r="C153" s="45">
        <v>-3.3300000000000003E-2</v>
      </c>
    </row>
    <row r="154" spans="1:3">
      <c r="A154" s="41">
        <v>41974</v>
      </c>
      <c r="B154" s="42">
        <v>13.1</v>
      </c>
      <c r="C154" s="46">
        <v>-0.16089999999999999</v>
      </c>
    </row>
    <row r="155" spans="1:3">
      <c r="A155" s="43">
        <v>42005</v>
      </c>
      <c r="B155" s="44">
        <v>11.52</v>
      </c>
      <c r="C155" s="45">
        <v>-0.12039999999999999</v>
      </c>
    </row>
    <row r="156" spans="1:3">
      <c r="A156" s="41">
        <v>42036</v>
      </c>
      <c r="B156" s="42">
        <v>13.42</v>
      </c>
      <c r="C156" s="46">
        <v>0.16539999999999999</v>
      </c>
    </row>
    <row r="157" spans="1:3">
      <c r="A157" s="43">
        <v>42064</v>
      </c>
      <c r="B157" s="44">
        <v>13</v>
      </c>
      <c r="C157" s="45">
        <v>-3.1800000000000002E-2</v>
      </c>
    </row>
    <row r="158" spans="1:3">
      <c r="A158" s="41">
        <v>42095</v>
      </c>
      <c r="B158" s="42">
        <v>13.43</v>
      </c>
      <c r="C158" s="46">
        <v>3.3000000000000002E-2</v>
      </c>
    </row>
    <row r="159" spans="1:3">
      <c r="A159" s="43">
        <v>42125</v>
      </c>
      <c r="B159" s="44">
        <v>13.96</v>
      </c>
      <c r="C159" s="45">
        <v>3.95E-2</v>
      </c>
    </row>
    <row r="160" spans="1:3">
      <c r="A160" s="41">
        <v>42156</v>
      </c>
      <c r="B160" s="42">
        <v>13.52</v>
      </c>
      <c r="C160" s="46">
        <v>-3.1E-2</v>
      </c>
    </row>
    <row r="161" spans="1:3">
      <c r="A161" s="43">
        <v>42186</v>
      </c>
      <c r="B161" s="44">
        <v>12.6</v>
      </c>
      <c r="C161" s="45">
        <v>-6.8400000000000002E-2</v>
      </c>
    </row>
    <row r="162" spans="1:3">
      <c r="A162" s="41">
        <v>42217</v>
      </c>
      <c r="B162" s="42">
        <v>11.45</v>
      </c>
      <c r="C162" s="46">
        <v>-9.1300000000000006E-2</v>
      </c>
    </row>
    <row r="163" spans="1:3">
      <c r="A163" s="43">
        <v>42248</v>
      </c>
      <c r="B163" s="44">
        <v>11.56</v>
      </c>
      <c r="C163" s="45">
        <v>9.2999999999999992E-3</v>
      </c>
    </row>
    <row r="164" spans="1:3">
      <c r="A164" s="41">
        <v>42278</v>
      </c>
      <c r="B164" s="42">
        <v>11.52</v>
      </c>
      <c r="C164" s="46">
        <v>-3.3E-3</v>
      </c>
    </row>
    <row r="165" spans="1:3">
      <c r="A165" s="43">
        <v>42309</v>
      </c>
      <c r="B165" s="44">
        <v>11.43</v>
      </c>
      <c r="C165" s="45">
        <v>-7.9000000000000008E-3</v>
      </c>
    </row>
    <row r="166" spans="1:3">
      <c r="A166" s="41">
        <v>42339</v>
      </c>
      <c r="B166" s="42">
        <v>9.41</v>
      </c>
      <c r="C166" s="46">
        <v>-0.1762</v>
      </c>
    </row>
    <row r="167" spans="1:3">
      <c r="A167" s="43">
        <v>42370</v>
      </c>
      <c r="B167" s="44">
        <v>8.2100000000000009</v>
      </c>
      <c r="C167" s="45">
        <v>-0.128</v>
      </c>
    </row>
    <row r="168" spans="1:3">
      <c r="A168" s="41">
        <v>42401</v>
      </c>
      <c r="B168" s="42">
        <v>8.39</v>
      </c>
      <c r="C168" s="46">
        <v>2.18E-2</v>
      </c>
    </row>
    <row r="169" spans="1:3">
      <c r="A169" s="43">
        <v>42430</v>
      </c>
      <c r="B169" s="44">
        <v>9.09</v>
      </c>
      <c r="C169" s="45">
        <v>8.3900000000000002E-2</v>
      </c>
    </row>
    <row r="170" spans="1:3">
      <c r="A170" s="41">
        <v>42461</v>
      </c>
      <c r="B170" s="42">
        <v>9.43</v>
      </c>
      <c r="C170" s="46">
        <v>3.7100000000000001E-2</v>
      </c>
    </row>
    <row r="171" spans="1:3">
      <c r="A171" s="43">
        <v>42491</v>
      </c>
      <c r="B171" s="44">
        <v>10.69</v>
      </c>
      <c r="C171" s="45">
        <v>0.13389999999999999</v>
      </c>
    </row>
    <row r="172" spans="1:3">
      <c r="A172" s="41">
        <v>42522</v>
      </c>
      <c r="B172" s="42">
        <v>11.48</v>
      </c>
      <c r="C172" s="46">
        <v>7.3400000000000007E-2</v>
      </c>
    </row>
    <row r="173" spans="1:3">
      <c r="A173" s="43">
        <v>42552</v>
      </c>
      <c r="B173" s="44">
        <v>10.78</v>
      </c>
      <c r="C173" s="45">
        <v>-6.0999999999999999E-2</v>
      </c>
    </row>
    <row r="174" spans="1:3">
      <c r="A174" s="41">
        <v>42583</v>
      </c>
      <c r="B174" s="42">
        <v>10.75</v>
      </c>
      <c r="C174" s="46">
        <v>-2.8999999999999998E-3</v>
      </c>
    </row>
    <row r="175" spans="1:3">
      <c r="A175" s="43">
        <v>42614</v>
      </c>
      <c r="B175" s="44">
        <v>10.82</v>
      </c>
      <c r="C175" s="45">
        <v>7.3000000000000001E-3</v>
      </c>
    </row>
    <row r="176" spans="1:3">
      <c r="A176" s="41">
        <v>42644</v>
      </c>
      <c r="B176" s="42">
        <v>11.89</v>
      </c>
      <c r="C176" s="46">
        <v>9.8699999999999996E-2</v>
      </c>
    </row>
    <row r="177" spans="1:3">
      <c r="A177" s="43">
        <v>42675</v>
      </c>
      <c r="B177" s="44">
        <v>11.38</v>
      </c>
      <c r="C177" s="45">
        <v>-4.2900000000000001E-2</v>
      </c>
    </row>
    <row r="178" spans="1:3">
      <c r="A178" s="41">
        <v>42705</v>
      </c>
      <c r="B178" s="42">
        <v>12.77</v>
      </c>
      <c r="C178" s="46">
        <v>0.1216</v>
      </c>
    </row>
    <row r="179" spans="1:3">
      <c r="A179" s="43">
        <v>42736</v>
      </c>
      <c r="B179" s="44">
        <v>12.85</v>
      </c>
      <c r="C179" s="45">
        <v>6.4000000000000003E-3</v>
      </c>
    </row>
    <row r="180" spans="1:3">
      <c r="A180" s="41">
        <v>42767</v>
      </c>
      <c r="B180" s="42">
        <v>12.87</v>
      </c>
      <c r="C180" s="46">
        <v>2.0999999999999999E-3</v>
      </c>
    </row>
    <row r="181" spans="1:3">
      <c r="A181" s="43">
        <v>42795</v>
      </c>
      <c r="B181" s="44">
        <v>12.28</v>
      </c>
      <c r="C181" s="45">
        <v>-4.58E-2</v>
      </c>
    </row>
    <row r="182" spans="1:3">
      <c r="A182" s="41">
        <v>42826</v>
      </c>
      <c r="B182" s="42">
        <v>12.96</v>
      </c>
      <c r="C182" s="46">
        <v>5.4699999999999999E-2</v>
      </c>
    </row>
    <row r="183" spans="1:3">
      <c r="A183" s="43">
        <v>42856</v>
      </c>
      <c r="B183" s="44">
        <v>12.03</v>
      </c>
      <c r="C183" s="45">
        <v>-7.1400000000000005E-2</v>
      </c>
    </row>
    <row r="184" spans="1:3">
      <c r="A184" s="41">
        <v>42887</v>
      </c>
      <c r="B184" s="42">
        <v>10.96</v>
      </c>
      <c r="C184" s="46">
        <v>-8.8999999999999996E-2</v>
      </c>
    </row>
    <row r="185" spans="1:3">
      <c r="A185" s="43">
        <v>42917</v>
      </c>
      <c r="B185" s="44">
        <v>11.56</v>
      </c>
      <c r="C185" s="45">
        <v>5.4699999999999999E-2</v>
      </c>
    </row>
    <row r="186" spans="1:3">
      <c r="A186" s="41">
        <v>42948</v>
      </c>
      <c r="B186" s="42">
        <v>12.33</v>
      </c>
      <c r="C186" s="46">
        <v>6.6199999999999995E-2</v>
      </c>
    </row>
    <row r="187" spans="1:3">
      <c r="A187" s="43">
        <v>42979</v>
      </c>
      <c r="B187" s="44">
        <v>14.09</v>
      </c>
      <c r="C187" s="45">
        <v>0.1434</v>
      </c>
    </row>
    <row r="188" spans="1:3">
      <c r="A188" s="41">
        <v>43009</v>
      </c>
      <c r="B188" s="42">
        <v>13.25</v>
      </c>
      <c r="C188" s="46">
        <v>-6.0100000000000001E-2</v>
      </c>
    </row>
    <row r="189" spans="1:3">
      <c r="A189" s="43">
        <v>43040</v>
      </c>
      <c r="B189" s="44">
        <v>14.42</v>
      </c>
      <c r="C189" s="45">
        <v>8.8099999999999998E-2</v>
      </c>
    </row>
    <row r="190" spans="1:3">
      <c r="A190" s="41">
        <v>43070</v>
      </c>
      <c r="B190" s="42">
        <v>15.11</v>
      </c>
      <c r="C190" s="46">
        <v>4.8099999999999997E-2</v>
      </c>
    </row>
    <row r="191" spans="1:3">
      <c r="A191" s="43">
        <v>43101</v>
      </c>
      <c r="B191" s="44">
        <v>15.46</v>
      </c>
      <c r="C191" s="45">
        <v>2.3599999999999999E-2</v>
      </c>
    </row>
    <row r="192" spans="1:3">
      <c r="A192" s="41">
        <v>43132</v>
      </c>
      <c r="B192" s="42">
        <v>14.49</v>
      </c>
      <c r="C192" s="46">
        <v>-6.3200000000000006E-2</v>
      </c>
    </row>
    <row r="193" spans="1:3">
      <c r="A193" s="43">
        <v>43160</v>
      </c>
      <c r="B193" s="44">
        <v>14.43</v>
      </c>
      <c r="C193" s="45">
        <v>-3.8999999999999998E-3</v>
      </c>
    </row>
    <row r="194" spans="1:3">
      <c r="A194" s="41">
        <v>43191</v>
      </c>
      <c r="B194" s="42">
        <v>15.79</v>
      </c>
      <c r="C194" s="46">
        <v>9.4299999999999995E-2</v>
      </c>
    </row>
    <row r="195" spans="1:3">
      <c r="A195" s="43">
        <v>43221</v>
      </c>
      <c r="B195" s="44">
        <v>17.45</v>
      </c>
      <c r="C195" s="45">
        <v>0.10489999999999999</v>
      </c>
    </row>
    <row r="196" spans="1:3">
      <c r="A196" s="41">
        <v>43252</v>
      </c>
      <c r="B196" s="42">
        <v>16.96</v>
      </c>
      <c r="C196" s="46">
        <v>-2.81E-2</v>
      </c>
    </row>
    <row r="197" spans="1:3">
      <c r="A197" s="43">
        <v>43282</v>
      </c>
      <c r="B197" s="44">
        <v>17.05</v>
      </c>
      <c r="C197" s="45">
        <v>5.7000000000000002E-3</v>
      </c>
    </row>
    <row r="198" spans="1:3">
      <c r="A198" s="41">
        <v>43313</v>
      </c>
      <c r="B198" s="42">
        <v>17.64</v>
      </c>
      <c r="C198" s="46">
        <v>3.4200000000000001E-2</v>
      </c>
    </row>
    <row r="199" spans="1:3">
      <c r="A199" s="43">
        <v>43344</v>
      </c>
      <c r="B199" s="44">
        <v>18.05</v>
      </c>
      <c r="C199" s="45">
        <v>2.3599999999999999E-2</v>
      </c>
    </row>
    <row r="200" spans="1:3">
      <c r="A200" s="41">
        <v>43374</v>
      </c>
      <c r="B200" s="42">
        <v>18.559999999999999</v>
      </c>
      <c r="C200" s="46">
        <v>2.8299999999999999E-2</v>
      </c>
    </row>
    <row r="201" spans="1:3">
      <c r="A201" s="43">
        <v>43405</v>
      </c>
      <c r="B201" s="44">
        <v>16.46</v>
      </c>
      <c r="C201" s="45">
        <v>-0.1135</v>
      </c>
    </row>
    <row r="202" spans="1:3">
      <c r="A202" s="41">
        <v>43435</v>
      </c>
      <c r="B202" s="42">
        <v>14.6</v>
      </c>
      <c r="C202" s="46">
        <v>-0.11310000000000001</v>
      </c>
    </row>
    <row r="203" spans="1:3">
      <c r="A203" s="43">
        <v>43466</v>
      </c>
      <c r="B203" s="44">
        <v>15.25</v>
      </c>
      <c r="C203" s="45">
        <v>4.5199999999999997E-2</v>
      </c>
    </row>
    <row r="204" spans="1:3">
      <c r="A204" s="41">
        <v>43497</v>
      </c>
      <c r="B204" s="42">
        <v>16.43</v>
      </c>
      <c r="C204" s="46">
        <v>7.6999999999999999E-2</v>
      </c>
    </row>
    <row r="205" spans="1:3">
      <c r="A205" s="43">
        <v>43525</v>
      </c>
      <c r="B205" s="44">
        <v>16.350000000000001</v>
      </c>
      <c r="C205" s="45">
        <v>-4.5999999999999999E-3</v>
      </c>
    </row>
    <row r="206" spans="1:3">
      <c r="A206" s="41">
        <v>43556</v>
      </c>
      <c r="B206" s="42">
        <v>16.93</v>
      </c>
      <c r="C206" s="46">
        <v>3.5400000000000001E-2</v>
      </c>
    </row>
    <row r="207" spans="1:3">
      <c r="A207" s="43">
        <v>43586</v>
      </c>
      <c r="B207" s="44">
        <v>17.239999999999998</v>
      </c>
      <c r="C207" s="45">
        <v>1.8200000000000001E-2</v>
      </c>
    </row>
    <row r="208" spans="1:3">
      <c r="A208" s="41">
        <v>43617</v>
      </c>
      <c r="B208" s="42">
        <v>15.68</v>
      </c>
      <c r="C208" s="46">
        <v>-9.06E-2</v>
      </c>
    </row>
    <row r="209" spans="1:3">
      <c r="A209" s="43">
        <v>43647</v>
      </c>
      <c r="B209" s="44">
        <v>16.47</v>
      </c>
      <c r="C209" s="45">
        <v>5.0299999999999997E-2</v>
      </c>
    </row>
    <row r="210" spans="1:3">
      <c r="A210" s="41">
        <v>43678</v>
      </c>
      <c r="B210" s="42">
        <v>16.14</v>
      </c>
      <c r="C210" s="46">
        <v>-2.0199999999999999E-2</v>
      </c>
    </row>
    <row r="211" spans="1:3">
      <c r="A211" s="43">
        <v>43709</v>
      </c>
      <c r="B211" s="44">
        <v>16.91</v>
      </c>
      <c r="C211" s="45">
        <v>4.82E-2</v>
      </c>
    </row>
    <row r="212" spans="1:3">
      <c r="A212" s="41">
        <v>43739</v>
      </c>
      <c r="B212" s="42">
        <v>17.03</v>
      </c>
      <c r="C212" s="46">
        <v>7.1000000000000004E-3</v>
      </c>
    </row>
    <row r="213" spans="1:3">
      <c r="A213" s="43">
        <v>43770</v>
      </c>
      <c r="B213" s="44">
        <v>16.68</v>
      </c>
      <c r="C213" s="45">
        <v>-2.1000000000000001E-2</v>
      </c>
    </row>
    <row r="214" spans="1:3">
      <c r="A214" s="41">
        <v>43800</v>
      </c>
      <c r="B214" s="42">
        <v>17.14</v>
      </c>
      <c r="C214" s="46">
        <v>2.8000000000000001E-2</v>
      </c>
    </row>
    <row r="215" spans="1:3">
      <c r="A215" s="43">
        <v>43831</v>
      </c>
      <c r="B215" s="44">
        <v>15.91</v>
      </c>
      <c r="C215" s="45">
        <v>-7.17E-2</v>
      </c>
    </row>
    <row r="216" spans="1:3">
      <c r="A216" s="41">
        <v>43862</v>
      </c>
      <c r="B216" s="42">
        <v>14.02</v>
      </c>
      <c r="C216" s="46">
        <v>-0.1188</v>
      </c>
    </row>
    <row r="217" spans="1:3">
      <c r="A217" s="43">
        <v>43891</v>
      </c>
      <c r="B217" s="44">
        <v>9.74</v>
      </c>
      <c r="C217" s="45">
        <v>-0.30549999999999999</v>
      </c>
    </row>
    <row r="218" spans="1:3">
      <c r="A218" s="41">
        <v>43922</v>
      </c>
      <c r="B218" s="42">
        <v>6.33</v>
      </c>
      <c r="C218" s="46">
        <v>-0.34970000000000001</v>
      </c>
    </row>
    <row r="219" spans="1:3">
      <c r="A219" s="43">
        <v>43952</v>
      </c>
      <c r="B219" s="44">
        <v>6.92</v>
      </c>
      <c r="C219" s="45">
        <v>9.2899999999999996E-2</v>
      </c>
    </row>
    <row r="220" spans="1:3">
      <c r="A220" s="41">
        <v>43983</v>
      </c>
      <c r="B220" s="42">
        <v>9.3699999999999992</v>
      </c>
      <c r="C220" s="46">
        <v>0.35299999999999998</v>
      </c>
    </row>
    <row r="221" spans="1:3">
      <c r="A221" s="43">
        <v>44013</v>
      </c>
      <c r="B221" s="44">
        <v>10.050000000000001</v>
      </c>
      <c r="C221" s="45">
        <v>7.2999999999999995E-2</v>
      </c>
    </row>
    <row r="222" spans="1:3">
      <c r="A222" s="41">
        <v>44044</v>
      </c>
      <c r="B222" s="42">
        <v>9.9499999999999993</v>
      </c>
      <c r="C222" s="46">
        <v>-1.03E-2</v>
      </c>
    </row>
    <row r="223" spans="1:3">
      <c r="A223" s="43">
        <v>44075</v>
      </c>
      <c r="B223" s="44">
        <v>9.2200000000000006</v>
      </c>
      <c r="C223" s="45">
        <v>-7.3400000000000007E-2</v>
      </c>
    </row>
    <row r="224" spans="1:3">
      <c r="A224" s="41">
        <v>44105</v>
      </c>
      <c r="B224" s="42">
        <v>9.7200000000000006</v>
      </c>
      <c r="C224" s="46">
        <v>5.4399999999999997E-2</v>
      </c>
    </row>
    <row r="225" spans="1:15">
      <c r="A225" s="43">
        <v>44136</v>
      </c>
      <c r="B225" s="44">
        <v>10.31</v>
      </c>
      <c r="C225" s="45">
        <v>6.0900000000000003E-2</v>
      </c>
    </row>
    <row r="226" spans="1:15">
      <c r="A226" s="41">
        <v>44166</v>
      </c>
      <c r="B226" s="42">
        <v>11.58</v>
      </c>
      <c r="C226" s="46">
        <v>0.1229</v>
      </c>
    </row>
    <row r="227" spans="1:15">
      <c r="A227" s="43">
        <v>44197</v>
      </c>
      <c r="B227" s="44">
        <v>12.09</v>
      </c>
      <c r="C227" s="45">
        <v>4.4699999999999997E-2</v>
      </c>
    </row>
    <row r="228" spans="1:15">
      <c r="A228" s="41">
        <v>44228</v>
      </c>
      <c r="B228" s="42">
        <v>13.6</v>
      </c>
      <c r="C228" s="46">
        <v>0.1246</v>
      </c>
    </row>
    <row r="229" spans="1:15">
      <c r="A229" s="43">
        <v>44256</v>
      </c>
      <c r="B229" s="44">
        <v>14.16</v>
      </c>
      <c r="C229" s="45">
        <v>4.1300000000000003E-2</v>
      </c>
    </row>
    <row r="230" spans="1:15">
      <c r="A230" s="41">
        <v>44287</v>
      </c>
      <c r="B230" s="42">
        <v>13.97</v>
      </c>
      <c r="C230" s="46">
        <v>-1.3599999999999999E-2</v>
      </c>
    </row>
    <row r="231" spans="1:15">
      <c r="A231" s="43">
        <v>44317</v>
      </c>
      <c r="B231" s="44">
        <v>14.53</v>
      </c>
      <c r="C231" s="45">
        <v>4.0099999999999997E-2</v>
      </c>
    </row>
    <row r="232" spans="1:15">
      <c r="A232" s="41">
        <v>44348</v>
      </c>
      <c r="B232" s="42">
        <v>15.64</v>
      </c>
      <c r="C232" s="46">
        <v>7.6200000000000004E-2</v>
      </c>
    </row>
    <row r="233" spans="1:15">
      <c r="A233" s="43">
        <v>44378</v>
      </c>
      <c r="B233" s="44">
        <v>16.600000000000001</v>
      </c>
      <c r="C233" s="45">
        <v>6.13E-2</v>
      </c>
      <c r="O233" s="47"/>
    </row>
    <row r="234" spans="1:15">
      <c r="A234" s="41">
        <v>44409</v>
      </c>
      <c r="B234" s="42">
        <v>16.09</v>
      </c>
      <c r="C234" s="46">
        <v>-3.0800000000000001E-2</v>
      </c>
    </row>
    <row r="235" spans="1:15">
      <c r="A235" s="43">
        <v>44440</v>
      </c>
      <c r="B235" s="44">
        <v>17.329999999999998</v>
      </c>
      <c r="C235" s="45">
        <v>7.7399999999999997E-2</v>
      </c>
    </row>
    <row r="236" spans="1:15">
      <c r="A236" s="41">
        <v>44470</v>
      </c>
      <c r="B236" s="42">
        <v>19.43</v>
      </c>
      <c r="C236" s="46">
        <v>0.121</v>
      </c>
    </row>
    <row r="237" spans="1:15">
      <c r="A237" s="43">
        <v>44501</v>
      </c>
      <c r="B237" s="44">
        <v>19.100000000000001</v>
      </c>
      <c r="C237" s="45">
        <v>-1.6899999999999998E-2</v>
      </c>
    </row>
    <row r="238" spans="1:15">
      <c r="A238" s="41">
        <v>44531</v>
      </c>
      <c r="B238" s="42">
        <v>18.87</v>
      </c>
      <c r="C238" s="46">
        <v>-1.2200000000000001E-2</v>
      </c>
    </row>
    <row r="239" spans="1:15">
      <c r="A239" s="43">
        <v>44562</v>
      </c>
      <c r="B239" s="44">
        <v>21.65</v>
      </c>
      <c r="C239" s="45">
        <v>0.14749999999999999</v>
      </c>
    </row>
    <row r="240" spans="1:15">
      <c r="A240" s="41">
        <v>44593</v>
      </c>
      <c r="B240" s="42">
        <v>23.78</v>
      </c>
      <c r="C240" s="46">
        <v>9.8299999999999998E-2</v>
      </c>
    </row>
    <row r="241" spans="1:3">
      <c r="A241" s="43">
        <v>44621</v>
      </c>
      <c r="B241" s="44">
        <v>30.97</v>
      </c>
      <c r="C241" s="45">
        <v>0.3024</v>
      </c>
    </row>
    <row r="242" spans="1:3">
      <c r="A242" s="41">
        <v>44652</v>
      </c>
      <c r="B242" s="42">
        <v>34.880000000000003</v>
      </c>
      <c r="C242" s="46">
        <v>0.1263</v>
      </c>
    </row>
  </sheetData>
  <hyperlinks>
    <hyperlink ref="F2" r:id="rId1" xr:uid="{45D31AC3-9CE2-4C57-B488-8DFD2CBC0A6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EFBF1-5A49-414E-8B6A-4917CB461B49}">
  <dimension ref="A1:AI985"/>
  <sheetViews>
    <sheetView zoomScale="90" zoomScaleNormal="90" workbookViewId="0"/>
  </sheetViews>
  <sheetFormatPr defaultColWidth="14.44140625" defaultRowHeight="15" customHeight="1"/>
  <cols>
    <col min="1" max="1" width="35.6640625" style="49" customWidth="1"/>
    <col min="2" max="35" width="12.109375" style="49" customWidth="1"/>
    <col min="36" max="16384" width="14.44140625" style="49"/>
  </cols>
  <sheetData>
    <row r="1" spans="1:8" ht="21.75" customHeight="1">
      <c r="A1" s="8" t="s">
        <v>28</v>
      </c>
      <c r="B1" s="102"/>
      <c r="H1" s="78"/>
    </row>
    <row r="2" spans="1:8" ht="14.25" customHeight="1">
      <c r="B2" s="78"/>
      <c r="C2" s="78"/>
      <c r="D2" s="78"/>
    </row>
    <row r="3" spans="1:8" ht="14.25" customHeight="1">
      <c r="A3" s="77" t="s">
        <v>124</v>
      </c>
    </row>
    <row r="4" spans="1:8" ht="14.25" customHeight="1">
      <c r="A4" s="50" t="s">
        <v>12</v>
      </c>
      <c r="B4" s="84">
        <f>Flytider!N11</f>
        <v>14354.34</v>
      </c>
    </row>
    <row r="5" spans="1:8" ht="14.25" customHeight="1">
      <c r="A5" s="50" t="s">
        <v>13</v>
      </c>
      <c r="B5" s="84">
        <f>Flytider!P11</f>
        <v>13493.046875000002</v>
      </c>
    </row>
    <row r="6" spans="1:8" ht="14.25" customHeight="1">
      <c r="B6" s="83"/>
      <c r="D6" s="78"/>
    </row>
    <row r="7" spans="1:8" ht="27.45" customHeight="1">
      <c r="A7" s="1" t="s">
        <v>2</v>
      </c>
      <c r="B7" s="83"/>
      <c r="C7" s="78" t="s">
        <v>3</v>
      </c>
      <c r="D7" s="78" t="s">
        <v>1</v>
      </c>
      <c r="E7" s="78" t="s">
        <v>0</v>
      </c>
    </row>
    <row r="8" spans="1:8" ht="14.25" customHeight="1">
      <c r="A8" s="34" t="s">
        <v>43</v>
      </c>
      <c r="B8" s="84">
        <f>E8*D8*C8</f>
        <v>13860</v>
      </c>
      <c r="C8" s="12">
        <f>Vestfossen!F13</f>
        <v>15.4</v>
      </c>
      <c r="D8" s="12">
        <v>4</v>
      </c>
      <c r="E8" s="12">
        <f>450/2</f>
        <v>225</v>
      </c>
    </row>
    <row r="9" spans="1:8" ht="14.25" customHeight="1">
      <c r="A9" s="5"/>
      <c r="B9" s="84"/>
    </row>
    <row r="10" spans="1:8" ht="14.25" customHeight="1">
      <c r="A10" s="81" t="s">
        <v>5</v>
      </c>
      <c r="B10" s="84"/>
    </row>
    <row r="11" spans="1:8" ht="14.25" customHeight="1">
      <c r="A11" s="38" t="s">
        <v>84</v>
      </c>
      <c r="B11" s="84">
        <v>-200000</v>
      </c>
    </row>
    <row r="12" spans="1:8" ht="14.25" customHeight="1">
      <c r="A12" s="5" t="s">
        <v>83</v>
      </c>
      <c r="B12" s="84">
        <v>-5740000</v>
      </c>
    </row>
    <row r="13" spans="1:8" ht="14.25" customHeight="1">
      <c r="A13" s="81" t="s">
        <v>99</v>
      </c>
      <c r="B13" s="86">
        <f>SUM(B9:B12)</f>
        <v>-5940000</v>
      </c>
    </row>
    <row r="14" spans="1:8" ht="14.25" customHeight="1">
      <c r="B14" s="84"/>
    </row>
    <row r="15" spans="1:8" ht="14.25" customHeight="1">
      <c r="A15" s="82" t="s">
        <v>100</v>
      </c>
      <c r="B15" s="84"/>
    </row>
    <row r="16" spans="1:8" ht="14.25" customHeight="1">
      <c r="A16" s="50" t="s">
        <v>6</v>
      </c>
      <c r="B16" s="84"/>
    </row>
    <row r="17" spans="1:35" ht="14.25" customHeight="1">
      <c r="A17" s="5" t="s">
        <v>14</v>
      </c>
      <c r="B17" s="84">
        <f>-(52*15/60+1)*C17</f>
        <v>-5188.2352941176468</v>
      </c>
      <c r="C17" s="6">
        <f>(450000)*1.4/1700</f>
        <v>370.58823529411762</v>
      </c>
      <c r="D17" s="34" t="s">
        <v>118</v>
      </c>
    </row>
    <row r="18" spans="1:35" ht="14.25" customHeight="1">
      <c r="A18" s="5" t="s">
        <v>15</v>
      </c>
      <c r="B18" s="84">
        <v>-187000</v>
      </c>
      <c r="D18" s="34" t="s">
        <v>117</v>
      </c>
    </row>
    <row r="19" spans="1:35" ht="14.25" customHeight="1">
      <c r="A19" s="50" t="s">
        <v>16</v>
      </c>
      <c r="B19" s="84">
        <f>-500*20</f>
        <v>-10000</v>
      </c>
      <c r="D19" s="34" t="s">
        <v>119</v>
      </c>
    </row>
    <row r="20" spans="1:35" ht="14.25" customHeight="1">
      <c r="A20" s="50" t="s">
        <v>17</v>
      </c>
      <c r="B20" s="84">
        <v>-70000</v>
      </c>
      <c r="D20" s="34" t="s">
        <v>117</v>
      </c>
    </row>
    <row r="21" spans="1:35" ht="14.25" customHeight="1">
      <c r="A21" s="50"/>
      <c r="B21" s="84"/>
    </row>
    <row r="22" spans="1:35" ht="14.25" customHeight="1">
      <c r="A22" s="1" t="s">
        <v>25</v>
      </c>
    </row>
    <row r="23" spans="1:35" ht="14.25" customHeight="1">
      <c r="A23" s="50" t="s">
        <v>26</v>
      </c>
      <c r="B23" s="50">
        <v>1.04</v>
      </c>
      <c r="C23" s="34" t="s">
        <v>120</v>
      </c>
    </row>
    <row r="24" spans="1:35" ht="14.25" customHeight="1">
      <c r="A24" s="1" t="s">
        <v>27</v>
      </c>
      <c r="B24" s="50"/>
      <c r="C24" s="50"/>
    </row>
    <row r="25" spans="1:35" ht="14.25" customHeight="1">
      <c r="A25" s="38" t="s">
        <v>101</v>
      </c>
      <c r="B25" s="37">
        <f>34000000*1.009</f>
        <v>34306000</v>
      </c>
      <c r="C25" s="9">
        <f>B25*1.009*1.009*1.009</f>
        <v>35240623.367073998</v>
      </c>
      <c r="D25" s="9">
        <f t="shared" ref="D25:AI25" si="0">C25*1.009</f>
        <v>35557788.977377661</v>
      </c>
      <c r="E25" s="9">
        <f t="shared" si="0"/>
        <v>35877809.078174055</v>
      </c>
      <c r="F25" s="9">
        <f t="shared" si="0"/>
        <v>36200709.359877616</v>
      </c>
      <c r="G25" s="9">
        <f t="shared" si="0"/>
        <v>36526515.744116507</v>
      </c>
      <c r="H25" s="9">
        <f t="shared" si="0"/>
        <v>36855254.385813549</v>
      </c>
      <c r="I25" s="9">
        <f t="shared" si="0"/>
        <v>37186951.675285868</v>
      </c>
      <c r="J25" s="9">
        <f t="shared" si="0"/>
        <v>37521634.240363434</v>
      </c>
      <c r="K25" s="9">
        <f t="shared" si="0"/>
        <v>37859328.948526703</v>
      </c>
      <c r="L25" s="9">
        <f t="shared" si="0"/>
        <v>38200062.909063436</v>
      </c>
      <c r="M25" s="9">
        <f t="shared" si="0"/>
        <v>38543863.475245006</v>
      </c>
      <c r="N25" s="9">
        <f t="shared" si="0"/>
        <v>38890758.246522211</v>
      </c>
      <c r="O25" s="9">
        <f t="shared" si="0"/>
        <v>39240775.070740908</v>
      </c>
      <c r="P25" s="9">
        <f t="shared" si="0"/>
        <v>39593942.046377569</v>
      </c>
      <c r="Q25" s="9">
        <f t="shared" si="0"/>
        <v>39950287.524794966</v>
      </c>
      <c r="R25" s="9">
        <f t="shared" si="0"/>
        <v>40309840.112518117</v>
      </c>
      <c r="S25" s="9">
        <f t="shared" si="0"/>
        <v>40672628.673530772</v>
      </c>
      <c r="T25" s="9">
        <f t="shared" si="0"/>
        <v>41038682.331592545</v>
      </c>
      <c r="U25" s="9">
        <f t="shared" si="0"/>
        <v>41408030.472576872</v>
      </c>
      <c r="V25" s="9">
        <f t="shared" si="0"/>
        <v>41780702.746830061</v>
      </c>
      <c r="W25" s="9">
        <f t="shared" si="0"/>
        <v>42156729.071551524</v>
      </c>
      <c r="X25" s="9">
        <f t="shared" si="0"/>
        <v>42536139.633195482</v>
      </c>
      <c r="Y25" s="9">
        <f t="shared" si="0"/>
        <v>42918964.88989424</v>
      </c>
      <c r="Z25" s="9">
        <f t="shared" si="0"/>
        <v>43305235.573903285</v>
      </c>
      <c r="AA25" s="9">
        <f t="shared" si="0"/>
        <v>43694982.69406841</v>
      </c>
      <c r="AB25" s="9">
        <f t="shared" si="0"/>
        <v>44088237.538315021</v>
      </c>
      <c r="AC25" s="9">
        <f t="shared" si="0"/>
        <v>44485031.676159851</v>
      </c>
      <c r="AD25" s="9">
        <f t="shared" si="0"/>
        <v>44885396.961245283</v>
      </c>
      <c r="AE25" s="9">
        <f t="shared" si="0"/>
        <v>45289365.533896483</v>
      </c>
      <c r="AF25" s="9">
        <f t="shared" si="0"/>
        <v>45696969.823701546</v>
      </c>
      <c r="AG25" s="9">
        <f t="shared" si="0"/>
        <v>46108242.552114852</v>
      </c>
      <c r="AH25" s="9">
        <f t="shared" si="0"/>
        <v>46523216.735083878</v>
      </c>
      <c r="AI25" s="9">
        <f t="shared" si="0"/>
        <v>46941925.685699627</v>
      </c>
    </row>
    <row r="26" spans="1:35" ht="14.25" customHeight="1">
      <c r="A26" s="96" t="s">
        <v>112</v>
      </c>
      <c r="B26" s="10">
        <v>37</v>
      </c>
    </row>
    <row r="27" spans="1:35" ht="14.25" customHeight="1">
      <c r="A27" s="38" t="s">
        <v>114</v>
      </c>
      <c r="C27" s="71">
        <f>(C30/C28)</f>
        <v>0.46509575783207041</v>
      </c>
      <c r="D27" s="71">
        <f>C27</f>
        <v>0.46509575783207041</v>
      </c>
      <c r="E27" s="71">
        <f t="shared" ref="E27:AI30" si="1">D27</f>
        <v>0.46509575783207041</v>
      </c>
      <c r="F27" s="71">
        <f t="shared" si="1"/>
        <v>0.46509575783207041</v>
      </c>
      <c r="G27" s="71">
        <f t="shared" si="1"/>
        <v>0.46509575783207041</v>
      </c>
      <c r="H27" s="71">
        <f t="shared" si="1"/>
        <v>0.46509575783207041</v>
      </c>
      <c r="I27" s="71">
        <f t="shared" si="1"/>
        <v>0.46509575783207041</v>
      </c>
      <c r="J27" s="71">
        <f t="shared" si="1"/>
        <v>0.46509575783207041</v>
      </c>
      <c r="K27" s="71">
        <f t="shared" si="1"/>
        <v>0.46509575783207041</v>
      </c>
      <c r="L27" s="71">
        <f t="shared" si="1"/>
        <v>0.46509575783207041</v>
      </c>
      <c r="M27" s="71">
        <f t="shared" si="1"/>
        <v>0.46509575783207041</v>
      </c>
      <c r="N27" s="71">
        <f t="shared" si="1"/>
        <v>0.46509575783207041</v>
      </c>
      <c r="O27" s="71">
        <f t="shared" si="1"/>
        <v>0.46509575783207041</v>
      </c>
      <c r="P27" s="71">
        <f t="shared" si="1"/>
        <v>0.46509575783207041</v>
      </c>
      <c r="Q27" s="71">
        <f t="shared" si="1"/>
        <v>0.46509575783207041</v>
      </c>
      <c r="R27" s="71">
        <f t="shared" si="1"/>
        <v>0.46509575783207041</v>
      </c>
      <c r="S27" s="71">
        <f t="shared" si="1"/>
        <v>0.46509575783207041</v>
      </c>
      <c r="T27" s="71">
        <f t="shared" si="1"/>
        <v>0.46509575783207041</v>
      </c>
      <c r="U27" s="71">
        <f t="shared" si="1"/>
        <v>0.46509575783207041</v>
      </c>
      <c r="V27" s="71">
        <f t="shared" si="1"/>
        <v>0.46509575783207041</v>
      </c>
      <c r="W27" s="71">
        <f t="shared" si="1"/>
        <v>0.46509575783207041</v>
      </c>
      <c r="X27" s="71">
        <f t="shared" si="1"/>
        <v>0.46509575783207041</v>
      </c>
      <c r="Y27" s="71">
        <f t="shared" si="1"/>
        <v>0.46509575783207041</v>
      </c>
      <c r="Z27" s="71">
        <f t="shared" si="1"/>
        <v>0.46509575783207041</v>
      </c>
      <c r="AA27" s="71">
        <f t="shared" si="1"/>
        <v>0.46509575783207041</v>
      </c>
      <c r="AB27" s="71">
        <f t="shared" si="1"/>
        <v>0.46509575783207041</v>
      </c>
      <c r="AC27" s="71">
        <f t="shared" si="1"/>
        <v>0.46509575783207041</v>
      </c>
      <c r="AD27" s="71">
        <f t="shared" si="1"/>
        <v>0.46509575783207041</v>
      </c>
      <c r="AE27" s="71">
        <f t="shared" si="1"/>
        <v>0.46509575783207041</v>
      </c>
      <c r="AF27" s="71">
        <f t="shared" si="1"/>
        <v>0.46509575783207041</v>
      </c>
      <c r="AG27" s="71">
        <f t="shared" si="1"/>
        <v>0.46509575783207041</v>
      </c>
      <c r="AH27" s="71">
        <f t="shared" si="1"/>
        <v>0.46509575783207041</v>
      </c>
      <c r="AI27" s="71">
        <f t="shared" si="1"/>
        <v>0.46509575783207041</v>
      </c>
    </row>
    <row r="28" spans="1:35" ht="14.25" customHeight="1">
      <c r="A28" s="38" t="s">
        <v>115</v>
      </c>
      <c r="C28" s="11">
        <v>1</v>
      </c>
      <c r="D28" s="10">
        <f t="shared" ref="D28:S28" si="2">C28</f>
        <v>1</v>
      </c>
      <c r="E28" s="10">
        <f t="shared" si="2"/>
        <v>1</v>
      </c>
      <c r="F28" s="10">
        <f t="shared" si="2"/>
        <v>1</v>
      </c>
      <c r="G28" s="10">
        <f t="shared" si="2"/>
        <v>1</v>
      </c>
      <c r="H28" s="10">
        <f t="shared" si="2"/>
        <v>1</v>
      </c>
      <c r="I28" s="10">
        <f t="shared" si="2"/>
        <v>1</v>
      </c>
      <c r="J28" s="10">
        <f t="shared" si="2"/>
        <v>1</v>
      </c>
      <c r="K28" s="10">
        <f t="shared" si="2"/>
        <v>1</v>
      </c>
      <c r="L28" s="10">
        <f t="shared" si="2"/>
        <v>1</v>
      </c>
      <c r="M28" s="10">
        <f t="shared" si="2"/>
        <v>1</v>
      </c>
      <c r="N28" s="10">
        <f t="shared" si="2"/>
        <v>1</v>
      </c>
      <c r="O28" s="10">
        <f t="shared" si="2"/>
        <v>1</v>
      </c>
      <c r="P28" s="10">
        <f t="shared" si="2"/>
        <v>1</v>
      </c>
      <c r="Q28" s="10">
        <f t="shared" si="2"/>
        <v>1</v>
      </c>
      <c r="R28" s="10">
        <f t="shared" si="2"/>
        <v>1</v>
      </c>
      <c r="S28" s="10">
        <f t="shared" si="2"/>
        <v>1</v>
      </c>
      <c r="T28" s="10">
        <f t="shared" si="1"/>
        <v>1</v>
      </c>
      <c r="U28" s="10">
        <f t="shared" si="1"/>
        <v>1</v>
      </c>
      <c r="V28" s="10">
        <f t="shared" si="1"/>
        <v>1</v>
      </c>
      <c r="W28" s="10">
        <f t="shared" si="1"/>
        <v>1</v>
      </c>
      <c r="X28" s="10">
        <f t="shared" si="1"/>
        <v>1</v>
      </c>
      <c r="Y28" s="10">
        <f t="shared" si="1"/>
        <v>1</v>
      </c>
      <c r="Z28" s="10">
        <f t="shared" si="1"/>
        <v>1</v>
      </c>
      <c r="AA28" s="10">
        <f t="shared" si="1"/>
        <v>1</v>
      </c>
      <c r="AB28" s="10">
        <f t="shared" si="1"/>
        <v>1</v>
      </c>
      <c r="AC28" s="10">
        <f t="shared" si="1"/>
        <v>1</v>
      </c>
      <c r="AD28" s="10">
        <f t="shared" si="1"/>
        <v>1</v>
      </c>
      <c r="AE28" s="10">
        <f t="shared" si="1"/>
        <v>1</v>
      </c>
      <c r="AF28" s="10">
        <f t="shared" si="1"/>
        <v>1</v>
      </c>
      <c r="AG28" s="10">
        <f t="shared" si="1"/>
        <v>1</v>
      </c>
      <c r="AH28" s="10">
        <f t="shared" si="1"/>
        <v>1</v>
      </c>
      <c r="AI28" s="10">
        <f t="shared" si="1"/>
        <v>1</v>
      </c>
    </row>
    <row r="29" spans="1:35" ht="14.25" customHeight="1">
      <c r="A29" s="97" t="s">
        <v>116</v>
      </c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14.25" customHeight="1">
      <c r="A30" s="38" t="s">
        <v>113</v>
      </c>
      <c r="B30" s="31">
        <f>SUM(C30:AI30)</f>
        <v>15.348160008458329</v>
      </c>
      <c r="C30" s="71">
        <f>B52/33</f>
        <v>0.46509575783207041</v>
      </c>
      <c r="D30" s="71">
        <f>C30</f>
        <v>0.46509575783207041</v>
      </c>
      <c r="E30" s="71">
        <f t="shared" si="1"/>
        <v>0.46509575783207041</v>
      </c>
      <c r="F30" s="71">
        <f t="shared" si="1"/>
        <v>0.46509575783207041</v>
      </c>
      <c r="G30" s="71">
        <f t="shared" si="1"/>
        <v>0.46509575783207041</v>
      </c>
      <c r="H30" s="71">
        <f t="shared" si="1"/>
        <v>0.46509575783207041</v>
      </c>
      <c r="I30" s="71">
        <f t="shared" si="1"/>
        <v>0.46509575783207041</v>
      </c>
      <c r="J30" s="71">
        <f t="shared" si="1"/>
        <v>0.46509575783207041</v>
      </c>
      <c r="K30" s="71">
        <f t="shared" si="1"/>
        <v>0.46509575783207041</v>
      </c>
      <c r="L30" s="71">
        <f t="shared" si="1"/>
        <v>0.46509575783207041</v>
      </c>
      <c r="M30" s="71">
        <f t="shared" si="1"/>
        <v>0.46509575783207041</v>
      </c>
      <c r="N30" s="71">
        <f t="shared" si="1"/>
        <v>0.46509575783207041</v>
      </c>
      <c r="O30" s="71">
        <f t="shared" si="1"/>
        <v>0.46509575783207041</v>
      </c>
      <c r="P30" s="71">
        <f t="shared" si="1"/>
        <v>0.46509575783207041</v>
      </c>
      <c r="Q30" s="71">
        <f t="shared" si="1"/>
        <v>0.46509575783207041</v>
      </c>
      <c r="R30" s="71">
        <f t="shared" si="1"/>
        <v>0.46509575783207041</v>
      </c>
      <c r="S30" s="71">
        <f t="shared" si="1"/>
        <v>0.46509575783207041</v>
      </c>
      <c r="T30" s="71">
        <f t="shared" si="1"/>
        <v>0.46509575783207041</v>
      </c>
      <c r="U30" s="71">
        <f t="shared" si="1"/>
        <v>0.46509575783207041</v>
      </c>
      <c r="V30" s="71">
        <f t="shared" si="1"/>
        <v>0.46509575783207041</v>
      </c>
      <c r="W30" s="71">
        <f t="shared" si="1"/>
        <v>0.46509575783207041</v>
      </c>
      <c r="X30" s="71">
        <f t="shared" si="1"/>
        <v>0.46509575783207041</v>
      </c>
      <c r="Y30" s="71">
        <f t="shared" si="1"/>
        <v>0.46509575783207041</v>
      </c>
      <c r="Z30" s="71">
        <f t="shared" si="1"/>
        <v>0.46509575783207041</v>
      </c>
      <c r="AA30" s="71">
        <f t="shared" si="1"/>
        <v>0.46509575783207041</v>
      </c>
      <c r="AB30" s="71">
        <f t="shared" si="1"/>
        <v>0.46509575783207041</v>
      </c>
      <c r="AC30" s="71">
        <f t="shared" si="1"/>
        <v>0.46509575783207041</v>
      </c>
      <c r="AD30" s="71">
        <f t="shared" si="1"/>
        <v>0.46509575783207041</v>
      </c>
      <c r="AE30" s="71">
        <f t="shared" si="1"/>
        <v>0.46509575783207041</v>
      </c>
      <c r="AF30" s="71">
        <f t="shared" si="1"/>
        <v>0.46509575783207041</v>
      </c>
      <c r="AG30" s="71">
        <f t="shared" si="1"/>
        <v>0.46509575783207041</v>
      </c>
      <c r="AH30" s="71">
        <f t="shared" si="1"/>
        <v>0.46509575783207041</v>
      </c>
      <c r="AI30" s="71">
        <f t="shared" si="1"/>
        <v>0.46509575783207041</v>
      </c>
    </row>
    <row r="31" spans="1:35" ht="14.25" customHeight="1">
      <c r="A31" s="57" t="s">
        <v>94</v>
      </c>
      <c r="C31" s="3">
        <f t="shared" ref="C31:AI31" si="3">C25/$B$26*C30</f>
        <v>442980.11976713111</v>
      </c>
      <c r="D31" s="3">
        <f t="shared" si="3"/>
        <v>446966.94084503519</v>
      </c>
      <c r="E31" s="3">
        <f t="shared" si="3"/>
        <v>450989.64331264049</v>
      </c>
      <c r="F31" s="3">
        <f t="shared" si="3"/>
        <v>455048.5501024542</v>
      </c>
      <c r="G31" s="3">
        <f t="shared" si="3"/>
        <v>459143.98705337616</v>
      </c>
      <c r="H31" s="3">
        <f t="shared" si="3"/>
        <v>463276.2829368565</v>
      </c>
      <c r="I31" s="3">
        <f t="shared" si="3"/>
        <v>467445.76948328817</v>
      </c>
      <c r="J31" s="3">
        <f t="shared" si="3"/>
        <v>471652.78140863765</v>
      </c>
      <c r="K31" s="3">
        <f t="shared" si="3"/>
        <v>475897.65644131537</v>
      </c>
      <c r="L31" s="3">
        <f t="shared" si="3"/>
        <v>480180.7353492871</v>
      </c>
      <c r="M31" s="3">
        <f t="shared" si="3"/>
        <v>484502.36196743068</v>
      </c>
      <c r="N31" s="3">
        <f t="shared" si="3"/>
        <v>488862.8832251376</v>
      </c>
      <c r="O31" s="3">
        <f t="shared" si="3"/>
        <v>493262.64917416376</v>
      </c>
      <c r="P31" s="3">
        <f t="shared" si="3"/>
        <v>497702.01301673113</v>
      </c>
      <c r="Q31" s="3">
        <f t="shared" si="3"/>
        <v>502181.33113388176</v>
      </c>
      <c r="R31" s="3">
        <f t="shared" si="3"/>
        <v>506700.9631140866</v>
      </c>
      <c r="S31" s="3">
        <f t="shared" si="3"/>
        <v>511261.27178211324</v>
      </c>
      <c r="T31" s="3">
        <f t="shared" si="3"/>
        <v>515862.62322815222</v>
      </c>
      <c r="U31" s="3">
        <f t="shared" si="3"/>
        <v>520505.3868372055</v>
      </c>
      <c r="V31" s="3">
        <f t="shared" si="3"/>
        <v>525189.93531874032</v>
      </c>
      <c r="W31" s="3">
        <f t="shared" si="3"/>
        <v>529916.64473660884</v>
      </c>
      <c r="X31" s="3">
        <f t="shared" si="3"/>
        <v>534685.8945392383</v>
      </c>
      <c r="Y31" s="3">
        <f t="shared" si="3"/>
        <v>539498.06759009149</v>
      </c>
      <c r="Z31" s="3">
        <f t="shared" si="3"/>
        <v>544353.55019840226</v>
      </c>
      <c r="AA31" s="3">
        <f t="shared" si="3"/>
        <v>549252.73215018783</v>
      </c>
      <c r="AB31" s="3">
        <f t="shared" si="3"/>
        <v>554196.00673953944</v>
      </c>
      <c r="AC31" s="3">
        <f t="shared" si="3"/>
        <v>559183.77080019529</v>
      </c>
      <c r="AD31" s="3">
        <f t="shared" si="3"/>
        <v>564216.42473739688</v>
      </c>
      <c r="AE31" s="3">
        <f t="shared" si="3"/>
        <v>569294.37256003334</v>
      </c>
      <c r="AF31" s="3">
        <f t="shared" si="3"/>
        <v>574418.02191307361</v>
      </c>
      <c r="AG31" s="3">
        <f t="shared" si="3"/>
        <v>579587.78411029116</v>
      </c>
      <c r="AH31" s="3">
        <f t="shared" si="3"/>
        <v>584804.07416728372</v>
      </c>
      <c r="AI31" s="3">
        <f t="shared" si="3"/>
        <v>590067.31083478918</v>
      </c>
    </row>
    <row r="32" spans="1:35" s="55" customFormat="1" ht="14.25" customHeight="1">
      <c r="A32" s="58"/>
      <c r="B32" s="63"/>
    </row>
    <row r="33" spans="1:35" s="55" customFormat="1" ht="14.25" customHeight="1">
      <c r="A33" s="67" t="s">
        <v>8</v>
      </c>
      <c r="B33" s="68">
        <v>2022</v>
      </c>
      <c r="C33" s="35">
        <v>2025</v>
      </c>
      <c r="D33" s="68">
        <v>2026</v>
      </c>
      <c r="E33" s="55">
        <v>2027</v>
      </c>
      <c r="F33" s="55">
        <v>2028</v>
      </c>
      <c r="G33" s="55">
        <v>2029</v>
      </c>
      <c r="H33" s="55">
        <v>2030</v>
      </c>
      <c r="I33" s="55">
        <v>2031</v>
      </c>
      <c r="J33" s="55">
        <v>2032</v>
      </c>
      <c r="K33" s="55">
        <v>2033</v>
      </c>
      <c r="L33" s="55">
        <v>2034</v>
      </c>
      <c r="M33" s="55">
        <v>2035</v>
      </c>
      <c r="N33" s="55">
        <v>2036</v>
      </c>
      <c r="O33" s="55">
        <v>2037</v>
      </c>
      <c r="P33" s="55">
        <v>2038</v>
      </c>
      <c r="Q33" s="55">
        <v>2039</v>
      </c>
      <c r="R33" s="55">
        <v>2040</v>
      </c>
      <c r="S33" s="55">
        <v>2041</v>
      </c>
      <c r="T33" s="55">
        <v>2042</v>
      </c>
      <c r="U33" s="55">
        <v>2043</v>
      </c>
      <c r="V33" s="55">
        <v>2044</v>
      </c>
      <c r="W33" s="55">
        <v>2045</v>
      </c>
      <c r="X33" s="55">
        <v>2046</v>
      </c>
      <c r="Y33" s="55">
        <v>2047</v>
      </c>
      <c r="Z33" s="55">
        <v>2048</v>
      </c>
      <c r="AA33" s="55">
        <v>2049</v>
      </c>
      <c r="AB33" s="55">
        <v>2050</v>
      </c>
      <c r="AC33" s="55">
        <v>2051</v>
      </c>
      <c r="AD33" s="55">
        <v>2052</v>
      </c>
      <c r="AE33" s="55">
        <v>2053</v>
      </c>
      <c r="AF33" s="55">
        <v>2054</v>
      </c>
      <c r="AG33" s="55">
        <v>2055</v>
      </c>
      <c r="AH33" s="55">
        <v>2056</v>
      </c>
      <c r="AI33" s="55">
        <v>2057</v>
      </c>
    </row>
    <row r="34" spans="1:35" ht="14.25" customHeight="1">
      <c r="A34" s="4" t="s">
        <v>9</v>
      </c>
      <c r="B34" s="36">
        <v>0</v>
      </c>
      <c r="C34" s="36">
        <v>1</v>
      </c>
      <c r="D34" s="36">
        <v>2</v>
      </c>
      <c r="E34" s="4">
        <v>3</v>
      </c>
      <c r="F34" s="4">
        <v>4</v>
      </c>
      <c r="G34" s="4">
        <v>5</v>
      </c>
      <c r="H34" s="4">
        <v>6</v>
      </c>
      <c r="I34" s="4">
        <v>7</v>
      </c>
      <c r="J34" s="4">
        <v>8</v>
      </c>
      <c r="K34" s="4">
        <v>9</v>
      </c>
      <c r="L34" s="4">
        <v>10</v>
      </c>
      <c r="M34" s="4">
        <v>11</v>
      </c>
      <c r="N34" s="4">
        <v>12</v>
      </c>
      <c r="O34" s="4">
        <v>13</v>
      </c>
      <c r="P34" s="4">
        <v>14</v>
      </c>
      <c r="Q34" s="4">
        <v>15</v>
      </c>
      <c r="R34" s="4">
        <v>16</v>
      </c>
      <c r="S34" s="4">
        <v>17</v>
      </c>
      <c r="T34" s="4">
        <v>18</v>
      </c>
      <c r="U34" s="4">
        <v>19</v>
      </c>
      <c r="V34" s="4">
        <v>20</v>
      </c>
      <c r="W34" s="4">
        <v>21</v>
      </c>
      <c r="X34" s="4">
        <v>22</v>
      </c>
      <c r="Y34" s="4">
        <v>23</v>
      </c>
      <c r="Z34" s="4">
        <v>24</v>
      </c>
      <c r="AA34" s="4">
        <v>25</v>
      </c>
      <c r="AB34" s="4">
        <v>26</v>
      </c>
      <c r="AC34" s="4">
        <v>27</v>
      </c>
      <c r="AD34" s="4">
        <v>28</v>
      </c>
      <c r="AE34" s="4">
        <v>29</v>
      </c>
      <c r="AF34" s="4">
        <v>30</v>
      </c>
      <c r="AG34" s="4">
        <v>31</v>
      </c>
      <c r="AH34" s="4">
        <v>32</v>
      </c>
      <c r="AI34" s="4">
        <v>33</v>
      </c>
    </row>
    <row r="35" spans="1:35" s="55" customFormat="1" ht="14.25" customHeight="1">
      <c r="A35" s="53" t="s">
        <v>18</v>
      </c>
      <c r="B35" s="54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</row>
    <row r="36" spans="1:35" s="55" customFormat="1" ht="14.25" customHeight="1">
      <c r="A36" s="56" t="s">
        <v>19</v>
      </c>
      <c r="B36" s="54"/>
      <c r="C36" s="59">
        <f>B4*1.022*1.022</f>
        <v>14992.878460560001</v>
      </c>
      <c r="D36" s="59">
        <f t="shared" ref="D36:AI36" si="4">C36*1.022</f>
        <v>15322.721786692322</v>
      </c>
      <c r="E36" s="59">
        <f t="shared" si="4"/>
        <v>15659.821665999554</v>
      </c>
      <c r="F36" s="59">
        <f t="shared" si="4"/>
        <v>16004.337742651545</v>
      </c>
      <c r="G36" s="59">
        <f t="shared" si="4"/>
        <v>16356.43317298988</v>
      </c>
      <c r="H36" s="59">
        <f t="shared" si="4"/>
        <v>16716.274702795658</v>
      </c>
      <c r="I36" s="59">
        <f t="shared" si="4"/>
        <v>17084.032746257162</v>
      </c>
      <c r="J36" s="59">
        <f t="shared" si="4"/>
        <v>17459.881466674819</v>
      </c>
      <c r="K36" s="59">
        <f t="shared" si="4"/>
        <v>17843.998858941664</v>
      </c>
      <c r="L36" s="59">
        <f t="shared" si="4"/>
        <v>18236.56683383838</v>
      </c>
      <c r="M36" s="59">
        <f t="shared" si="4"/>
        <v>18637.771304182825</v>
      </c>
      <c r="N36" s="59">
        <f t="shared" si="4"/>
        <v>19047.802272874847</v>
      </c>
      <c r="O36" s="59">
        <f t="shared" si="4"/>
        <v>19466.853922878094</v>
      </c>
      <c r="P36" s="59">
        <f t="shared" si="4"/>
        <v>19895.124709181411</v>
      </c>
      <c r="Q36" s="59">
        <f t="shared" si="4"/>
        <v>20332.817452783402</v>
      </c>
      <c r="R36" s="59">
        <f t="shared" si="4"/>
        <v>20780.139436744637</v>
      </c>
      <c r="S36" s="59">
        <f t="shared" si="4"/>
        <v>21237.302504353022</v>
      </c>
      <c r="T36" s="59">
        <f t="shared" si="4"/>
        <v>21704.523159448789</v>
      </c>
      <c r="U36" s="59">
        <f t="shared" si="4"/>
        <v>22182.022668956663</v>
      </c>
      <c r="V36" s="59">
        <f t="shared" si="4"/>
        <v>22670.02716767371</v>
      </c>
      <c r="W36" s="59">
        <f t="shared" si="4"/>
        <v>23168.767765362532</v>
      </c>
      <c r="X36" s="59">
        <f t="shared" si="4"/>
        <v>23678.480656200507</v>
      </c>
      <c r="Y36" s="59">
        <f t="shared" si="4"/>
        <v>24199.40723063692</v>
      </c>
      <c r="Z36" s="59">
        <f t="shared" si="4"/>
        <v>24731.794189710934</v>
      </c>
      <c r="AA36" s="59">
        <f t="shared" si="4"/>
        <v>25275.893661884576</v>
      </c>
      <c r="AB36" s="59">
        <f t="shared" si="4"/>
        <v>25831.963322446038</v>
      </c>
      <c r="AC36" s="59">
        <f t="shared" si="4"/>
        <v>26400.26651553985</v>
      </c>
      <c r="AD36" s="59">
        <f t="shared" si="4"/>
        <v>26981.072378881727</v>
      </c>
      <c r="AE36" s="59">
        <f t="shared" si="4"/>
        <v>27574.655971217126</v>
      </c>
      <c r="AF36" s="59">
        <f t="shared" si="4"/>
        <v>28181.298402583903</v>
      </c>
      <c r="AG36" s="59">
        <f t="shared" si="4"/>
        <v>28801.286967440748</v>
      </c>
      <c r="AH36" s="59">
        <f t="shared" si="4"/>
        <v>29434.915280724446</v>
      </c>
      <c r="AI36" s="59">
        <f t="shared" si="4"/>
        <v>30082.483416900384</v>
      </c>
    </row>
    <row r="37" spans="1:35" s="55" customFormat="1" ht="14.25" customHeight="1">
      <c r="A37" s="57" t="s">
        <v>93</v>
      </c>
      <c r="B37" s="54"/>
      <c r="C37" s="59">
        <f>B5*$B$23*$B$23</f>
        <v>14594.079500000003</v>
      </c>
      <c r="D37" s="59">
        <f t="shared" ref="D37:AI38" si="5">C37*$B$23</f>
        <v>15177.842680000003</v>
      </c>
      <c r="E37" s="59">
        <f t="shared" si="5"/>
        <v>15784.956387200004</v>
      </c>
      <c r="F37" s="59">
        <f t="shared" si="5"/>
        <v>16416.354642688006</v>
      </c>
      <c r="G37" s="59">
        <f t="shared" si="5"/>
        <v>17073.008828395527</v>
      </c>
      <c r="H37" s="59">
        <f t="shared" si="5"/>
        <v>17755.929181531348</v>
      </c>
      <c r="I37" s="59">
        <f t="shared" si="5"/>
        <v>18466.166348792602</v>
      </c>
      <c r="J37" s="59">
        <f t="shared" si="5"/>
        <v>19204.813002744308</v>
      </c>
      <c r="K37" s="59">
        <f t="shared" si="5"/>
        <v>19973.00552285408</v>
      </c>
      <c r="L37" s="59">
        <f t="shared" si="5"/>
        <v>20771.925743768243</v>
      </c>
      <c r="M37" s="59">
        <f t="shared" si="5"/>
        <v>21602.802773518972</v>
      </c>
      <c r="N37" s="59">
        <f t="shared" si="5"/>
        <v>22466.914884459733</v>
      </c>
      <c r="O37" s="59">
        <f t="shared" si="5"/>
        <v>23365.591479838124</v>
      </c>
      <c r="P37" s="59">
        <f t="shared" si="5"/>
        <v>24300.21513903165</v>
      </c>
      <c r="Q37" s="59">
        <f t="shared" si="5"/>
        <v>25272.223744592917</v>
      </c>
      <c r="R37" s="59">
        <f t="shared" si="5"/>
        <v>26283.112694376636</v>
      </c>
      <c r="S37" s="59">
        <f t="shared" si="5"/>
        <v>27334.437202151701</v>
      </c>
      <c r="T37" s="59">
        <f t="shared" si="5"/>
        <v>28427.81469023777</v>
      </c>
      <c r="U37" s="59">
        <f t="shared" si="5"/>
        <v>29564.92727784728</v>
      </c>
      <c r="V37" s="59">
        <f t="shared" si="5"/>
        <v>30747.524368961174</v>
      </c>
      <c r="W37" s="59">
        <f t="shared" si="5"/>
        <v>31977.425343719624</v>
      </c>
      <c r="X37" s="59">
        <f t="shared" si="5"/>
        <v>33256.522357468413</v>
      </c>
      <c r="Y37" s="59">
        <f t="shared" si="5"/>
        <v>34586.783251767149</v>
      </c>
      <c r="Z37" s="59">
        <f t="shared" si="5"/>
        <v>35970.254581837835</v>
      </c>
      <c r="AA37" s="59">
        <f t="shared" si="5"/>
        <v>37409.064765111347</v>
      </c>
      <c r="AB37" s="59">
        <f t="shared" si="5"/>
        <v>38905.427355715801</v>
      </c>
      <c r="AC37" s="59">
        <f t="shared" si="5"/>
        <v>40461.644449944433</v>
      </c>
      <c r="AD37" s="59">
        <f t="shared" si="5"/>
        <v>42080.110227942212</v>
      </c>
      <c r="AE37" s="59">
        <f t="shared" si="5"/>
        <v>43763.314637059899</v>
      </c>
      <c r="AF37" s="59">
        <f t="shared" si="5"/>
        <v>45513.847222542296</v>
      </c>
      <c r="AG37" s="59">
        <f t="shared" si="5"/>
        <v>47334.401111443993</v>
      </c>
      <c r="AH37" s="59">
        <f t="shared" si="5"/>
        <v>49227.777155901756</v>
      </c>
      <c r="AI37" s="59">
        <f t="shared" si="5"/>
        <v>51196.888242137829</v>
      </c>
    </row>
    <row r="38" spans="1:35" s="55" customFormat="1" ht="14.25" customHeight="1">
      <c r="A38" s="56" t="s">
        <v>20</v>
      </c>
      <c r="B38" s="54"/>
      <c r="C38" s="59">
        <f>B8*$B$23*$B$23</f>
        <v>14990.976000000001</v>
      </c>
      <c r="D38" s="59">
        <f t="shared" si="5"/>
        <v>15590.615040000001</v>
      </c>
      <c r="E38" s="59">
        <f t="shared" si="5"/>
        <v>16214.239641600001</v>
      </c>
      <c r="F38" s="59">
        <f t="shared" si="5"/>
        <v>16862.809227264002</v>
      </c>
      <c r="G38" s="59">
        <f t="shared" si="5"/>
        <v>17537.321596354563</v>
      </c>
      <c r="H38" s="59">
        <f t="shared" si="5"/>
        <v>18238.814460208745</v>
      </c>
      <c r="I38" s="59">
        <f t="shared" si="5"/>
        <v>18968.367038617096</v>
      </c>
      <c r="J38" s="59">
        <f t="shared" si="5"/>
        <v>19727.10172016178</v>
      </c>
      <c r="K38" s="59">
        <f t="shared" si="5"/>
        <v>20516.185788968251</v>
      </c>
      <c r="L38" s="59">
        <f t="shared" si="5"/>
        <v>21336.83322052698</v>
      </c>
      <c r="M38" s="59">
        <f t="shared" si="5"/>
        <v>22190.306549348061</v>
      </c>
      <c r="N38" s="59">
        <f t="shared" si="5"/>
        <v>23077.918811321983</v>
      </c>
      <c r="O38" s="59">
        <f t="shared" si="5"/>
        <v>24001.035563774862</v>
      </c>
      <c r="P38" s="59">
        <f t="shared" si="5"/>
        <v>24961.076986325857</v>
      </c>
      <c r="Q38" s="59">
        <f t="shared" si="5"/>
        <v>25959.520065778892</v>
      </c>
      <c r="R38" s="59">
        <f t="shared" si="5"/>
        <v>26997.900868410048</v>
      </c>
      <c r="S38" s="59">
        <f t="shared" si="5"/>
        <v>28077.816903146449</v>
      </c>
      <c r="T38" s="59">
        <f t="shared" si="5"/>
        <v>29200.92957927231</v>
      </c>
      <c r="U38" s="59">
        <f t="shared" si="5"/>
        <v>30368.966762443204</v>
      </c>
      <c r="V38" s="59">
        <f t="shared" si="5"/>
        <v>31583.725432940933</v>
      </c>
      <c r="W38" s="59">
        <f t="shared" si="5"/>
        <v>32847.074450258573</v>
      </c>
      <c r="X38" s="59">
        <f t="shared" si="5"/>
        <v>34160.957428268914</v>
      </c>
      <c r="Y38" s="59">
        <f t="shared" si="5"/>
        <v>35527.39572539967</v>
      </c>
      <c r="Z38" s="59">
        <f t="shared" si="5"/>
        <v>36948.491554415661</v>
      </c>
      <c r="AA38" s="59">
        <f t="shared" si="5"/>
        <v>38426.431216592289</v>
      </c>
      <c r="AB38" s="59">
        <f t="shared" si="5"/>
        <v>39963.488465255985</v>
      </c>
      <c r="AC38" s="59">
        <f t="shared" si="5"/>
        <v>41562.028003866224</v>
      </c>
      <c r="AD38" s="59">
        <f t="shared" si="5"/>
        <v>43224.509124020871</v>
      </c>
      <c r="AE38" s="59">
        <f t="shared" si="5"/>
        <v>44953.489488981708</v>
      </c>
      <c r="AF38" s="59">
        <f t="shared" si="5"/>
        <v>46751.629068540977</v>
      </c>
      <c r="AG38" s="59">
        <f t="shared" si="5"/>
        <v>48621.694231282614</v>
      </c>
      <c r="AH38" s="59">
        <f t="shared" si="5"/>
        <v>50566.562000533922</v>
      </c>
      <c r="AI38" s="59">
        <f t="shared" si="5"/>
        <v>52589.224480555284</v>
      </c>
    </row>
    <row r="39" spans="1:35" s="55" customFormat="1" ht="14.25" customHeight="1">
      <c r="A39" s="57" t="s">
        <v>94</v>
      </c>
      <c r="B39" s="54"/>
      <c r="C39" s="59">
        <f t="shared" ref="C39:AI39" si="6">C31</f>
        <v>442980.11976713111</v>
      </c>
      <c r="D39" s="59">
        <f t="shared" si="6"/>
        <v>446966.94084503519</v>
      </c>
      <c r="E39" s="59">
        <f t="shared" si="6"/>
        <v>450989.64331264049</v>
      </c>
      <c r="F39" s="59">
        <f t="shared" si="6"/>
        <v>455048.5501024542</v>
      </c>
      <c r="G39" s="59">
        <f t="shared" si="6"/>
        <v>459143.98705337616</v>
      </c>
      <c r="H39" s="59">
        <f t="shared" si="6"/>
        <v>463276.2829368565</v>
      </c>
      <c r="I39" s="59">
        <f t="shared" si="6"/>
        <v>467445.76948328817</v>
      </c>
      <c r="J39" s="59">
        <f t="shared" si="6"/>
        <v>471652.78140863765</v>
      </c>
      <c r="K39" s="59">
        <f t="shared" si="6"/>
        <v>475897.65644131537</v>
      </c>
      <c r="L39" s="59">
        <f t="shared" si="6"/>
        <v>480180.7353492871</v>
      </c>
      <c r="M39" s="59">
        <f t="shared" si="6"/>
        <v>484502.36196743068</v>
      </c>
      <c r="N39" s="59">
        <f t="shared" si="6"/>
        <v>488862.8832251376</v>
      </c>
      <c r="O39" s="59">
        <f t="shared" si="6"/>
        <v>493262.64917416376</v>
      </c>
      <c r="P39" s="59">
        <f t="shared" si="6"/>
        <v>497702.01301673113</v>
      </c>
      <c r="Q39" s="59">
        <f t="shared" si="6"/>
        <v>502181.33113388176</v>
      </c>
      <c r="R39" s="59">
        <f t="shared" si="6"/>
        <v>506700.9631140866</v>
      </c>
      <c r="S39" s="59">
        <f t="shared" si="6"/>
        <v>511261.27178211324</v>
      </c>
      <c r="T39" s="59">
        <f t="shared" si="6"/>
        <v>515862.62322815222</v>
      </c>
      <c r="U39" s="59">
        <f t="shared" si="6"/>
        <v>520505.3868372055</v>
      </c>
      <c r="V39" s="59">
        <f t="shared" si="6"/>
        <v>525189.93531874032</v>
      </c>
      <c r="W39" s="59">
        <f t="shared" si="6"/>
        <v>529916.64473660884</v>
      </c>
      <c r="X39" s="59">
        <f t="shared" si="6"/>
        <v>534685.8945392383</v>
      </c>
      <c r="Y39" s="59">
        <f t="shared" si="6"/>
        <v>539498.06759009149</v>
      </c>
      <c r="Z39" s="59">
        <f t="shared" si="6"/>
        <v>544353.55019840226</v>
      </c>
      <c r="AA39" s="59">
        <f t="shared" si="6"/>
        <v>549252.73215018783</v>
      </c>
      <c r="AB39" s="59">
        <f t="shared" si="6"/>
        <v>554196.00673953944</v>
      </c>
      <c r="AC39" s="59">
        <f t="shared" si="6"/>
        <v>559183.77080019529</v>
      </c>
      <c r="AD39" s="59">
        <f t="shared" si="6"/>
        <v>564216.42473739688</v>
      </c>
      <c r="AE39" s="59">
        <f t="shared" si="6"/>
        <v>569294.37256003334</v>
      </c>
      <c r="AF39" s="59">
        <f t="shared" si="6"/>
        <v>574418.02191307361</v>
      </c>
      <c r="AG39" s="59">
        <f t="shared" si="6"/>
        <v>579587.78411029116</v>
      </c>
      <c r="AH39" s="59">
        <f t="shared" si="6"/>
        <v>584804.07416728372</v>
      </c>
      <c r="AI39" s="59">
        <f t="shared" si="6"/>
        <v>590067.31083478918</v>
      </c>
    </row>
    <row r="40" spans="1:35" s="55" customFormat="1" ht="14.25" customHeight="1">
      <c r="A40" s="53" t="s">
        <v>21</v>
      </c>
      <c r="B40" s="54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</row>
    <row r="41" spans="1:35" s="55" customFormat="1" ht="14.25" customHeight="1">
      <c r="A41" s="57" t="s">
        <v>95</v>
      </c>
      <c r="B41" s="54"/>
      <c r="C41" s="59">
        <f>$B$17*1.025*1.025</f>
        <v>-5450.8897058823513</v>
      </c>
      <c r="D41" s="59">
        <f t="shared" ref="D41:AI41" si="7">C41*1.025</f>
        <v>-5587.1619485294095</v>
      </c>
      <c r="E41" s="59">
        <f t="shared" si="7"/>
        <v>-5726.8409972426443</v>
      </c>
      <c r="F41" s="59">
        <f t="shared" si="7"/>
        <v>-5870.0120221737097</v>
      </c>
      <c r="G41" s="59">
        <f t="shared" si="7"/>
        <v>-6016.7623227280519</v>
      </c>
      <c r="H41" s="59">
        <f t="shared" si="7"/>
        <v>-6167.1813807962526</v>
      </c>
      <c r="I41" s="59">
        <f t="shared" si="7"/>
        <v>-6321.3609153161588</v>
      </c>
      <c r="J41" s="59">
        <f t="shared" si="7"/>
        <v>-6479.3949381990624</v>
      </c>
      <c r="K41" s="59">
        <f t="shared" si="7"/>
        <v>-6641.3798116540383</v>
      </c>
      <c r="L41" s="59">
        <f t="shared" si="7"/>
        <v>-6807.4143069453885</v>
      </c>
      <c r="M41" s="59">
        <f t="shared" si="7"/>
        <v>-6977.5996646190224</v>
      </c>
      <c r="N41" s="59">
        <f t="shared" si="7"/>
        <v>-7152.0396562344977</v>
      </c>
      <c r="O41" s="59">
        <f t="shared" si="7"/>
        <v>-7330.8406476403597</v>
      </c>
      <c r="P41" s="59">
        <f t="shared" si="7"/>
        <v>-7514.1116638313679</v>
      </c>
      <c r="Q41" s="59">
        <f t="shared" si="7"/>
        <v>-7701.9644554271517</v>
      </c>
      <c r="R41" s="59">
        <f t="shared" si="7"/>
        <v>-7894.5135668128296</v>
      </c>
      <c r="S41" s="59">
        <f t="shared" si="7"/>
        <v>-8091.8764059831492</v>
      </c>
      <c r="T41" s="59">
        <f t="shared" si="7"/>
        <v>-8294.1733161327265</v>
      </c>
      <c r="U41" s="59">
        <f t="shared" si="7"/>
        <v>-8501.5276490360447</v>
      </c>
      <c r="V41" s="59">
        <f t="shared" si="7"/>
        <v>-8714.0658402619447</v>
      </c>
      <c r="W41" s="59">
        <f t="shared" si="7"/>
        <v>-8931.9174862684922</v>
      </c>
      <c r="X41" s="59">
        <f t="shared" si="7"/>
        <v>-9155.215423425203</v>
      </c>
      <c r="Y41" s="59">
        <f t="shared" si="7"/>
        <v>-9384.0958090108325</v>
      </c>
      <c r="Z41" s="59">
        <f t="shared" si="7"/>
        <v>-9618.6982042361033</v>
      </c>
      <c r="AA41" s="59">
        <f t="shared" si="7"/>
        <v>-9859.1656593420048</v>
      </c>
      <c r="AB41" s="59">
        <f t="shared" si="7"/>
        <v>-10105.644800825554</v>
      </c>
      <c r="AC41" s="59">
        <f t="shared" si="7"/>
        <v>-10358.285920846192</v>
      </c>
      <c r="AD41" s="59">
        <f t="shared" si="7"/>
        <v>-10617.243068867347</v>
      </c>
      <c r="AE41" s="59">
        <f t="shared" si="7"/>
        <v>-10882.67414558903</v>
      </c>
      <c r="AF41" s="59">
        <f t="shared" si="7"/>
        <v>-11154.740999228754</v>
      </c>
      <c r="AG41" s="59">
        <f t="shared" si="7"/>
        <v>-11433.609524209473</v>
      </c>
      <c r="AH41" s="59">
        <f t="shared" si="7"/>
        <v>-11719.449762314709</v>
      </c>
      <c r="AI41" s="59">
        <f t="shared" si="7"/>
        <v>-12012.436006372576</v>
      </c>
    </row>
    <row r="42" spans="1:35" s="55" customFormat="1" ht="14.25" customHeight="1">
      <c r="A42" s="56" t="s">
        <v>7</v>
      </c>
      <c r="B42" s="54"/>
      <c r="C42" s="59">
        <f>$B$18*1.022*1.022</f>
        <v>-195318.508</v>
      </c>
      <c r="D42" s="59">
        <f t="shared" ref="D42:AI42" si="8">C42*1.022</f>
        <v>-199615.51517600002</v>
      </c>
      <c r="E42" s="59">
        <f t="shared" si="8"/>
        <v>-204007.05650987203</v>
      </c>
      <c r="F42" s="59">
        <f t="shared" si="8"/>
        <v>-208495.21175308921</v>
      </c>
      <c r="G42" s="59">
        <f t="shared" si="8"/>
        <v>-213082.10641165718</v>
      </c>
      <c r="H42" s="59">
        <f t="shared" si="8"/>
        <v>-217769.91275271363</v>
      </c>
      <c r="I42" s="59">
        <f t="shared" si="8"/>
        <v>-222560.85083327335</v>
      </c>
      <c r="J42" s="59">
        <f t="shared" si="8"/>
        <v>-227457.18955160538</v>
      </c>
      <c r="K42" s="59">
        <f t="shared" si="8"/>
        <v>-232461.24772174071</v>
      </c>
      <c r="L42" s="59">
        <f t="shared" si="8"/>
        <v>-237575.39517161902</v>
      </c>
      <c r="M42" s="59">
        <f t="shared" si="8"/>
        <v>-242802.05386539464</v>
      </c>
      <c r="N42" s="59">
        <f t="shared" si="8"/>
        <v>-248143.69905043332</v>
      </c>
      <c r="O42" s="59">
        <f t="shared" si="8"/>
        <v>-253602.86042954287</v>
      </c>
      <c r="P42" s="59">
        <f t="shared" si="8"/>
        <v>-259182.1233589928</v>
      </c>
      <c r="Q42" s="59">
        <f t="shared" si="8"/>
        <v>-264884.13007289066</v>
      </c>
      <c r="R42" s="59">
        <f t="shared" si="8"/>
        <v>-270711.58093449427</v>
      </c>
      <c r="S42" s="59">
        <f t="shared" si="8"/>
        <v>-276667.23571505316</v>
      </c>
      <c r="T42" s="59">
        <f t="shared" si="8"/>
        <v>-282753.91490078432</v>
      </c>
      <c r="U42" s="59">
        <f t="shared" si="8"/>
        <v>-288974.5010286016</v>
      </c>
      <c r="V42" s="59">
        <f t="shared" si="8"/>
        <v>-295331.94005123083</v>
      </c>
      <c r="W42" s="59">
        <f t="shared" si="8"/>
        <v>-301829.24273235793</v>
      </c>
      <c r="X42" s="59">
        <f t="shared" si="8"/>
        <v>-308469.48607246979</v>
      </c>
      <c r="Y42" s="59">
        <f t="shared" si="8"/>
        <v>-315255.81476606411</v>
      </c>
      <c r="Z42" s="59">
        <f t="shared" si="8"/>
        <v>-322191.44269091752</v>
      </c>
      <c r="AA42" s="59">
        <f t="shared" si="8"/>
        <v>-329279.65443011769</v>
      </c>
      <c r="AB42" s="59">
        <f t="shared" si="8"/>
        <v>-336523.80682758027</v>
      </c>
      <c r="AC42" s="59">
        <f t="shared" si="8"/>
        <v>-343927.33057778701</v>
      </c>
      <c r="AD42" s="59">
        <f t="shared" si="8"/>
        <v>-351493.73185049836</v>
      </c>
      <c r="AE42" s="59">
        <f t="shared" si="8"/>
        <v>-359226.59395120933</v>
      </c>
      <c r="AF42" s="59">
        <f t="shared" si="8"/>
        <v>-367129.57901813596</v>
      </c>
      <c r="AG42" s="59">
        <f t="shared" si="8"/>
        <v>-375206.42975653498</v>
      </c>
      <c r="AH42" s="59">
        <f t="shared" si="8"/>
        <v>-383460.97121117875</v>
      </c>
      <c r="AI42" s="59">
        <f t="shared" si="8"/>
        <v>-391897.11257782468</v>
      </c>
    </row>
    <row r="43" spans="1:35" s="55" customFormat="1" ht="14.25" customHeight="1">
      <c r="A43" s="56" t="s">
        <v>16</v>
      </c>
      <c r="B43" s="54"/>
      <c r="C43" s="59"/>
      <c r="D43" s="59"/>
      <c r="E43" s="59"/>
      <c r="F43" s="59"/>
      <c r="G43" s="59"/>
      <c r="H43" s="59"/>
      <c r="I43" s="59">
        <f>$B$19*POWER(1.022,H34)</f>
        <v>-11394.765048751718</v>
      </c>
      <c r="J43" s="59"/>
      <c r="K43" s="59"/>
      <c r="L43" s="59"/>
      <c r="M43" s="59"/>
      <c r="N43" s="59"/>
      <c r="O43" s="59"/>
      <c r="P43" s="59">
        <f>$B$19*POWER(1.022,O34)</f>
        <v>-13269.716526761138</v>
      </c>
      <c r="Q43" s="59"/>
      <c r="R43" s="59"/>
      <c r="S43" s="59"/>
      <c r="T43" s="59"/>
      <c r="U43" s="59"/>
      <c r="V43" s="59"/>
      <c r="W43" s="59">
        <f>$B$19*POWER(1.022,V34)</f>
        <v>-15453.181873187244</v>
      </c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</row>
    <row r="44" spans="1:35" s="55" customFormat="1" ht="14.25" customHeight="1">
      <c r="A44" s="56" t="s">
        <v>17</v>
      </c>
      <c r="B44" s="54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>
        <f>$B$20*POWER(1.022,P34)</f>
        <v>-94931.552032449166</v>
      </c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</row>
    <row r="45" spans="1:35" ht="14.25" customHeight="1" thickBot="1">
      <c r="A45" s="70" t="s">
        <v>10</v>
      </c>
      <c r="B45" s="52"/>
      <c r="C45" s="61">
        <f t="shared" ref="C45:AI45" si="9">SUM(C35:C44)</f>
        <v>286788.65602180874</v>
      </c>
      <c r="D45" s="61">
        <f t="shared" si="9"/>
        <v>287855.44322719809</v>
      </c>
      <c r="E45" s="61">
        <f t="shared" si="9"/>
        <v>288914.76350032538</v>
      </c>
      <c r="F45" s="61">
        <f t="shared" si="9"/>
        <v>289966.82793979481</v>
      </c>
      <c r="G45" s="61">
        <f t="shared" si="9"/>
        <v>291011.8819167309</v>
      </c>
      <c r="H45" s="61">
        <f t="shared" si="9"/>
        <v>292050.20714788232</v>
      </c>
      <c r="I45" s="61">
        <f t="shared" si="9"/>
        <v>281687.35881961382</v>
      </c>
      <c r="J45" s="61">
        <f t="shared" si="9"/>
        <v>294107.99310841411</v>
      </c>
      <c r="K45" s="61">
        <f t="shared" si="9"/>
        <v>295128.21907868469</v>
      </c>
      <c r="L45" s="61">
        <f t="shared" si="9"/>
        <v>296143.25166885625</v>
      </c>
      <c r="M45" s="61">
        <f t="shared" si="9"/>
        <v>297153.58906446677</v>
      </c>
      <c r="N45" s="61">
        <f t="shared" si="9"/>
        <v>298159.78048712632</v>
      </c>
      <c r="O45" s="61">
        <f t="shared" si="9"/>
        <v>299162.42906347162</v>
      </c>
      <c r="P45" s="61">
        <f t="shared" si="9"/>
        <v>286892.47830168472</v>
      </c>
      <c r="Q45" s="61">
        <f t="shared" si="9"/>
        <v>206228.24583627004</v>
      </c>
      <c r="R45" s="61">
        <f t="shared" si="9"/>
        <v>302156.02161231078</v>
      </c>
      <c r="S45" s="61">
        <f t="shared" si="9"/>
        <v>303151.71627072815</v>
      </c>
      <c r="T45" s="61">
        <f t="shared" si="9"/>
        <v>304147.80244019401</v>
      </c>
      <c r="U45" s="61">
        <f t="shared" si="9"/>
        <v>305145.27486881503</v>
      </c>
      <c r="V45" s="61">
        <f t="shared" si="9"/>
        <v>306145.20639682328</v>
      </c>
      <c r="W45" s="61">
        <f t="shared" si="9"/>
        <v>291695.5702041359</v>
      </c>
      <c r="X45" s="61">
        <f t="shared" si="9"/>
        <v>308157.1534852811</v>
      </c>
      <c r="Y45" s="61">
        <f t="shared" si="9"/>
        <v>309171.74322282028</v>
      </c>
      <c r="Z45" s="61">
        <f t="shared" si="9"/>
        <v>310193.94962921308</v>
      </c>
      <c r="AA45" s="61">
        <f t="shared" si="9"/>
        <v>311225.3017043164</v>
      </c>
      <c r="AB45" s="61">
        <f t="shared" si="9"/>
        <v>312267.43425455148</v>
      </c>
      <c r="AC45" s="61">
        <f t="shared" si="9"/>
        <v>313322.09327091265</v>
      </c>
      <c r="AD45" s="61">
        <f t="shared" si="9"/>
        <v>314391.14154887595</v>
      </c>
      <c r="AE45" s="61">
        <f t="shared" si="9"/>
        <v>315476.56456049369</v>
      </c>
      <c r="AF45" s="61">
        <f t="shared" si="9"/>
        <v>316580.47658937605</v>
      </c>
      <c r="AG45" s="61">
        <f t="shared" si="9"/>
        <v>317705.12713971396</v>
      </c>
      <c r="AH45" s="61">
        <f t="shared" si="9"/>
        <v>318852.90763095039</v>
      </c>
      <c r="AI45" s="61">
        <f t="shared" si="9"/>
        <v>320026.35839018546</v>
      </c>
    </row>
    <row r="46" spans="1:35" s="55" customFormat="1" ht="14.25" customHeight="1" thickTop="1">
      <c r="A46" s="58" t="s">
        <v>11</v>
      </c>
      <c r="B46" s="59">
        <f>B13</f>
        <v>-5940000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</row>
    <row r="47" spans="1:35" ht="14.25" customHeight="1">
      <c r="A47" s="7" t="s">
        <v>8</v>
      </c>
      <c r="B47" s="62">
        <f t="shared" ref="B47:AI47" si="10">SUM(B45:B46)</f>
        <v>-5940000</v>
      </c>
      <c r="C47" s="62">
        <f t="shared" si="10"/>
        <v>286788.65602180874</v>
      </c>
      <c r="D47" s="62">
        <f t="shared" si="10"/>
        <v>287855.44322719809</v>
      </c>
      <c r="E47" s="62">
        <f t="shared" si="10"/>
        <v>288914.76350032538</v>
      </c>
      <c r="F47" s="62">
        <f t="shared" si="10"/>
        <v>289966.82793979481</v>
      </c>
      <c r="G47" s="62">
        <f t="shared" si="10"/>
        <v>291011.8819167309</v>
      </c>
      <c r="H47" s="62">
        <f t="shared" si="10"/>
        <v>292050.20714788232</v>
      </c>
      <c r="I47" s="62">
        <f t="shared" si="10"/>
        <v>281687.35881961382</v>
      </c>
      <c r="J47" s="62">
        <f t="shared" si="10"/>
        <v>294107.99310841411</v>
      </c>
      <c r="K47" s="62">
        <f t="shared" si="10"/>
        <v>295128.21907868469</v>
      </c>
      <c r="L47" s="62">
        <f t="shared" si="10"/>
        <v>296143.25166885625</v>
      </c>
      <c r="M47" s="62">
        <f t="shared" si="10"/>
        <v>297153.58906446677</v>
      </c>
      <c r="N47" s="62">
        <f t="shared" si="10"/>
        <v>298159.78048712632</v>
      </c>
      <c r="O47" s="62">
        <f t="shared" si="10"/>
        <v>299162.42906347162</v>
      </c>
      <c r="P47" s="62">
        <f t="shared" si="10"/>
        <v>286892.47830168472</v>
      </c>
      <c r="Q47" s="62">
        <f t="shared" si="10"/>
        <v>206228.24583627004</v>
      </c>
      <c r="R47" s="62">
        <f t="shared" si="10"/>
        <v>302156.02161231078</v>
      </c>
      <c r="S47" s="62">
        <f t="shared" si="10"/>
        <v>303151.71627072815</v>
      </c>
      <c r="T47" s="62">
        <f t="shared" si="10"/>
        <v>304147.80244019401</v>
      </c>
      <c r="U47" s="62">
        <f t="shared" si="10"/>
        <v>305145.27486881503</v>
      </c>
      <c r="V47" s="62">
        <f t="shared" si="10"/>
        <v>306145.20639682328</v>
      </c>
      <c r="W47" s="62">
        <f t="shared" si="10"/>
        <v>291695.5702041359</v>
      </c>
      <c r="X47" s="62">
        <f t="shared" si="10"/>
        <v>308157.1534852811</v>
      </c>
      <c r="Y47" s="62">
        <f t="shared" si="10"/>
        <v>309171.74322282028</v>
      </c>
      <c r="Z47" s="62">
        <f t="shared" si="10"/>
        <v>310193.94962921308</v>
      </c>
      <c r="AA47" s="62">
        <f t="shared" si="10"/>
        <v>311225.3017043164</v>
      </c>
      <c r="AB47" s="62">
        <f t="shared" si="10"/>
        <v>312267.43425455148</v>
      </c>
      <c r="AC47" s="62">
        <f t="shared" si="10"/>
        <v>313322.09327091265</v>
      </c>
      <c r="AD47" s="62">
        <f t="shared" si="10"/>
        <v>314391.14154887595</v>
      </c>
      <c r="AE47" s="62">
        <f t="shared" si="10"/>
        <v>315476.56456049369</v>
      </c>
      <c r="AF47" s="62">
        <f t="shared" si="10"/>
        <v>316580.47658937605</v>
      </c>
      <c r="AG47" s="62">
        <f t="shared" si="10"/>
        <v>317705.12713971396</v>
      </c>
      <c r="AH47" s="62">
        <f t="shared" si="10"/>
        <v>318852.90763095039</v>
      </c>
      <c r="AI47" s="62">
        <f t="shared" si="10"/>
        <v>320026.35839018546</v>
      </c>
    </row>
    <row r="48" spans="1:35" s="55" customFormat="1" ht="14.25" customHeight="1"/>
    <row r="49" spans="1:8" s="55" customFormat="1" ht="14.25" customHeight="1">
      <c r="A49" s="64" t="s">
        <v>22</v>
      </c>
      <c r="B49" s="65">
        <v>3.2500000000000001E-2</v>
      </c>
      <c r="D49" s="66"/>
    </row>
    <row r="50" spans="1:8" s="55" customFormat="1" ht="14.25" customHeight="1">
      <c r="A50" s="69" t="s">
        <v>96</v>
      </c>
      <c r="B50" s="60">
        <f>NPV(B49,$C$47:$AI$47)+$B$47</f>
        <v>0</v>
      </c>
      <c r="D50" s="63"/>
    </row>
    <row r="51" spans="1:8" s="55" customFormat="1" ht="14.25" customHeight="1"/>
    <row r="52" spans="1:8" s="55" customFormat="1" ht="14.25" customHeight="1">
      <c r="A52" s="72" t="s">
        <v>91</v>
      </c>
      <c r="B52" s="73">
        <v>15.348160008458324</v>
      </c>
    </row>
    <row r="53" spans="1:8" s="55" customFormat="1" ht="14.25" customHeight="1"/>
    <row r="54" spans="1:8" s="55" customFormat="1" ht="14.25" customHeight="1">
      <c r="A54" s="72" t="s">
        <v>92</v>
      </c>
    </row>
    <row r="55" spans="1:8" s="55" customFormat="1" ht="14.25" customHeight="1">
      <c r="A55" s="98" t="s">
        <v>122</v>
      </c>
      <c r="B55" s="74">
        <v>15.348160008458324</v>
      </c>
      <c r="C55" s="74"/>
    </row>
    <row r="56" spans="1:8" s="55" customFormat="1" ht="14.25" customHeight="1">
      <c r="A56" s="99" t="s">
        <v>121</v>
      </c>
      <c r="B56" s="74"/>
      <c r="C56" s="74"/>
    </row>
    <row r="57" spans="1:8" s="55" customFormat="1" ht="14.25" customHeight="1">
      <c r="A57" s="98" t="s">
        <v>123</v>
      </c>
      <c r="B57" s="55">
        <v>0</v>
      </c>
      <c r="C57" s="55">
        <v>5</v>
      </c>
      <c r="D57" s="55">
        <v>10</v>
      </c>
      <c r="E57" s="55">
        <v>15</v>
      </c>
      <c r="F57" s="55">
        <v>20</v>
      </c>
      <c r="G57" s="55">
        <v>25</v>
      </c>
    </row>
    <row r="58" spans="1:8" s="55" customFormat="1" ht="14.25" customHeight="1">
      <c r="A58" s="75" t="s">
        <v>60</v>
      </c>
      <c r="B58" s="59">
        <v>-10032567.606579956</v>
      </c>
      <c r="C58" s="59">
        <v>-6764238.503595937</v>
      </c>
      <c r="D58" s="59">
        <v>-3495909.4006119198</v>
      </c>
      <c r="E58" s="59">
        <v>-227580.29762790073</v>
      </c>
      <c r="F58" s="59">
        <v>3040748.8053561188</v>
      </c>
      <c r="G58" s="59">
        <v>6309077.9083401375</v>
      </c>
    </row>
    <row r="59" spans="1:8" s="55" customFormat="1" ht="14.25" customHeight="1">
      <c r="A59" s="75"/>
      <c r="B59" s="63"/>
      <c r="C59" s="63"/>
      <c r="D59" s="63"/>
      <c r="E59" s="63"/>
    </row>
    <row r="60" spans="1:8" s="55" customFormat="1" ht="14.25" customHeight="1">
      <c r="A60" s="75"/>
      <c r="B60" s="63"/>
      <c r="C60" s="63"/>
      <c r="D60" s="63"/>
      <c r="E60" s="63"/>
      <c r="F60" s="63"/>
      <c r="G60" s="63"/>
      <c r="H60" s="63"/>
    </row>
    <row r="61" spans="1:8" s="55" customFormat="1" ht="14.25" customHeight="1"/>
    <row r="62" spans="1:8" ht="14.25" customHeight="1"/>
    <row r="63" spans="1:8" ht="14.25" customHeight="1"/>
    <row r="64" spans="1:8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088C6-4F12-43D3-A2BB-F5A815DBC957}">
  <dimension ref="A1:H932"/>
  <sheetViews>
    <sheetView zoomScale="85" zoomScaleNormal="85" workbookViewId="0"/>
  </sheetViews>
  <sheetFormatPr defaultColWidth="14.44140625" defaultRowHeight="15" customHeight="1"/>
  <cols>
    <col min="1" max="1" width="36.21875" customWidth="1"/>
    <col min="2" max="2" width="17" customWidth="1"/>
    <col min="3" max="3" width="15.77734375" customWidth="1"/>
    <col min="4" max="4" width="14.5546875" customWidth="1"/>
    <col min="5" max="5" width="13.77734375" customWidth="1"/>
    <col min="6" max="6" width="13.21875" customWidth="1"/>
    <col min="7" max="7" width="15.44140625" customWidth="1"/>
    <col min="8" max="8" width="12.5546875" customWidth="1"/>
    <col min="9" max="9" width="11" customWidth="1"/>
    <col min="10" max="10" width="10.44140625" customWidth="1"/>
    <col min="11" max="11" width="11.109375" customWidth="1"/>
    <col min="12" max="12" width="12.109375" customWidth="1"/>
    <col min="13" max="34" width="8.77734375" customWidth="1"/>
    <col min="35" max="35" width="10.77734375" customWidth="1"/>
  </cols>
  <sheetData>
    <row r="1" spans="1:8" ht="14.25" customHeight="1"/>
    <row r="2" spans="1:8" ht="14.25" customHeight="1"/>
    <row r="3" spans="1:8" ht="14.25" customHeight="1">
      <c r="A3" s="72" t="s">
        <v>92</v>
      </c>
      <c r="B3" s="32"/>
      <c r="C3" s="32"/>
    </row>
    <row r="4" spans="1:8" ht="14.25" customHeight="1">
      <c r="A4" s="98" t="s">
        <v>123</v>
      </c>
      <c r="B4">
        <v>0</v>
      </c>
      <c r="C4">
        <v>5</v>
      </c>
      <c r="D4">
        <v>10</v>
      </c>
      <c r="E4">
        <v>15</v>
      </c>
      <c r="F4">
        <v>20</v>
      </c>
      <c r="G4">
        <v>25</v>
      </c>
    </row>
    <row r="5" spans="1:8" ht="14.25" customHeight="1">
      <c r="A5" s="33" t="s">
        <v>60</v>
      </c>
      <c r="B5" s="48">
        <v>-10032567.606579956</v>
      </c>
      <c r="C5" s="48">
        <v>-6764238.503595937</v>
      </c>
      <c r="D5" s="48">
        <v>-3495909.4006119198</v>
      </c>
      <c r="E5" s="48">
        <v>-227580.29762790073</v>
      </c>
      <c r="F5" s="48">
        <v>3040748.8053561188</v>
      </c>
      <c r="G5" s="48">
        <v>6309077.9083401375</v>
      </c>
      <c r="H5" s="48"/>
    </row>
    <row r="6" spans="1:8" ht="14.25" customHeight="1">
      <c r="A6" s="33" t="s">
        <v>59</v>
      </c>
      <c r="B6" s="48">
        <v>-4458573.489130171</v>
      </c>
      <c r="C6" s="48">
        <v>-1248289.5304038818</v>
      </c>
      <c r="D6" s="48">
        <v>1961994.4283224074</v>
      </c>
      <c r="E6" s="48">
        <v>5172278.387048698</v>
      </c>
      <c r="F6" s="48"/>
      <c r="G6" s="48"/>
      <c r="H6" s="48"/>
    </row>
    <row r="7" spans="1:8" ht="14.25" customHeight="1">
      <c r="A7" s="33"/>
      <c r="B7" s="48"/>
      <c r="C7" s="48"/>
      <c r="D7" s="48"/>
      <c r="E7" s="48"/>
      <c r="F7" s="48"/>
      <c r="G7" s="48"/>
      <c r="H7" s="48"/>
    </row>
    <row r="8" spans="1:8" ht="14.25" customHeight="1"/>
    <row r="9" spans="1:8" ht="14.25" customHeight="1"/>
    <row r="10" spans="1:8" ht="14.25" customHeight="1"/>
    <row r="11" spans="1:8" ht="14.25" customHeight="1"/>
    <row r="12" spans="1:8" ht="14.25" customHeight="1"/>
    <row r="13" spans="1:8" ht="14.25" customHeight="1"/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</sheetData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95"/>
  <sheetViews>
    <sheetView workbookViewId="0"/>
  </sheetViews>
  <sheetFormatPr defaultColWidth="14.44140625" defaultRowHeight="15" customHeight="1"/>
  <cols>
    <col min="1" max="1" width="13.5546875" customWidth="1"/>
    <col min="2" max="2" width="11.5546875" customWidth="1"/>
    <col min="3" max="3" width="12.5546875" customWidth="1"/>
    <col min="4" max="4" width="13.5546875" customWidth="1"/>
    <col min="5" max="5" width="9.5546875" customWidth="1"/>
    <col min="6" max="6" width="8.77734375" customWidth="1"/>
    <col min="7" max="7" width="10.77734375" customWidth="1"/>
    <col min="8" max="8" width="10.109375" customWidth="1"/>
    <col min="9" max="9" width="11.109375" customWidth="1"/>
  </cols>
  <sheetData>
    <row r="1" spans="1:9" ht="14.25" customHeight="1"/>
    <row r="2" spans="1:9" ht="14.25" customHeight="1">
      <c r="A2" s="88" t="s">
        <v>104</v>
      </c>
    </row>
    <row r="3" spans="1:9" ht="14.25" customHeight="1"/>
    <row r="4" spans="1:9" ht="14.25" customHeight="1">
      <c r="A4" s="77" t="s">
        <v>29</v>
      </c>
      <c r="D4" s="77" t="s">
        <v>30</v>
      </c>
    </row>
    <row r="5" spans="1:9" ht="14.25" customHeight="1">
      <c r="A5" s="34" t="s">
        <v>102</v>
      </c>
      <c r="B5" s="2">
        <v>38</v>
      </c>
      <c r="D5" s="34" t="s">
        <v>102</v>
      </c>
      <c r="E5" s="2">
        <v>10</v>
      </c>
    </row>
    <row r="6" spans="1:9" ht="14.25" customHeight="1">
      <c r="A6" s="34" t="s">
        <v>106</v>
      </c>
      <c r="B6" s="2">
        <v>15</v>
      </c>
      <c r="D6" s="34" t="s">
        <v>106</v>
      </c>
      <c r="E6" s="2">
        <v>15</v>
      </c>
    </row>
    <row r="7" spans="1:9" ht="14.25" customHeight="1"/>
    <row r="8" spans="1:9" ht="14.25" customHeight="1">
      <c r="A8" s="2" t="s">
        <v>31</v>
      </c>
      <c r="B8" s="2">
        <f>Drammen!F22-Vestfossen!F13</f>
        <v>21.200000000000003</v>
      </c>
      <c r="D8" s="2" t="s">
        <v>31</v>
      </c>
      <c r="E8" s="2">
        <f>Vestfossen!F13</f>
        <v>15.4</v>
      </c>
    </row>
    <row r="9" spans="1:9" ht="14.25" customHeight="1"/>
    <row r="10" spans="1:9" ht="14.25" customHeight="1">
      <c r="A10" s="34" t="s">
        <v>103</v>
      </c>
      <c r="B10" s="2">
        <f>(B5+B6)*B8</f>
        <v>1123.6000000000001</v>
      </c>
      <c r="D10" s="34" t="s">
        <v>103</v>
      </c>
      <c r="E10" s="2">
        <f>(E5+E6)*E8</f>
        <v>385</v>
      </c>
      <c r="G10" s="2" t="s">
        <v>32</v>
      </c>
      <c r="H10" s="12">
        <f>(B10+E10)/60</f>
        <v>25.143333333333334</v>
      </c>
    </row>
    <row r="11" spans="1:9" s="49" customFormat="1" ht="14.25" customHeight="1">
      <c r="A11" s="34"/>
      <c r="B11" s="50"/>
      <c r="D11" s="34"/>
      <c r="E11" s="50"/>
      <c r="H11" s="50"/>
      <c r="I11" s="12"/>
    </row>
    <row r="12" spans="1:9" s="49" customFormat="1" ht="14.25" customHeight="1">
      <c r="D12" s="34"/>
      <c r="E12" s="50"/>
      <c r="H12" s="50"/>
      <c r="I12" s="12"/>
    </row>
    <row r="13" spans="1:9" ht="14.25" customHeight="1"/>
    <row r="14" spans="1:9" ht="14.25" customHeight="1"/>
    <row r="15" spans="1:9" ht="14.25" customHeight="1">
      <c r="A15" s="88" t="s">
        <v>105</v>
      </c>
    </row>
    <row r="16" spans="1:9" ht="14.25" customHeight="1"/>
    <row r="17" spans="1:9" ht="14.25" customHeight="1">
      <c r="A17" s="77" t="s">
        <v>34</v>
      </c>
      <c r="D17" s="77" t="s">
        <v>35</v>
      </c>
    </row>
    <row r="18" spans="1:9" ht="14.25" customHeight="1">
      <c r="A18" s="34" t="s">
        <v>102</v>
      </c>
      <c r="B18" s="2">
        <v>0</v>
      </c>
      <c r="D18" s="34" t="s">
        <v>102</v>
      </c>
      <c r="E18" s="2">
        <v>4.3</v>
      </c>
    </row>
    <row r="19" spans="1:9" ht="14.25" customHeight="1">
      <c r="A19" s="34" t="s">
        <v>106</v>
      </c>
      <c r="B19" s="2">
        <v>0</v>
      </c>
      <c r="D19" s="34" t="s">
        <v>106</v>
      </c>
      <c r="E19" s="2">
        <v>15</v>
      </c>
    </row>
    <row r="20" spans="1:9" ht="14.25" customHeight="1"/>
    <row r="21" spans="1:9" ht="14.25" customHeight="1">
      <c r="A21" s="2" t="s">
        <v>31</v>
      </c>
      <c r="B21" s="2">
        <v>0</v>
      </c>
      <c r="D21" s="2" t="s">
        <v>31</v>
      </c>
      <c r="E21" s="2">
        <v>60.2</v>
      </c>
    </row>
    <row r="22" spans="1:9" ht="14.25" customHeight="1"/>
    <row r="23" spans="1:9" ht="14.25" customHeight="1">
      <c r="A23" s="34" t="s">
        <v>103</v>
      </c>
      <c r="B23" s="2">
        <f>(B18+B19)*B21</f>
        <v>0</v>
      </c>
      <c r="D23" s="34" t="s">
        <v>103</v>
      </c>
      <c r="E23" s="2">
        <f>(E18+E19)*E21</f>
        <v>1161.8600000000001</v>
      </c>
      <c r="G23" s="2" t="s">
        <v>32</v>
      </c>
      <c r="H23" s="12">
        <f>(B23+E23)/60</f>
        <v>19.364333333333335</v>
      </c>
    </row>
    <row r="24" spans="1:9" ht="14.25" customHeight="1">
      <c r="H24" s="2"/>
      <c r="I24" s="13"/>
    </row>
    <row r="25" spans="1:9" ht="24.45" customHeight="1">
      <c r="A25" s="103" t="s">
        <v>33</v>
      </c>
      <c r="B25" s="103"/>
      <c r="C25" s="2"/>
    </row>
    <row r="26" spans="1:9" ht="14.25" customHeight="1">
      <c r="A26" s="2"/>
      <c r="B26" s="3"/>
      <c r="C26" s="14"/>
    </row>
    <row r="27" spans="1:9" ht="14.25" customHeight="1">
      <c r="A27" s="2"/>
      <c r="B27" s="3"/>
      <c r="C27" s="3"/>
    </row>
    <row r="28" spans="1:9" ht="14.25" customHeight="1">
      <c r="C28" s="14"/>
    </row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">
    <mergeCell ref="A25:B2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32"/>
  <sheetViews>
    <sheetView zoomScale="85" zoomScaleNormal="85" workbookViewId="0"/>
  </sheetViews>
  <sheetFormatPr defaultColWidth="14.44140625" defaultRowHeight="15" customHeight="1"/>
  <cols>
    <col min="1" max="1" width="23.109375" customWidth="1"/>
    <col min="2" max="2" width="12.33203125" customWidth="1"/>
    <col min="3" max="3" width="13" customWidth="1"/>
    <col min="4" max="4" width="15.21875" customWidth="1"/>
    <col min="5" max="5" width="13.88671875" customWidth="1"/>
    <col min="6" max="6" width="15.44140625" customWidth="1"/>
    <col min="7" max="7" width="15.6640625" customWidth="1"/>
    <col min="8" max="8" width="12.77734375" customWidth="1"/>
    <col min="9" max="9" width="13.109375" customWidth="1"/>
    <col min="10" max="10" width="25.109375" customWidth="1"/>
    <col min="11" max="11" width="15.5546875" customWidth="1"/>
    <col min="12" max="12" width="17.109375" customWidth="1"/>
    <col min="13" max="13" width="15.21875" customWidth="1"/>
    <col min="14" max="14" width="12.33203125" customWidth="1"/>
    <col min="15" max="15" width="14.77734375" customWidth="1"/>
    <col min="16" max="16" width="13.77734375" customWidth="1"/>
    <col min="17" max="17" width="10.77734375" customWidth="1"/>
    <col min="18" max="19" width="11.5546875" customWidth="1"/>
  </cols>
  <sheetData>
    <row r="1" spans="1:19" s="55" customFormat="1" ht="43.95" customHeight="1">
      <c r="A1" s="15" t="s">
        <v>36</v>
      </c>
      <c r="B1" s="16"/>
      <c r="C1" s="16"/>
      <c r="D1" s="17"/>
      <c r="E1" s="18"/>
      <c r="F1" s="18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55" customFormat="1" ht="16.5" customHeight="1">
      <c r="A2" s="19">
        <v>60</v>
      </c>
      <c r="B2" s="16"/>
      <c r="C2" s="16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s="55" customFormat="1" ht="14.25" customHeight="1">
      <c r="A3" s="16" t="s">
        <v>37</v>
      </c>
      <c r="B3" s="18">
        <v>60</v>
      </c>
      <c r="C3" s="16" t="s">
        <v>38</v>
      </c>
      <c r="D3" s="20" t="s">
        <v>39</v>
      </c>
      <c r="E3" s="16"/>
      <c r="F3" s="16"/>
      <c r="G3" s="16"/>
      <c r="H3" s="16"/>
      <c r="I3" s="16"/>
      <c r="J3" s="16"/>
    </row>
    <row r="4" spans="1:19" s="55" customFormat="1" ht="14.25" customHeight="1">
      <c r="A4" s="22" t="s">
        <v>40</v>
      </c>
      <c r="B4" s="17">
        <f>SUM(B3/$A$2)</f>
        <v>1</v>
      </c>
      <c r="C4" s="16" t="s">
        <v>41</v>
      </c>
      <c r="D4" s="20" t="s">
        <v>42</v>
      </c>
      <c r="E4" s="16"/>
      <c r="F4" s="16"/>
      <c r="G4" s="16"/>
      <c r="H4" s="16"/>
      <c r="I4" s="16"/>
      <c r="J4" s="16"/>
      <c r="P4" s="16"/>
      <c r="Q4" s="16"/>
      <c r="R4" s="16"/>
      <c r="S4" s="16"/>
    </row>
    <row r="5" spans="1:19" s="55" customFormat="1" ht="14.25" customHeight="1">
      <c r="A5" s="16"/>
      <c r="B5" s="16"/>
      <c r="C5" s="16"/>
      <c r="D5" s="17"/>
      <c r="E5" s="16"/>
      <c r="F5" s="16"/>
      <c r="G5" s="16"/>
      <c r="H5" s="16"/>
      <c r="I5" s="16"/>
      <c r="J5" s="16"/>
      <c r="P5" s="16"/>
      <c r="Q5" s="16"/>
      <c r="R5" s="16"/>
      <c r="S5" s="16"/>
    </row>
    <row r="6" spans="1:19" s="55" customFormat="1" ht="14.25" customHeight="1">
      <c r="A6" s="16" t="s">
        <v>37</v>
      </c>
      <c r="B6" s="18">
        <v>80</v>
      </c>
      <c r="C6" s="16" t="s">
        <v>38</v>
      </c>
      <c r="D6" s="20" t="s">
        <v>39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55" customFormat="1" ht="14.25" customHeight="1">
      <c r="A7" s="22" t="s">
        <v>43</v>
      </c>
      <c r="B7" s="17">
        <f>SUM(B6/$A$2)</f>
        <v>1.3333333333333333</v>
      </c>
      <c r="C7" s="16" t="s">
        <v>41</v>
      </c>
      <c r="D7" s="20" t="s">
        <v>44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s="55" customFormat="1" ht="14.25" customHeight="1">
      <c r="A8" s="16"/>
      <c r="B8" s="16"/>
      <c r="C8" s="16"/>
      <c r="D8" s="17"/>
      <c r="E8" s="16"/>
      <c r="F8" s="16"/>
      <c r="G8" s="16"/>
      <c r="H8" s="16"/>
      <c r="I8" s="16"/>
      <c r="J8" s="16"/>
      <c r="K8" s="16"/>
      <c r="L8" s="17"/>
      <c r="M8" s="16"/>
      <c r="N8" s="16"/>
      <c r="O8" s="16"/>
      <c r="P8" s="16"/>
      <c r="Q8" s="16"/>
      <c r="R8" s="16"/>
      <c r="S8" s="16"/>
    </row>
    <row r="9" spans="1:19" s="55" customFormat="1" ht="27" customHeight="1">
      <c r="A9" s="23" t="s">
        <v>45</v>
      </c>
      <c r="B9" s="23" t="s">
        <v>46</v>
      </c>
      <c r="C9" s="23" t="s">
        <v>47</v>
      </c>
      <c r="D9" s="24" t="s">
        <v>48</v>
      </c>
      <c r="E9" s="23" t="s">
        <v>49</v>
      </c>
      <c r="F9" s="91" t="s">
        <v>108</v>
      </c>
      <c r="G9" s="90" t="s">
        <v>107</v>
      </c>
      <c r="H9" s="23" t="s">
        <v>50</v>
      </c>
      <c r="I9" s="23" t="s">
        <v>51</v>
      </c>
      <c r="J9" s="92" t="s">
        <v>52</v>
      </c>
      <c r="K9" s="23" t="s">
        <v>53</v>
      </c>
      <c r="L9" s="23" t="s">
        <v>54</v>
      </c>
      <c r="M9" s="23" t="s">
        <v>55</v>
      </c>
      <c r="N9" s="92" t="s">
        <v>23</v>
      </c>
      <c r="O9" s="23" t="s">
        <v>56</v>
      </c>
      <c r="P9" s="92" t="s">
        <v>24</v>
      </c>
      <c r="Q9" s="92" t="s">
        <v>57</v>
      </c>
      <c r="R9" s="16"/>
      <c r="S9" s="16"/>
    </row>
    <row r="10" spans="1:19" s="55" customFormat="1" ht="15.75" customHeight="1">
      <c r="A10" s="89" t="s">
        <v>58</v>
      </c>
      <c r="B10" s="89" t="s">
        <v>40</v>
      </c>
      <c r="C10" s="25">
        <v>4.3</v>
      </c>
      <c r="D10" s="17">
        <f t="shared" ref="D10" si="0">SUM(C10/$B$4)</f>
        <v>4.3</v>
      </c>
      <c r="E10" s="25">
        <v>3.7</v>
      </c>
      <c r="F10" s="26">
        <f>SUM(D10*E10)</f>
        <v>15.91</v>
      </c>
      <c r="G10" s="18">
        <v>20</v>
      </c>
      <c r="H10" s="26">
        <f t="shared" ref="H10" si="1">SUM(F10+G10)</f>
        <v>35.909999999999997</v>
      </c>
      <c r="I10" s="18">
        <f>Eggemoen!F22</f>
        <v>60.2</v>
      </c>
      <c r="J10" s="26">
        <f>SUM(I10*D10)</f>
        <v>258.86</v>
      </c>
      <c r="K10" s="26">
        <f>SUM(I10*H10)</f>
        <v>2161.7819999999997</v>
      </c>
      <c r="L10" s="26">
        <f>SUM(K10)/0.8</f>
        <v>2702.2274999999995</v>
      </c>
      <c r="M10" s="27">
        <v>5736</v>
      </c>
      <c r="N10" s="21">
        <f>SUM(J10*M10)/60</f>
        <v>24747.016</v>
      </c>
      <c r="O10" s="28">
        <v>12.5</v>
      </c>
      <c r="P10" s="21">
        <f>SUM(L10*O10)</f>
        <v>33777.843749999993</v>
      </c>
      <c r="Q10" s="21">
        <f t="shared" ref="Q10" si="2">N10+P10</f>
        <v>58524.859749999989</v>
      </c>
      <c r="R10" s="16"/>
      <c r="S10" s="16"/>
    </row>
    <row r="11" spans="1:19" s="55" customFormat="1" ht="14.25" customHeight="1">
      <c r="A11" s="89" t="s">
        <v>61</v>
      </c>
      <c r="B11" s="89" t="s">
        <v>43</v>
      </c>
      <c r="C11" s="25">
        <v>13</v>
      </c>
      <c r="D11" s="17">
        <f t="shared" ref="D11" si="3">SUM(C11/$B$7)</f>
        <v>9.75</v>
      </c>
      <c r="E11" s="25">
        <v>3.7</v>
      </c>
      <c r="F11" s="26">
        <f>SUM(D11*E11)</f>
        <v>36.075000000000003</v>
      </c>
      <c r="G11" s="18">
        <v>20</v>
      </c>
      <c r="H11" s="26">
        <f t="shared" ref="H11" si="4">SUM(F11+G11)</f>
        <v>56.075000000000003</v>
      </c>
      <c r="I11" s="18">
        <f>Vestfossen!F13</f>
        <v>15.4</v>
      </c>
      <c r="J11" s="26">
        <f>SUM(I11*D11)</f>
        <v>150.15</v>
      </c>
      <c r="K11" s="26">
        <f>SUM(I11*H11)</f>
        <v>863.55500000000006</v>
      </c>
      <c r="L11" s="26">
        <f t="shared" ref="L11" si="5">SUM(K11)*1.25</f>
        <v>1079.4437500000001</v>
      </c>
      <c r="M11" s="27">
        <v>5736</v>
      </c>
      <c r="N11" s="21">
        <f>SUM(J11*M11)/60</f>
        <v>14354.34</v>
      </c>
      <c r="O11" s="28">
        <v>12.5</v>
      </c>
      <c r="P11" s="21">
        <f>SUM(L11*O11)</f>
        <v>13493.046875000002</v>
      </c>
      <c r="Q11" s="21">
        <f>N11+P11</f>
        <v>27847.386875000004</v>
      </c>
      <c r="R11" s="16"/>
      <c r="S11" s="16"/>
    </row>
    <row r="12" spans="1:19" s="55" customFormat="1" ht="14.25" customHeight="1">
      <c r="A12" s="16"/>
      <c r="B12" s="16"/>
      <c r="C12" s="16"/>
      <c r="D12" s="1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s="55" customFormat="1" ht="14.25" customHeight="1">
      <c r="A13" s="16"/>
      <c r="B13" s="16"/>
      <c r="C13" s="16"/>
      <c r="D13" s="1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s="55" customFormat="1" ht="14.25" customHeight="1">
      <c r="A14" s="16"/>
      <c r="B14" s="16"/>
      <c r="C14" s="16"/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55" customFormat="1" ht="14.25" customHeight="1">
      <c r="A15" s="16"/>
      <c r="B15" s="16"/>
      <c r="C15" s="16"/>
      <c r="D15" s="1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s="55" customFormat="1" ht="14.25" customHeight="1">
      <c r="A16" s="16"/>
      <c r="B16" s="16"/>
      <c r="C16" s="16"/>
      <c r="D16" s="17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s="55" customFormat="1" ht="14.25" customHeight="1">
      <c r="A17" s="16"/>
      <c r="B17" s="16"/>
      <c r="C17" s="16"/>
      <c r="D17" s="17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55" customFormat="1" ht="14.25" customHeight="1">
      <c r="A18" s="16"/>
      <c r="B18" s="16"/>
      <c r="C18" s="16"/>
      <c r="D18" s="1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14.25" customHeight="1">
      <c r="A19" s="16"/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14.25" customHeight="1">
      <c r="A20" s="16"/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14.25" customHeight="1">
      <c r="A21" s="16"/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14.25" customHeight="1">
      <c r="A22" s="16"/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4.25" customHeight="1">
      <c r="A23" s="16"/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14.25" customHeight="1">
      <c r="A24" s="16"/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14.25" customHeight="1">
      <c r="A25" s="16"/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14.25" customHeight="1">
      <c r="A26" s="16"/>
      <c r="B26" s="16"/>
      <c r="C26" s="16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14.25" customHeight="1">
      <c r="A27" s="16"/>
      <c r="B27" s="16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14.25" customHeight="1">
      <c r="A28" s="16"/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14.25" customHeight="1">
      <c r="A29" s="16"/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14.25" customHeight="1">
      <c r="D30" s="12"/>
    </row>
    <row r="31" spans="1:19" ht="14.25" customHeight="1">
      <c r="D31" s="12"/>
    </row>
    <row r="32" spans="1:19" ht="14.25" customHeight="1">
      <c r="D32" s="12"/>
    </row>
    <row r="33" spans="4:4" ht="14.25" customHeight="1">
      <c r="D33" s="12"/>
    </row>
    <row r="34" spans="4:4" ht="14.25" customHeight="1">
      <c r="D34" s="12"/>
    </row>
    <row r="35" spans="4:4" ht="14.25" customHeight="1">
      <c r="D35" s="12"/>
    </row>
    <row r="36" spans="4:4" ht="14.25" customHeight="1">
      <c r="D36" s="12"/>
    </row>
    <row r="37" spans="4:4" ht="14.25" customHeight="1">
      <c r="D37" s="12"/>
    </row>
    <row r="38" spans="4:4" ht="14.25" customHeight="1">
      <c r="D38" s="12"/>
    </row>
    <row r="39" spans="4:4" ht="14.25" customHeight="1">
      <c r="D39" s="12"/>
    </row>
    <row r="40" spans="4:4" ht="14.25" customHeight="1">
      <c r="D40" s="12"/>
    </row>
    <row r="41" spans="4:4" ht="14.25" customHeight="1">
      <c r="D41" s="12"/>
    </row>
    <row r="42" spans="4:4" ht="14.25" customHeight="1">
      <c r="D42" s="12"/>
    </row>
    <row r="43" spans="4:4" ht="14.25" customHeight="1">
      <c r="D43" s="12"/>
    </row>
    <row r="44" spans="4:4" ht="14.25" customHeight="1">
      <c r="D44" s="12"/>
    </row>
    <row r="45" spans="4:4" ht="14.25" customHeight="1">
      <c r="D45" s="12"/>
    </row>
    <row r="46" spans="4:4" ht="14.25" customHeight="1">
      <c r="D46" s="12"/>
    </row>
    <row r="47" spans="4:4" ht="14.25" customHeight="1">
      <c r="D47" s="12"/>
    </row>
    <row r="48" spans="4:4" ht="14.25" customHeight="1">
      <c r="D48" s="12"/>
    </row>
    <row r="49" spans="4:4" ht="14.25" customHeight="1">
      <c r="D49" s="12"/>
    </row>
    <row r="50" spans="4:4" ht="14.25" customHeight="1">
      <c r="D50" s="12"/>
    </row>
    <row r="51" spans="4:4" ht="14.25" customHeight="1">
      <c r="D51" s="12"/>
    </row>
    <row r="52" spans="4:4" ht="14.25" customHeight="1">
      <c r="D52" s="12"/>
    </row>
    <row r="53" spans="4:4" ht="14.25" customHeight="1">
      <c r="D53" s="12"/>
    </row>
    <row r="54" spans="4:4" ht="14.25" customHeight="1">
      <c r="D54" s="12"/>
    </row>
    <row r="55" spans="4:4" ht="14.25" customHeight="1">
      <c r="D55" s="12"/>
    </row>
    <row r="56" spans="4:4" ht="14.25" customHeight="1">
      <c r="D56" s="12"/>
    </row>
    <row r="57" spans="4:4" ht="14.25" customHeight="1">
      <c r="D57" s="12"/>
    </row>
    <row r="58" spans="4:4" ht="14.25" customHeight="1">
      <c r="D58" s="12"/>
    </row>
    <row r="59" spans="4:4" ht="14.25" customHeight="1">
      <c r="D59" s="12"/>
    </row>
    <row r="60" spans="4:4" ht="14.25" customHeight="1">
      <c r="D60" s="12"/>
    </row>
    <row r="61" spans="4:4" ht="14.25" customHeight="1">
      <c r="D61" s="12"/>
    </row>
    <row r="62" spans="4:4" ht="14.25" customHeight="1">
      <c r="D62" s="12"/>
    </row>
    <row r="63" spans="4:4" ht="14.25" customHeight="1">
      <c r="D63" s="12"/>
    </row>
    <row r="64" spans="4:4" ht="14.25" customHeight="1">
      <c r="D64" s="12"/>
    </row>
    <row r="65" spans="4:4" ht="14.25" customHeight="1">
      <c r="D65" s="12"/>
    </row>
    <row r="66" spans="4:4" ht="14.25" customHeight="1">
      <c r="D66" s="12"/>
    </row>
    <row r="67" spans="4:4" ht="14.25" customHeight="1">
      <c r="D67" s="12"/>
    </row>
    <row r="68" spans="4:4" ht="14.25" customHeight="1">
      <c r="D68" s="12"/>
    </row>
    <row r="69" spans="4:4" ht="14.25" customHeight="1">
      <c r="D69" s="12"/>
    </row>
    <row r="70" spans="4:4" ht="14.25" customHeight="1">
      <c r="D70" s="12"/>
    </row>
    <row r="71" spans="4:4" ht="14.25" customHeight="1">
      <c r="D71" s="12"/>
    </row>
    <row r="72" spans="4:4" ht="14.25" customHeight="1">
      <c r="D72" s="12"/>
    </row>
    <row r="73" spans="4:4" ht="14.25" customHeight="1">
      <c r="D73" s="12"/>
    </row>
    <row r="74" spans="4:4" ht="14.25" customHeight="1">
      <c r="D74" s="12"/>
    </row>
    <row r="75" spans="4:4" ht="14.25" customHeight="1">
      <c r="D75" s="12"/>
    </row>
    <row r="76" spans="4:4" ht="14.25" customHeight="1">
      <c r="D76" s="12"/>
    </row>
    <row r="77" spans="4:4" ht="14.25" customHeight="1">
      <c r="D77" s="12"/>
    </row>
    <row r="78" spans="4:4" ht="14.25" customHeight="1">
      <c r="D78" s="12"/>
    </row>
    <row r="79" spans="4:4" ht="14.25" customHeight="1">
      <c r="D79" s="12"/>
    </row>
    <row r="80" spans="4:4" ht="14.25" customHeight="1">
      <c r="D80" s="12"/>
    </row>
    <row r="81" spans="4:4" ht="14.25" customHeight="1">
      <c r="D81" s="12"/>
    </row>
    <row r="82" spans="4:4" ht="14.25" customHeight="1">
      <c r="D82" s="12"/>
    </row>
    <row r="83" spans="4:4" ht="14.25" customHeight="1">
      <c r="D83" s="12"/>
    </row>
    <row r="84" spans="4:4" ht="14.25" customHeight="1">
      <c r="D84" s="12"/>
    </row>
    <row r="85" spans="4:4" ht="14.25" customHeight="1">
      <c r="D85" s="12"/>
    </row>
    <row r="86" spans="4:4" ht="14.25" customHeight="1">
      <c r="D86" s="12"/>
    </row>
    <row r="87" spans="4:4" ht="14.25" customHeight="1">
      <c r="D87" s="12"/>
    </row>
    <row r="88" spans="4:4" ht="14.25" customHeight="1">
      <c r="D88" s="12"/>
    </row>
    <row r="89" spans="4:4" ht="14.25" customHeight="1">
      <c r="D89" s="12"/>
    </row>
    <row r="90" spans="4:4" ht="14.25" customHeight="1">
      <c r="D90" s="12"/>
    </row>
    <row r="91" spans="4:4" ht="14.25" customHeight="1">
      <c r="D91" s="12"/>
    </row>
    <row r="92" spans="4:4" ht="14.25" customHeight="1">
      <c r="D92" s="12"/>
    </row>
    <row r="93" spans="4:4" ht="14.25" customHeight="1">
      <c r="D93" s="12"/>
    </row>
    <row r="94" spans="4:4" ht="14.25" customHeight="1">
      <c r="D94" s="12"/>
    </row>
    <row r="95" spans="4:4" ht="14.25" customHeight="1">
      <c r="D95" s="12"/>
    </row>
    <row r="96" spans="4:4" ht="14.25" customHeight="1">
      <c r="D96" s="12"/>
    </row>
    <row r="97" spans="4:4" ht="14.25" customHeight="1">
      <c r="D97" s="12"/>
    </row>
    <row r="98" spans="4:4" ht="14.25" customHeight="1">
      <c r="D98" s="12"/>
    </row>
    <row r="99" spans="4:4" ht="14.25" customHeight="1">
      <c r="D99" s="12"/>
    </row>
    <row r="100" spans="4:4" ht="14.25" customHeight="1">
      <c r="D100" s="12"/>
    </row>
    <row r="101" spans="4:4" ht="14.25" customHeight="1">
      <c r="D101" s="12"/>
    </row>
    <row r="102" spans="4:4" ht="14.25" customHeight="1">
      <c r="D102" s="12"/>
    </row>
    <row r="103" spans="4:4" ht="14.25" customHeight="1">
      <c r="D103" s="12"/>
    </row>
    <row r="104" spans="4:4" ht="14.25" customHeight="1">
      <c r="D104" s="12"/>
    </row>
    <row r="105" spans="4:4" ht="14.25" customHeight="1">
      <c r="D105" s="12"/>
    </row>
    <row r="106" spans="4:4" ht="14.25" customHeight="1">
      <c r="D106" s="12"/>
    </row>
    <row r="107" spans="4:4" ht="14.25" customHeight="1">
      <c r="D107" s="12"/>
    </row>
    <row r="108" spans="4:4" ht="14.25" customHeight="1">
      <c r="D108" s="12"/>
    </row>
    <row r="109" spans="4:4" ht="14.25" customHeight="1">
      <c r="D109" s="12"/>
    </row>
    <row r="110" spans="4:4" ht="14.25" customHeight="1">
      <c r="D110" s="12"/>
    </row>
    <row r="111" spans="4:4" ht="14.25" customHeight="1">
      <c r="D111" s="12"/>
    </row>
    <row r="112" spans="4:4" ht="14.25" customHeight="1">
      <c r="D112" s="12"/>
    </row>
    <row r="113" spans="4:4" ht="14.25" customHeight="1">
      <c r="D113" s="12"/>
    </row>
    <row r="114" spans="4:4" ht="14.25" customHeight="1">
      <c r="D114" s="12"/>
    </row>
    <row r="115" spans="4:4" ht="14.25" customHeight="1">
      <c r="D115" s="12"/>
    </row>
    <row r="116" spans="4:4" ht="14.25" customHeight="1">
      <c r="D116" s="12"/>
    </row>
    <row r="117" spans="4:4" ht="14.25" customHeight="1">
      <c r="D117" s="12"/>
    </row>
    <row r="118" spans="4:4" ht="14.25" customHeight="1">
      <c r="D118" s="12"/>
    </row>
    <row r="119" spans="4:4" ht="14.25" customHeight="1">
      <c r="D119" s="12"/>
    </row>
    <row r="120" spans="4:4" ht="14.25" customHeight="1">
      <c r="D120" s="12"/>
    </row>
    <row r="121" spans="4:4" ht="14.25" customHeight="1">
      <c r="D121" s="12"/>
    </row>
    <row r="122" spans="4:4" ht="14.25" customHeight="1">
      <c r="D122" s="12"/>
    </row>
    <row r="123" spans="4:4" ht="14.25" customHeight="1">
      <c r="D123" s="12"/>
    </row>
    <row r="124" spans="4:4" ht="14.25" customHeight="1">
      <c r="D124" s="12"/>
    </row>
    <row r="125" spans="4:4" ht="14.25" customHeight="1">
      <c r="D125" s="12"/>
    </row>
    <row r="126" spans="4:4" ht="14.25" customHeight="1">
      <c r="D126" s="12"/>
    </row>
    <row r="127" spans="4:4" ht="14.25" customHeight="1">
      <c r="D127" s="12"/>
    </row>
    <row r="128" spans="4:4" ht="14.25" customHeight="1">
      <c r="D128" s="12"/>
    </row>
    <row r="129" spans="4:4" ht="14.25" customHeight="1">
      <c r="D129" s="12"/>
    </row>
    <row r="130" spans="4:4" ht="14.25" customHeight="1">
      <c r="D130" s="12"/>
    </row>
    <row r="131" spans="4:4" ht="14.25" customHeight="1">
      <c r="D131" s="12"/>
    </row>
    <row r="132" spans="4:4" ht="14.25" customHeight="1">
      <c r="D132" s="12"/>
    </row>
    <row r="133" spans="4:4" ht="14.25" customHeight="1">
      <c r="D133" s="12"/>
    </row>
    <row r="134" spans="4:4" ht="14.25" customHeight="1">
      <c r="D134" s="12"/>
    </row>
    <row r="135" spans="4:4" ht="14.25" customHeight="1">
      <c r="D135" s="12"/>
    </row>
    <row r="136" spans="4:4" ht="14.25" customHeight="1">
      <c r="D136" s="12"/>
    </row>
    <row r="137" spans="4:4" ht="14.25" customHeight="1">
      <c r="D137" s="12"/>
    </row>
    <row r="138" spans="4:4" ht="14.25" customHeight="1">
      <c r="D138" s="12"/>
    </row>
    <row r="139" spans="4:4" ht="14.25" customHeight="1">
      <c r="D139" s="12"/>
    </row>
    <row r="140" spans="4:4" ht="14.25" customHeight="1">
      <c r="D140" s="12"/>
    </row>
    <row r="141" spans="4:4" ht="14.25" customHeight="1">
      <c r="D141" s="12"/>
    </row>
    <row r="142" spans="4:4" ht="14.25" customHeight="1">
      <c r="D142" s="12"/>
    </row>
    <row r="143" spans="4:4" ht="14.25" customHeight="1">
      <c r="D143" s="12"/>
    </row>
    <row r="144" spans="4:4" ht="14.25" customHeight="1">
      <c r="D144" s="12"/>
    </row>
    <row r="145" spans="4:4" ht="14.25" customHeight="1">
      <c r="D145" s="12"/>
    </row>
    <row r="146" spans="4:4" ht="14.25" customHeight="1">
      <c r="D146" s="12"/>
    </row>
    <row r="147" spans="4:4" ht="14.25" customHeight="1">
      <c r="D147" s="12"/>
    </row>
    <row r="148" spans="4:4" ht="14.25" customHeight="1">
      <c r="D148" s="12"/>
    </row>
    <row r="149" spans="4:4" ht="14.25" customHeight="1">
      <c r="D149" s="12"/>
    </row>
    <row r="150" spans="4:4" ht="14.25" customHeight="1">
      <c r="D150" s="12"/>
    </row>
    <row r="151" spans="4:4" ht="14.25" customHeight="1">
      <c r="D151" s="12"/>
    </row>
    <row r="152" spans="4:4" ht="14.25" customHeight="1">
      <c r="D152" s="12"/>
    </row>
    <row r="153" spans="4:4" ht="14.25" customHeight="1">
      <c r="D153" s="12"/>
    </row>
    <row r="154" spans="4:4" ht="14.25" customHeight="1">
      <c r="D154" s="12"/>
    </row>
    <row r="155" spans="4:4" ht="14.25" customHeight="1">
      <c r="D155" s="12"/>
    </row>
    <row r="156" spans="4:4" ht="14.25" customHeight="1">
      <c r="D156" s="12"/>
    </row>
    <row r="157" spans="4:4" ht="14.25" customHeight="1">
      <c r="D157" s="12"/>
    </row>
    <row r="158" spans="4:4" ht="14.25" customHeight="1">
      <c r="D158" s="12"/>
    </row>
    <row r="159" spans="4:4" ht="14.25" customHeight="1">
      <c r="D159" s="12"/>
    </row>
    <row r="160" spans="4:4" ht="14.25" customHeight="1">
      <c r="D160" s="12"/>
    </row>
    <row r="161" spans="4:4" ht="14.25" customHeight="1">
      <c r="D161" s="12"/>
    </row>
    <row r="162" spans="4:4" ht="14.25" customHeight="1">
      <c r="D162" s="12"/>
    </row>
    <row r="163" spans="4:4" ht="14.25" customHeight="1">
      <c r="D163" s="12"/>
    </row>
    <row r="164" spans="4:4" ht="14.25" customHeight="1">
      <c r="D164" s="12"/>
    </row>
    <row r="165" spans="4:4" ht="14.25" customHeight="1">
      <c r="D165" s="12"/>
    </row>
    <row r="166" spans="4:4" ht="14.25" customHeight="1">
      <c r="D166" s="12"/>
    </row>
    <row r="167" spans="4:4" ht="14.25" customHeight="1">
      <c r="D167" s="12"/>
    </row>
    <row r="168" spans="4:4" ht="14.25" customHeight="1">
      <c r="D168" s="12"/>
    </row>
    <row r="169" spans="4:4" ht="14.25" customHeight="1">
      <c r="D169" s="12"/>
    </row>
    <row r="170" spans="4:4" ht="14.25" customHeight="1">
      <c r="D170" s="12"/>
    </row>
    <row r="171" spans="4:4" ht="14.25" customHeight="1">
      <c r="D171" s="12"/>
    </row>
    <row r="172" spans="4:4" ht="14.25" customHeight="1">
      <c r="D172" s="12"/>
    </row>
    <row r="173" spans="4:4" ht="14.25" customHeight="1">
      <c r="D173" s="12"/>
    </row>
    <row r="174" spans="4:4" ht="14.25" customHeight="1">
      <c r="D174" s="12"/>
    </row>
    <row r="175" spans="4:4" ht="14.25" customHeight="1">
      <c r="D175" s="12"/>
    </row>
    <row r="176" spans="4:4" ht="14.25" customHeight="1">
      <c r="D176" s="12"/>
    </row>
    <row r="177" spans="4:4" ht="14.25" customHeight="1">
      <c r="D177" s="12"/>
    </row>
    <row r="178" spans="4:4" ht="14.25" customHeight="1">
      <c r="D178" s="12"/>
    </row>
    <row r="179" spans="4:4" ht="14.25" customHeight="1">
      <c r="D179" s="12"/>
    </row>
    <row r="180" spans="4:4" ht="14.25" customHeight="1">
      <c r="D180" s="12"/>
    </row>
    <row r="181" spans="4:4" ht="14.25" customHeight="1">
      <c r="D181" s="12"/>
    </row>
    <row r="182" spans="4:4" ht="14.25" customHeight="1">
      <c r="D182" s="12"/>
    </row>
    <row r="183" spans="4:4" ht="14.25" customHeight="1">
      <c r="D183" s="12"/>
    </row>
    <row r="184" spans="4:4" ht="14.25" customHeight="1">
      <c r="D184" s="12"/>
    </row>
    <row r="185" spans="4:4" ht="14.25" customHeight="1">
      <c r="D185" s="12"/>
    </row>
    <row r="186" spans="4:4" ht="14.25" customHeight="1">
      <c r="D186" s="12"/>
    </row>
    <row r="187" spans="4:4" ht="14.25" customHeight="1">
      <c r="D187" s="12"/>
    </row>
    <row r="188" spans="4:4" ht="14.25" customHeight="1">
      <c r="D188" s="12"/>
    </row>
    <row r="189" spans="4:4" ht="14.25" customHeight="1">
      <c r="D189" s="12"/>
    </row>
    <row r="190" spans="4:4" ht="14.25" customHeight="1">
      <c r="D190" s="12"/>
    </row>
    <row r="191" spans="4:4" ht="14.25" customHeight="1">
      <c r="D191" s="12"/>
    </row>
    <row r="192" spans="4:4" ht="14.25" customHeight="1">
      <c r="D192" s="12"/>
    </row>
    <row r="193" spans="4:4" ht="14.25" customHeight="1">
      <c r="D193" s="12"/>
    </row>
    <row r="194" spans="4:4" ht="14.25" customHeight="1">
      <c r="D194" s="12"/>
    </row>
    <row r="195" spans="4:4" ht="14.25" customHeight="1">
      <c r="D195" s="12"/>
    </row>
    <row r="196" spans="4:4" ht="14.25" customHeight="1">
      <c r="D196" s="12"/>
    </row>
    <row r="197" spans="4:4" ht="14.25" customHeight="1">
      <c r="D197" s="12"/>
    </row>
    <row r="198" spans="4:4" ht="14.25" customHeight="1">
      <c r="D198" s="12"/>
    </row>
    <row r="199" spans="4:4" ht="14.25" customHeight="1">
      <c r="D199" s="12"/>
    </row>
    <row r="200" spans="4:4" ht="14.25" customHeight="1">
      <c r="D200" s="12"/>
    </row>
    <row r="201" spans="4:4" ht="14.25" customHeight="1">
      <c r="D201" s="12"/>
    </row>
    <row r="202" spans="4:4" ht="14.25" customHeight="1">
      <c r="D202" s="12"/>
    </row>
    <row r="203" spans="4:4" ht="14.25" customHeight="1">
      <c r="D203" s="12"/>
    </row>
    <row r="204" spans="4:4" ht="14.25" customHeight="1">
      <c r="D204" s="12"/>
    </row>
    <row r="205" spans="4:4" ht="14.25" customHeight="1">
      <c r="D205" s="12"/>
    </row>
    <row r="206" spans="4:4" ht="14.25" customHeight="1">
      <c r="D206" s="12"/>
    </row>
    <row r="207" spans="4:4" ht="14.25" customHeight="1">
      <c r="D207" s="12"/>
    </row>
    <row r="208" spans="4: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99"/>
  <sheetViews>
    <sheetView zoomScale="90" zoomScaleNormal="90" workbookViewId="0"/>
  </sheetViews>
  <sheetFormatPr defaultColWidth="14.44140625" defaultRowHeight="15" customHeight="1"/>
  <cols>
    <col min="1" max="1" width="15.44140625" style="51" customWidth="1"/>
    <col min="2" max="2" width="11.77734375" style="51" customWidth="1"/>
    <col min="3" max="3" width="8.77734375" style="51" customWidth="1"/>
    <col min="4" max="4" width="12.5546875" style="51" customWidth="1"/>
    <col min="5" max="6" width="11.5546875" style="51" customWidth="1"/>
    <col min="7" max="16384" width="14.44140625" style="51"/>
  </cols>
  <sheetData>
    <row r="1" spans="1:6" ht="14.25" customHeight="1">
      <c r="A1" s="95" t="s">
        <v>63</v>
      </c>
      <c r="B1" s="95" t="s">
        <v>64</v>
      </c>
      <c r="C1" s="95" t="s">
        <v>65</v>
      </c>
      <c r="D1" s="95" t="s">
        <v>64</v>
      </c>
      <c r="E1" s="95" t="s">
        <v>66</v>
      </c>
      <c r="F1" s="95" t="s">
        <v>64</v>
      </c>
    </row>
    <row r="2" spans="1:6" ht="14.25" customHeight="1">
      <c r="A2" s="93" t="s">
        <v>43</v>
      </c>
      <c r="B2" s="93">
        <v>87</v>
      </c>
      <c r="C2" s="93">
        <v>2017</v>
      </c>
      <c r="D2" s="93">
        <v>25</v>
      </c>
      <c r="E2" s="93" t="s">
        <v>67</v>
      </c>
      <c r="F2" s="93">
        <v>2</v>
      </c>
    </row>
    <row r="3" spans="1:6" ht="14.25" customHeight="1">
      <c r="B3" s="93"/>
      <c r="C3" s="93"/>
      <c r="D3" s="93"/>
      <c r="E3" s="93" t="s">
        <v>62</v>
      </c>
      <c r="F3" s="93">
        <v>23</v>
      </c>
    </row>
    <row r="4" spans="1:6" ht="14.25" customHeight="1">
      <c r="B4" s="93"/>
      <c r="C4" s="93">
        <v>2018</v>
      </c>
      <c r="D4" s="93">
        <v>26</v>
      </c>
      <c r="E4" s="93" t="s">
        <v>67</v>
      </c>
      <c r="F4" s="93">
        <v>1</v>
      </c>
    </row>
    <row r="5" spans="1:6" ht="14.25" customHeight="1">
      <c r="B5" s="93"/>
      <c r="C5" s="93"/>
      <c r="D5" s="93"/>
      <c r="E5" s="93" t="s">
        <v>62</v>
      </c>
      <c r="F5" s="93">
        <v>25</v>
      </c>
    </row>
    <row r="6" spans="1:6" ht="14.25" customHeight="1">
      <c r="B6" s="93"/>
      <c r="C6" s="93">
        <v>2019</v>
      </c>
      <c r="D6" s="93">
        <v>10</v>
      </c>
      <c r="E6" s="93" t="s">
        <v>67</v>
      </c>
      <c r="F6" s="93">
        <v>1</v>
      </c>
    </row>
    <row r="7" spans="1:6" ht="14.25" customHeight="1">
      <c r="B7" s="93"/>
      <c r="C7" s="93"/>
      <c r="D7" s="93"/>
      <c r="E7" s="93" t="s">
        <v>62</v>
      </c>
      <c r="F7" s="93">
        <v>9</v>
      </c>
    </row>
    <row r="8" spans="1:6" ht="14.25" customHeight="1">
      <c r="B8" s="93"/>
      <c r="C8" s="93">
        <v>2020</v>
      </c>
      <c r="D8" s="93">
        <v>14</v>
      </c>
      <c r="E8" s="93" t="s">
        <v>67</v>
      </c>
      <c r="F8" s="93">
        <v>3</v>
      </c>
    </row>
    <row r="9" spans="1:6" ht="14.25" customHeight="1">
      <c r="B9" s="93"/>
      <c r="C9" s="93"/>
      <c r="D9" s="93"/>
      <c r="E9" s="93" t="s">
        <v>62</v>
      </c>
      <c r="F9" s="93">
        <v>11</v>
      </c>
    </row>
    <row r="10" spans="1:6" ht="14.25" customHeight="1">
      <c r="B10" s="93"/>
      <c r="C10" s="93">
        <v>2021</v>
      </c>
      <c r="D10" s="93">
        <v>10</v>
      </c>
      <c r="E10" s="93" t="s">
        <v>67</v>
      </c>
      <c r="F10" s="93">
        <v>1</v>
      </c>
    </row>
    <row r="11" spans="1:6" ht="14.25" customHeight="1">
      <c r="B11" s="93"/>
      <c r="C11" s="93"/>
      <c r="D11" s="93"/>
      <c r="E11" s="93" t="s">
        <v>62</v>
      </c>
      <c r="F11" s="93">
        <v>9</v>
      </c>
    </row>
    <row r="12" spans="1:6" ht="14.25" customHeight="1"/>
    <row r="13" spans="1:6" ht="14.25" customHeight="1">
      <c r="C13" s="93" t="s">
        <v>68</v>
      </c>
      <c r="D13" s="93">
        <f>SUM(D2:D12)/5</f>
        <v>17</v>
      </c>
      <c r="E13" s="93" t="s">
        <v>69</v>
      </c>
      <c r="F13" s="93">
        <f>(F3+F5+F7+F11+F9)/5</f>
        <v>15.4</v>
      </c>
    </row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00"/>
  <sheetViews>
    <sheetView zoomScale="90" zoomScaleNormal="90" workbookViewId="0"/>
  </sheetViews>
  <sheetFormatPr defaultColWidth="14.44140625" defaultRowHeight="15" customHeight="1"/>
  <cols>
    <col min="1" max="1" width="19.77734375" style="51" customWidth="1"/>
    <col min="2" max="2" width="12" style="51" customWidth="1"/>
    <col min="3" max="3" width="7.5546875" style="51" customWidth="1"/>
    <col min="4" max="4" width="14.109375" style="51" customWidth="1"/>
    <col min="5" max="5" width="15.77734375" style="51" customWidth="1"/>
    <col min="6" max="6" width="13.44140625" style="51" customWidth="1"/>
    <col min="7" max="7" width="14.77734375" style="51" customWidth="1"/>
    <col min="8" max="16384" width="14.44140625" style="51"/>
  </cols>
  <sheetData>
    <row r="1" spans="1:7" ht="14.25" customHeight="1">
      <c r="A1" s="95" t="s">
        <v>63</v>
      </c>
      <c r="B1" s="95" t="s">
        <v>64</v>
      </c>
      <c r="C1" s="95" t="s">
        <v>65</v>
      </c>
      <c r="D1" s="95" t="s">
        <v>64</v>
      </c>
      <c r="E1" s="95" t="s">
        <v>66</v>
      </c>
      <c r="F1" s="95" t="s">
        <v>64</v>
      </c>
      <c r="G1" s="95" t="s">
        <v>70</v>
      </c>
    </row>
    <row r="2" spans="1:7" ht="14.25" customHeight="1">
      <c r="A2" s="93" t="s">
        <v>71</v>
      </c>
      <c r="B2" s="93">
        <v>421</v>
      </c>
      <c r="C2" s="93">
        <v>2017</v>
      </c>
      <c r="D2" s="93">
        <f>SUM(F2:F6)</f>
        <v>84</v>
      </c>
      <c r="E2" s="93" t="s">
        <v>72</v>
      </c>
      <c r="F2" s="93">
        <v>1</v>
      </c>
    </row>
    <row r="3" spans="1:7" ht="14.25" customHeight="1">
      <c r="A3" s="93" t="s">
        <v>60</v>
      </c>
      <c r="B3" s="93"/>
      <c r="C3" s="93"/>
      <c r="D3" s="93"/>
      <c r="E3" s="93" t="s">
        <v>73</v>
      </c>
      <c r="F3" s="93">
        <v>1</v>
      </c>
    </row>
    <row r="4" spans="1:7" ht="14.25" customHeight="1">
      <c r="B4" s="93"/>
      <c r="C4" s="93"/>
      <c r="D4" s="93"/>
      <c r="E4" s="93" t="s">
        <v>67</v>
      </c>
      <c r="F4" s="93">
        <v>26</v>
      </c>
    </row>
    <row r="5" spans="1:7" ht="14.25" customHeight="1">
      <c r="B5" s="93"/>
      <c r="C5" s="93"/>
      <c r="D5" s="93"/>
      <c r="E5" s="93" t="s">
        <v>74</v>
      </c>
      <c r="F5" s="93">
        <v>17</v>
      </c>
    </row>
    <row r="6" spans="1:7" ht="14.25" customHeight="1">
      <c r="B6" s="93"/>
      <c r="C6" s="93"/>
      <c r="D6" s="93"/>
      <c r="E6" s="101" t="s">
        <v>62</v>
      </c>
      <c r="F6" s="101">
        <v>39</v>
      </c>
      <c r="G6" s="100">
        <f>Vestfossen!F3/F6</f>
        <v>0.58974358974358976</v>
      </c>
    </row>
    <row r="7" spans="1:7" ht="14.25" customHeight="1">
      <c r="B7" s="93"/>
      <c r="C7" s="93">
        <v>2018</v>
      </c>
      <c r="D7" s="93">
        <f>SUM(F7:F9)</f>
        <v>111</v>
      </c>
      <c r="E7" s="93" t="s">
        <v>67</v>
      </c>
      <c r="F7" s="93">
        <v>29</v>
      </c>
    </row>
    <row r="8" spans="1:7" ht="14.25" customHeight="1">
      <c r="B8" s="93"/>
      <c r="C8" s="93"/>
      <c r="D8" s="93"/>
      <c r="E8" s="93" t="s">
        <v>74</v>
      </c>
      <c r="F8" s="93">
        <v>23</v>
      </c>
    </row>
    <row r="9" spans="1:7" ht="14.25" customHeight="1">
      <c r="B9" s="93"/>
      <c r="C9" s="93"/>
      <c r="D9" s="93"/>
      <c r="E9" s="101" t="s">
        <v>62</v>
      </c>
      <c r="F9" s="101">
        <v>59</v>
      </c>
      <c r="G9" s="100">
        <f>Vestfossen!F5/F9</f>
        <v>0.42372881355932202</v>
      </c>
    </row>
    <row r="10" spans="1:7" ht="14.25" customHeight="1">
      <c r="B10" s="93"/>
      <c r="C10" s="93">
        <v>2019</v>
      </c>
      <c r="D10" s="93">
        <f>SUM(F10:F13)</f>
        <v>88</v>
      </c>
      <c r="E10" s="93" t="s">
        <v>72</v>
      </c>
      <c r="F10" s="93">
        <v>1</v>
      </c>
    </row>
    <row r="11" spans="1:7" ht="14.25" customHeight="1">
      <c r="B11" s="93"/>
      <c r="C11" s="93"/>
      <c r="D11" s="93"/>
      <c r="E11" s="93" t="s">
        <v>67</v>
      </c>
      <c r="F11" s="93">
        <v>32</v>
      </c>
    </row>
    <row r="12" spans="1:7" ht="14.25" customHeight="1">
      <c r="B12" s="93"/>
      <c r="C12" s="93"/>
      <c r="D12" s="93"/>
      <c r="E12" s="93" t="s">
        <v>74</v>
      </c>
      <c r="F12" s="93">
        <v>29</v>
      </c>
    </row>
    <row r="13" spans="1:7" ht="14.25" customHeight="1">
      <c r="B13" s="93"/>
      <c r="C13" s="93"/>
      <c r="D13" s="93"/>
      <c r="E13" s="101" t="s">
        <v>62</v>
      </c>
      <c r="F13" s="101">
        <v>26</v>
      </c>
      <c r="G13" s="100">
        <f>Vestfossen!F7/Drammen!F13</f>
        <v>0.34615384615384615</v>
      </c>
    </row>
    <row r="14" spans="1:7" ht="14.25" customHeight="1">
      <c r="B14" s="93"/>
      <c r="C14" s="93">
        <v>2020</v>
      </c>
      <c r="D14" s="93">
        <f>SUM(F14:F16)</f>
        <v>60</v>
      </c>
      <c r="E14" s="93" t="s">
        <v>67</v>
      </c>
      <c r="F14" s="93">
        <v>18</v>
      </c>
    </row>
    <row r="15" spans="1:7" ht="14.25" customHeight="1">
      <c r="B15" s="93"/>
      <c r="C15" s="93"/>
      <c r="D15" s="93"/>
      <c r="E15" s="93" t="s">
        <v>74</v>
      </c>
      <c r="F15" s="93">
        <v>14</v>
      </c>
    </row>
    <row r="16" spans="1:7" ht="14.25" customHeight="1">
      <c r="B16" s="93"/>
      <c r="C16" s="93"/>
      <c r="D16" s="93"/>
      <c r="E16" s="101" t="s">
        <v>62</v>
      </c>
      <c r="F16" s="101">
        <v>28</v>
      </c>
      <c r="G16" s="100">
        <f>Vestfossen!F9/Drammen!F16</f>
        <v>0.39285714285714285</v>
      </c>
    </row>
    <row r="17" spans="2:7" ht="14.25" customHeight="1">
      <c r="B17" s="93"/>
      <c r="C17" s="93">
        <v>2021</v>
      </c>
      <c r="D17" s="93">
        <f>SUM(F17:F20)</f>
        <v>77</v>
      </c>
      <c r="E17" s="93" t="s">
        <v>73</v>
      </c>
      <c r="F17" s="93">
        <v>2</v>
      </c>
    </row>
    <row r="18" spans="2:7" ht="14.25" customHeight="1">
      <c r="B18" s="93"/>
      <c r="C18" s="93"/>
      <c r="D18" s="93"/>
      <c r="E18" s="93" t="s">
        <v>67</v>
      </c>
      <c r="F18" s="93">
        <v>29</v>
      </c>
    </row>
    <row r="19" spans="2:7" ht="14.25" customHeight="1">
      <c r="B19" s="93"/>
      <c r="C19" s="93"/>
      <c r="D19" s="93"/>
      <c r="E19" s="93" t="s">
        <v>74</v>
      </c>
      <c r="F19" s="93">
        <v>15</v>
      </c>
    </row>
    <row r="20" spans="2:7" ht="14.25" customHeight="1">
      <c r="B20" s="93"/>
      <c r="C20" s="93"/>
      <c r="D20" s="93"/>
      <c r="E20" s="101" t="s">
        <v>62</v>
      </c>
      <c r="F20" s="101">
        <v>31</v>
      </c>
      <c r="G20" s="100">
        <f>Vestfossen!F11/Drammen!F20</f>
        <v>0.29032258064516131</v>
      </c>
    </row>
    <row r="21" spans="2:7" ht="14.25" customHeight="1"/>
    <row r="22" spans="2:7" ht="14.25" customHeight="1">
      <c r="C22" s="93" t="s">
        <v>68</v>
      </c>
      <c r="D22" s="93">
        <f>SUM(D2:D21)/5</f>
        <v>84</v>
      </c>
      <c r="E22" s="93" t="s">
        <v>69</v>
      </c>
      <c r="F22" s="93">
        <f>(F16+F13+F9+F6+F20)/5</f>
        <v>36.6</v>
      </c>
      <c r="G22" s="93">
        <f>D22-F22</f>
        <v>47.4</v>
      </c>
    </row>
    <row r="23" spans="2:7" ht="14.25" customHeight="1"/>
    <row r="24" spans="2:7" ht="14.25" customHeight="1"/>
    <row r="25" spans="2:7" ht="14.25" customHeight="1"/>
    <row r="26" spans="2:7" ht="14.25" customHeight="1"/>
    <row r="27" spans="2:7" ht="14.25" customHeight="1"/>
    <row r="28" spans="2:7" ht="14.25" customHeight="1"/>
    <row r="29" spans="2:7" ht="14.25" customHeight="1"/>
    <row r="30" spans="2:7" ht="14.25" customHeight="1"/>
    <row r="31" spans="2:7" ht="14.25" customHeight="1"/>
    <row r="32" spans="2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00"/>
  <sheetViews>
    <sheetView zoomScale="90" zoomScaleNormal="90" workbookViewId="0"/>
  </sheetViews>
  <sheetFormatPr defaultColWidth="14.44140625" defaultRowHeight="15" customHeight="1"/>
  <cols>
    <col min="1" max="1" width="17" style="51" customWidth="1"/>
    <col min="2" max="2" width="12.44140625" style="51" customWidth="1"/>
    <col min="3" max="3" width="11.5546875" style="51" customWidth="1"/>
    <col min="4" max="4" width="13.44140625" style="51" customWidth="1"/>
    <col min="5" max="5" width="15.109375" style="51" customWidth="1"/>
    <col min="6" max="7" width="11.5546875" style="51" customWidth="1"/>
    <col min="8" max="16384" width="14.44140625" style="51"/>
  </cols>
  <sheetData>
    <row r="1" spans="1:7" ht="14.25" customHeight="1">
      <c r="A1" s="95" t="s">
        <v>63</v>
      </c>
      <c r="B1" s="95" t="s">
        <v>64</v>
      </c>
      <c r="C1" s="95" t="s">
        <v>65</v>
      </c>
      <c r="D1" s="95" t="s">
        <v>64</v>
      </c>
      <c r="E1" s="95" t="s">
        <v>66</v>
      </c>
      <c r="F1" s="95" t="s">
        <v>64</v>
      </c>
    </row>
    <row r="2" spans="1:7" ht="14.25" customHeight="1">
      <c r="A2" s="93" t="s">
        <v>75</v>
      </c>
      <c r="B2" s="93">
        <v>416</v>
      </c>
      <c r="C2" s="93">
        <v>2017</v>
      </c>
      <c r="D2" s="93">
        <f>SUM(F2:F6)</f>
        <v>90</v>
      </c>
      <c r="E2" s="93" t="s">
        <v>73</v>
      </c>
      <c r="F2" s="93">
        <v>1</v>
      </c>
      <c r="G2" s="101"/>
    </row>
    <row r="3" spans="1:7" ht="14.25" customHeight="1">
      <c r="A3" s="93" t="s">
        <v>40</v>
      </c>
      <c r="B3" s="93"/>
      <c r="C3" s="93"/>
      <c r="D3" s="93"/>
      <c r="E3" s="93" t="s">
        <v>76</v>
      </c>
      <c r="F3" s="93">
        <v>1</v>
      </c>
    </row>
    <row r="4" spans="1:7" ht="14.25" customHeight="1">
      <c r="B4" s="93"/>
      <c r="C4" s="93"/>
      <c r="D4" s="93"/>
      <c r="E4" s="93" t="s">
        <v>67</v>
      </c>
      <c r="F4" s="93">
        <v>5</v>
      </c>
    </row>
    <row r="5" spans="1:7" ht="14.25" customHeight="1">
      <c r="B5" s="93"/>
      <c r="C5" s="93"/>
      <c r="D5" s="93"/>
      <c r="E5" s="93" t="s">
        <v>74</v>
      </c>
      <c r="F5" s="93">
        <v>3</v>
      </c>
    </row>
    <row r="6" spans="1:7" ht="14.25" customHeight="1">
      <c r="B6" s="93"/>
      <c r="C6" s="93"/>
      <c r="D6" s="93"/>
      <c r="E6" s="93" t="s">
        <v>62</v>
      </c>
      <c r="F6" s="93">
        <v>80</v>
      </c>
    </row>
    <row r="7" spans="1:7" ht="14.25" customHeight="1">
      <c r="B7" s="93"/>
      <c r="C7" s="93">
        <v>2018</v>
      </c>
      <c r="D7" s="93">
        <f>SUM(F7:F10)</f>
        <v>72</v>
      </c>
      <c r="E7" s="93" t="s">
        <v>72</v>
      </c>
      <c r="F7" s="93">
        <v>1</v>
      </c>
    </row>
    <row r="8" spans="1:7" ht="14.25" customHeight="1">
      <c r="B8" s="93"/>
      <c r="C8" s="93"/>
      <c r="D8" s="93"/>
      <c r="E8" s="93" t="s">
        <v>67</v>
      </c>
      <c r="F8" s="93">
        <v>1</v>
      </c>
    </row>
    <row r="9" spans="1:7" ht="14.25" customHeight="1">
      <c r="B9" s="93"/>
      <c r="C9" s="93"/>
      <c r="D9" s="93"/>
      <c r="E9" s="93" t="s">
        <v>74</v>
      </c>
      <c r="F9" s="93">
        <v>1</v>
      </c>
    </row>
    <row r="10" spans="1:7" ht="14.25" customHeight="1">
      <c r="B10" s="93"/>
      <c r="C10" s="93"/>
      <c r="D10" s="93"/>
      <c r="E10" s="93" t="s">
        <v>62</v>
      </c>
      <c r="F10" s="93">
        <v>69</v>
      </c>
    </row>
    <row r="11" spans="1:7" ht="14.25" customHeight="1">
      <c r="B11" s="93"/>
      <c r="C11" s="93">
        <v>2019</v>
      </c>
      <c r="D11" s="93">
        <f>SUM(F11:F14)</f>
        <v>66</v>
      </c>
      <c r="E11" s="93" t="s">
        <v>67</v>
      </c>
      <c r="F11" s="93">
        <v>3</v>
      </c>
    </row>
    <row r="12" spans="1:7" ht="14.25" customHeight="1">
      <c r="B12" s="93"/>
      <c r="C12" s="93"/>
      <c r="D12" s="93"/>
      <c r="E12" s="93" t="s">
        <v>74</v>
      </c>
      <c r="F12" s="93">
        <v>2</v>
      </c>
    </row>
    <row r="13" spans="1:7" ht="14.25" customHeight="1">
      <c r="B13" s="93"/>
      <c r="C13" s="93"/>
      <c r="D13" s="93"/>
      <c r="E13" s="93" t="s">
        <v>77</v>
      </c>
      <c r="F13" s="93">
        <v>2</v>
      </c>
    </row>
    <row r="14" spans="1:7" ht="14.25" customHeight="1">
      <c r="B14" s="93"/>
      <c r="C14" s="93"/>
      <c r="D14" s="93"/>
      <c r="E14" s="93" t="s">
        <v>62</v>
      </c>
      <c r="F14" s="93">
        <v>59</v>
      </c>
    </row>
    <row r="15" spans="1:7" ht="14.25" customHeight="1">
      <c r="B15" s="93"/>
      <c r="C15" s="93">
        <v>2020</v>
      </c>
      <c r="D15" s="93">
        <f>SUM(F15:F17)</f>
        <v>45</v>
      </c>
      <c r="E15" s="93" t="s">
        <v>67</v>
      </c>
      <c r="F15" s="93">
        <v>2</v>
      </c>
    </row>
    <row r="16" spans="1:7" ht="14.25" customHeight="1">
      <c r="B16" s="93"/>
      <c r="C16" s="93"/>
      <c r="D16" s="93"/>
      <c r="E16" s="93" t="s">
        <v>77</v>
      </c>
      <c r="F16" s="93">
        <v>1</v>
      </c>
    </row>
    <row r="17" spans="2:7" ht="14.25" customHeight="1">
      <c r="B17" s="93"/>
      <c r="C17" s="93"/>
      <c r="D17" s="93"/>
      <c r="E17" s="93" t="s">
        <v>62</v>
      </c>
      <c r="F17" s="93">
        <v>42</v>
      </c>
    </row>
    <row r="18" spans="2:7" ht="14.25" customHeight="1">
      <c r="B18" s="93"/>
      <c r="C18" s="93">
        <v>2021</v>
      </c>
      <c r="D18" s="93">
        <f>SUM(F18:F20)</f>
        <v>55</v>
      </c>
      <c r="E18" s="93" t="s">
        <v>67</v>
      </c>
      <c r="F18" s="93">
        <v>2</v>
      </c>
    </row>
    <row r="19" spans="2:7" ht="14.25" customHeight="1">
      <c r="B19" s="93"/>
      <c r="C19" s="93"/>
      <c r="D19" s="93"/>
      <c r="E19" s="93" t="s">
        <v>74</v>
      </c>
      <c r="F19" s="93">
        <v>2</v>
      </c>
    </row>
    <row r="20" spans="2:7" ht="14.25" customHeight="1">
      <c r="B20" s="93"/>
      <c r="C20" s="93"/>
      <c r="D20" s="93"/>
      <c r="E20" s="93" t="s">
        <v>62</v>
      </c>
      <c r="F20" s="93">
        <v>51</v>
      </c>
    </row>
    <row r="21" spans="2:7" ht="14.25" customHeight="1"/>
    <row r="22" spans="2:7" ht="14.25" customHeight="1">
      <c r="C22" s="93" t="s">
        <v>68</v>
      </c>
      <c r="D22" s="93">
        <f>SUM(D2:D20)/5</f>
        <v>65.599999999999994</v>
      </c>
      <c r="E22" s="93" t="s">
        <v>69</v>
      </c>
      <c r="F22" s="93">
        <f>(F20+F17+F14+F10+F6)/5</f>
        <v>60.2</v>
      </c>
      <c r="G22" s="93"/>
    </row>
    <row r="23" spans="2:7" ht="14.25" customHeight="1"/>
    <row r="24" spans="2:7" ht="14.25" customHeight="1"/>
    <row r="25" spans="2:7" ht="14.25" customHeight="1"/>
    <row r="26" spans="2:7" ht="14.25" customHeight="1"/>
    <row r="27" spans="2:7" ht="14.25" customHeight="1"/>
    <row r="28" spans="2:7" ht="14.25" customHeight="1"/>
    <row r="29" spans="2:7" ht="14.25" customHeight="1"/>
    <row r="30" spans="2:7" ht="14.25" customHeight="1"/>
    <row r="31" spans="2:7" ht="14.25" customHeight="1"/>
    <row r="32" spans="2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00"/>
  <sheetViews>
    <sheetView zoomScale="90" zoomScaleNormal="90" workbookViewId="0"/>
  </sheetViews>
  <sheetFormatPr defaultColWidth="14.44140625" defaultRowHeight="15" customHeight="1"/>
  <cols>
    <col min="1" max="1" width="15.5546875" style="51" customWidth="1"/>
    <col min="2" max="2" width="11.5546875" style="51" customWidth="1"/>
    <col min="3" max="3" width="10.44140625" style="51" customWidth="1"/>
    <col min="4" max="4" width="12.44140625" style="51" customWidth="1"/>
    <col min="5" max="5" width="15.44140625" style="51" customWidth="1"/>
    <col min="6" max="6" width="11.5546875" style="51" customWidth="1"/>
    <col min="7" max="7" width="17.21875" style="51" customWidth="1"/>
    <col min="8" max="16384" width="14.44140625" style="51"/>
  </cols>
  <sheetData>
    <row r="1" spans="1:7" ht="14.25" customHeight="1">
      <c r="A1" s="95" t="s">
        <v>63</v>
      </c>
      <c r="B1" s="95" t="s">
        <v>64</v>
      </c>
      <c r="C1" s="95" t="s">
        <v>65</v>
      </c>
      <c r="D1" s="95" t="s">
        <v>64</v>
      </c>
      <c r="E1" s="95" t="s">
        <v>66</v>
      </c>
      <c r="F1" s="95" t="s">
        <v>64</v>
      </c>
      <c r="G1" s="95" t="s">
        <v>78</v>
      </c>
    </row>
    <row r="2" spans="1:7" ht="14.25" customHeight="1">
      <c r="A2" s="93" t="s">
        <v>79</v>
      </c>
      <c r="B2" s="93">
        <v>559</v>
      </c>
      <c r="C2" s="93">
        <v>2017</v>
      </c>
      <c r="D2" s="93">
        <f>SUM(F2:F5)</f>
        <v>121</v>
      </c>
      <c r="E2" s="93" t="s">
        <v>73</v>
      </c>
      <c r="F2" s="93">
        <v>1</v>
      </c>
    </row>
    <row r="3" spans="1:7" ht="14.25" customHeight="1">
      <c r="A3" s="93" t="s">
        <v>59</v>
      </c>
      <c r="B3" s="93"/>
      <c r="C3" s="93"/>
      <c r="D3" s="93"/>
      <c r="E3" s="93" t="s">
        <v>67</v>
      </c>
      <c r="F3" s="93">
        <v>21</v>
      </c>
    </row>
    <row r="4" spans="1:7" ht="14.25" customHeight="1">
      <c r="B4" s="93"/>
      <c r="C4" s="93"/>
      <c r="D4" s="93"/>
      <c r="E4" s="93" t="s">
        <v>74</v>
      </c>
      <c r="F4" s="93">
        <v>25</v>
      </c>
    </row>
    <row r="5" spans="1:7" ht="14.25" customHeight="1">
      <c r="B5" s="93"/>
      <c r="C5" s="93"/>
      <c r="D5" s="93"/>
      <c r="E5" s="101" t="s">
        <v>62</v>
      </c>
      <c r="F5" s="101">
        <v>74</v>
      </c>
      <c r="G5" s="100">
        <f>Eggemoen!F6/Ringerike!F5</f>
        <v>1.0810810810810811</v>
      </c>
    </row>
    <row r="6" spans="1:7" ht="14.25" customHeight="1">
      <c r="B6" s="93"/>
      <c r="C6" s="93">
        <v>2018</v>
      </c>
      <c r="D6" s="93">
        <f>SUM(F6:F8)</f>
        <v>120</v>
      </c>
      <c r="E6" s="93" t="s">
        <v>67</v>
      </c>
      <c r="F6" s="93">
        <v>30</v>
      </c>
    </row>
    <row r="7" spans="1:7" ht="14.25" customHeight="1">
      <c r="B7" s="93"/>
      <c r="C7" s="93"/>
      <c r="D7" s="93"/>
      <c r="E7" s="93" t="s">
        <v>74</v>
      </c>
      <c r="F7" s="93">
        <v>24</v>
      </c>
    </row>
    <row r="8" spans="1:7" ht="14.25" customHeight="1">
      <c r="B8" s="93"/>
      <c r="C8" s="93"/>
      <c r="D8" s="93"/>
      <c r="E8" s="101" t="s">
        <v>62</v>
      </c>
      <c r="F8" s="101">
        <v>66</v>
      </c>
      <c r="G8" s="100">
        <f>Eggemoen!F10/Ringerike!F8</f>
        <v>1.0454545454545454</v>
      </c>
    </row>
    <row r="9" spans="1:7" ht="14.25" customHeight="1">
      <c r="B9" s="93"/>
      <c r="C9" s="93">
        <v>2019</v>
      </c>
      <c r="D9" s="93">
        <f>SUM(F9:F11)</f>
        <v>116</v>
      </c>
      <c r="E9" s="93" t="s">
        <v>67</v>
      </c>
      <c r="F9" s="93">
        <v>21</v>
      </c>
    </row>
    <row r="10" spans="1:7" ht="14.25" customHeight="1">
      <c r="B10" s="93"/>
      <c r="C10" s="93"/>
      <c r="D10" s="93"/>
      <c r="E10" s="93" t="s">
        <v>74</v>
      </c>
      <c r="F10" s="93">
        <v>31</v>
      </c>
    </row>
    <row r="11" spans="1:7" ht="14.25" customHeight="1">
      <c r="B11" s="93"/>
      <c r="C11" s="93"/>
      <c r="D11" s="93"/>
      <c r="E11" s="101" t="s">
        <v>62</v>
      </c>
      <c r="F11" s="101">
        <v>64</v>
      </c>
      <c r="G11" s="100">
        <f>Eggemoen!F14/Ringerike!F11</f>
        <v>0.921875</v>
      </c>
    </row>
    <row r="12" spans="1:7" ht="14.25" customHeight="1">
      <c r="B12" s="93"/>
      <c r="C12" s="93">
        <v>2020</v>
      </c>
      <c r="D12" s="93">
        <f>SUM(F12:F15)</f>
        <v>93</v>
      </c>
      <c r="E12" s="93" t="s">
        <v>72</v>
      </c>
      <c r="F12" s="93">
        <v>1</v>
      </c>
    </row>
    <row r="13" spans="1:7" ht="14.25" customHeight="1">
      <c r="B13" s="93"/>
      <c r="C13" s="93"/>
      <c r="D13" s="93"/>
      <c r="E13" s="93" t="s">
        <v>67</v>
      </c>
      <c r="F13" s="93">
        <v>15</v>
      </c>
    </row>
    <row r="14" spans="1:7" ht="14.25" customHeight="1">
      <c r="B14" s="93"/>
      <c r="C14" s="93"/>
      <c r="D14" s="93"/>
      <c r="E14" s="93" t="s">
        <v>74</v>
      </c>
      <c r="F14" s="93">
        <v>26</v>
      </c>
    </row>
    <row r="15" spans="1:7" ht="14.25" customHeight="1">
      <c r="B15" s="93"/>
      <c r="C15" s="93"/>
      <c r="D15" s="93"/>
      <c r="E15" s="101" t="s">
        <v>62</v>
      </c>
      <c r="F15" s="101">
        <v>51</v>
      </c>
      <c r="G15" s="100">
        <f>Eggemoen!F17/Ringerike!F15</f>
        <v>0.82352941176470584</v>
      </c>
    </row>
    <row r="16" spans="1:7" ht="14.25" customHeight="1">
      <c r="B16" s="93"/>
      <c r="C16" s="93">
        <v>2021</v>
      </c>
      <c r="D16" s="93">
        <f>SUM(F16:F19)</f>
        <v>102</v>
      </c>
      <c r="E16" s="93" t="s">
        <v>67</v>
      </c>
      <c r="F16" s="93">
        <v>23</v>
      </c>
    </row>
    <row r="17" spans="2:7" ht="14.25" customHeight="1">
      <c r="B17" s="93"/>
      <c r="C17" s="93"/>
      <c r="D17" s="93"/>
      <c r="E17" s="93" t="s">
        <v>74</v>
      </c>
      <c r="F17" s="93">
        <v>32</v>
      </c>
    </row>
    <row r="18" spans="2:7" ht="14.25" customHeight="1">
      <c r="B18" s="93"/>
      <c r="C18" s="93"/>
      <c r="D18" s="93"/>
      <c r="E18" s="93" t="s">
        <v>80</v>
      </c>
      <c r="F18" s="93">
        <v>1</v>
      </c>
    </row>
    <row r="19" spans="2:7" ht="14.25" customHeight="1">
      <c r="B19" s="93"/>
      <c r="C19" s="93"/>
      <c r="D19" s="93"/>
      <c r="E19" s="101" t="s">
        <v>62</v>
      </c>
      <c r="F19" s="101">
        <v>46</v>
      </c>
      <c r="G19" s="100">
        <f>Eggemoen!F20/Ringerike!F19</f>
        <v>1.1086956521739131</v>
      </c>
    </row>
    <row r="20" spans="2:7" ht="14.25" customHeight="1"/>
    <row r="21" spans="2:7" ht="14.25" customHeight="1">
      <c r="C21" s="93" t="s">
        <v>68</v>
      </c>
      <c r="D21" s="93">
        <f>SUM(D2:D20)/5</f>
        <v>110.4</v>
      </c>
      <c r="E21" s="93" t="s">
        <v>69</v>
      </c>
      <c r="F21" s="93">
        <f>(F5+F8+F11+F15+F19)/5</f>
        <v>60.2</v>
      </c>
      <c r="G21" s="93">
        <f>D21-F21</f>
        <v>50.2</v>
      </c>
    </row>
    <row r="22" spans="2:7" ht="14.25" customHeight="1"/>
    <row r="23" spans="2:7" ht="14.25" customHeight="1"/>
    <row r="24" spans="2:7" ht="14.25" customHeight="1"/>
    <row r="25" spans="2:7" ht="14.25" customHeight="1"/>
    <row r="26" spans="2:7" ht="14.25" customHeight="1"/>
    <row r="27" spans="2:7" ht="14.25" customHeight="1"/>
    <row r="28" spans="2:7" ht="14.25" customHeight="1"/>
    <row r="29" spans="2:7" ht="14.25" customHeight="1"/>
    <row r="30" spans="2:7" ht="14.25" customHeight="1"/>
    <row r="31" spans="2:7" ht="14.25" customHeight="1"/>
    <row r="32" spans="2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4" ma:contentTypeDescription="Create a new document." ma:contentTypeScope="" ma:versionID="69de1a618b6888528b149bb6d9170c46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29e71785aa4c1ef5033ad9f53c1c2222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Props1.xml><?xml version="1.0" encoding="utf-8"?>
<ds:datastoreItem xmlns:ds="http://schemas.openxmlformats.org/officeDocument/2006/customXml" ds:itemID="{29545E26-FA61-4207-93D5-05AAB44BF037}"/>
</file>

<file path=customXml/itemProps2.xml><?xml version="1.0" encoding="utf-8"?>
<ds:datastoreItem xmlns:ds="http://schemas.openxmlformats.org/officeDocument/2006/customXml" ds:itemID="{764F16A1-F595-4526-9D90-DDB614AAF100}"/>
</file>

<file path=customXml/itemProps3.xml><?xml version="1.0" encoding="utf-8"?>
<ds:datastoreItem xmlns:ds="http://schemas.openxmlformats.org/officeDocument/2006/customXml" ds:itemID="{0CC9B11F-9C01-43E6-B56A-2093E2C62E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Ringerike ks</vt:lpstr>
      <vt:lpstr>Drammen ks</vt:lpstr>
      <vt:lpstr>NNV vs Leveår tjent</vt:lpstr>
      <vt:lpstr>Beredskap</vt:lpstr>
      <vt:lpstr>Flytider</vt:lpstr>
      <vt:lpstr>Vestfossen</vt:lpstr>
      <vt:lpstr>Drammen</vt:lpstr>
      <vt:lpstr>Eggemoen</vt:lpstr>
      <vt:lpstr>Ringerike</vt:lpstr>
      <vt:lpstr>Kongsberg</vt:lpstr>
      <vt:lpstr>Jet A1 pris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Bjerkely, Nina</dc:creator>
  <cp:lastModifiedBy>Maxim Mitrokhin</cp:lastModifiedBy>
  <dcterms:created xsi:type="dcterms:W3CDTF">2022-02-24T16:53:36Z</dcterms:created>
  <dcterms:modified xsi:type="dcterms:W3CDTF">2022-05-25T08:59:34Z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0x01010053C63A7F62C51E45832604D654F4D5F9</vt:lpwstr>
  </property>
</Properties>
</file>