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1710105\Desktop\bacheloroppgaver\"/>
    </mc:Choice>
  </mc:AlternateContent>
  <bookViews>
    <workbookView xWindow="0" yWindow="0" windowWidth="25603" windowHeight="14537"/>
  </bookViews>
  <sheets>
    <sheet name="Income statement" sheetId="1" r:id="rId1"/>
    <sheet name="Balance sheet" sheetId="2" r:id="rId2"/>
    <sheet name="Cash flow analysis" sheetId="3" r:id="rId3"/>
    <sheet name="Assessment and adjustments" sheetId="4" r:id="rId4"/>
    <sheet name="Beta" sheetId="5" r:id="rId5"/>
    <sheet name="Profitability" sheetId="6" r:id="rId6"/>
    <sheet name="Growth" sheetId="7" r:id="rId7"/>
    <sheet name="Liquidity&amp;Solvency" sheetId="8" r:id="rId8"/>
    <sheet name="Forecasting" sheetId="9" r:id="rId9"/>
    <sheet name="Valuation" sheetId="11" r:id="rId10"/>
    <sheet name="Sensitivity analysis" sheetId="12" r:id="rId11"/>
    <sheet name="SAS - Lufthansa" sheetId="13" r:id="rId12"/>
    <sheet name="Relative valuation" sheetId="14" r:id="rId13"/>
    <sheet name="Liquidation valuation" sheetId="15" r:id="rId14"/>
    <sheet name="Extra tables" sheetId="16" r:id="rId1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9" roundtripDataSignature="AMtx7mg1Tn+wR2THl6/xIZT+A+4CkYpJag=="/>
    </ext>
  </extLst>
</workbook>
</file>

<file path=xl/calcChain.xml><?xml version="1.0" encoding="utf-8"?>
<calcChain xmlns="http://schemas.openxmlformats.org/spreadsheetml/2006/main">
  <c r="B6" i="11" l="1"/>
  <c r="J6" i="11"/>
  <c r="H28" i="6"/>
  <c r="H35" i="6"/>
  <c r="D35" i="6"/>
  <c r="E35" i="6"/>
  <c r="F35" i="6"/>
  <c r="G35" i="6"/>
  <c r="C35" i="6"/>
  <c r="D28" i="6"/>
  <c r="E28" i="6"/>
  <c r="F28" i="6"/>
  <c r="G28" i="6"/>
  <c r="C28" i="6"/>
  <c r="E4" i="14" l="1"/>
  <c r="D4" i="14"/>
  <c r="G7" i="14"/>
  <c r="G8" i="14"/>
  <c r="F8" i="14"/>
  <c r="F7" i="14"/>
  <c r="E8" i="14"/>
  <c r="D8" i="14"/>
  <c r="C8" i="14"/>
  <c r="B8" i="14"/>
  <c r="B6" i="14"/>
  <c r="B5" i="14"/>
  <c r="C4" i="14"/>
  <c r="B4" i="14"/>
  <c r="K21" i="14"/>
  <c r="J21" i="14"/>
  <c r="M14" i="14"/>
  <c r="L14" i="14"/>
  <c r="K14" i="14"/>
  <c r="J14" i="14"/>
  <c r="M13" i="14"/>
  <c r="L13" i="14"/>
  <c r="L15" i="14" s="1"/>
  <c r="K13" i="14"/>
  <c r="J13" i="14"/>
  <c r="K6" i="14"/>
  <c r="J6" i="14"/>
  <c r="K5" i="14"/>
  <c r="J5" i="14"/>
  <c r="K4" i="14"/>
  <c r="J4" i="14"/>
  <c r="B39" i="15"/>
  <c r="F43" i="14"/>
  <c r="E6" i="14" s="1"/>
  <c r="F42" i="14"/>
  <c r="F41" i="14"/>
  <c r="E43" i="14"/>
  <c r="D6" i="14" s="1"/>
  <c r="E42" i="14"/>
  <c r="E41" i="14"/>
  <c r="F37" i="14"/>
  <c r="E5" i="14" s="1"/>
  <c r="F36" i="14"/>
  <c r="F35" i="14"/>
  <c r="G5" i="14" s="1"/>
  <c r="E37" i="14"/>
  <c r="D5" i="14" s="1"/>
  <c r="E36" i="14"/>
  <c r="E35" i="14"/>
  <c r="F5" i="14" s="1"/>
  <c r="K15" i="14" l="1"/>
  <c r="J15" i="14"/>
  <c r="M15" i="14"/>
  <c r="K22" i="14" l="1"/>
  <c r="K23" i="14" s="1"/>
  <c r="J18" i="14"/>
  <c r="J22" i="14"/>
  <c r="J23" i="14" s="1"/>
  <c r="K18" i="14"/>
  <c r="D39" i="8"/>
  <c r="E39" i="8"/>
  <c r="F39" i="8"/>
  <c r="G39" i="8"/>
  <c r="H39" i="8"/>
  <c r="C39" i="8"/>
  <c r="B8" i="15"/>
  <c r="B6" i="15"/>
  <c r="D71" i="15"/>
  <c r="D70" i="15"/>
  <c r="D68" i="15"/>
  <c r="B14" i="15" s="1"/>
  <c r="D64" i="15"/>
  <c r="D61" i="15"/>
  <c r="D60" i="15"/>
  <c r="D59" i="15"/>
  <c r="D58" i="15"/>
  <c r="D53" i="15"/>
  <c r="D52" i="15"/>
  <c r="D51" i="15"/>
  <c r="D50" i="15"/>
  <c r="D49" i="15"/>
  <c r="B71" i="15"/>
  <c r="B62" i="15"/>
  <c r="B9" i="15" s="1"/>
  <c r="B60" i="15"/>
  <c r="B59" i="15"/>
  <c r="B7" i="15" s="1"/>
  <c r="C7" i="15" s="1"/>
  <c r="B56" i="15"/>
  <c r="B55" i="15"/>
  <c r="B53" i="15"/>
  <c r="B50" i="15"/>
  <c r="B49" i="15"/>
  <c r="X48" i="9"/>
  <c r="Y48" i="9"/>
  <c r="Z48" i="9"/>
  <c r="AA48" i="9"/>
  <c r="AB48" i="9"/>
  <c r="I48" i="9"/>
  <c r="J48" i="9"/>
  <c r="K48" i="9"/>
  <c r="L48" i="9"/>
  <c r="H48" i="9"/>
  <c r="C38" i="15"/>
  <c r="B35" i="15"/>
  <c r="B34" i="15"/>
  <c r="B33" i="15"/>
  <c r="C33" i="15" s="1"/>
  <c r="C36" i="15" s="1"/>
  <c r="C5" i="15" s="1"/>
  <c r="B26" i="15"/>
  <c r="C25" i="15"/>
  <c r="D25" i="15" s="1"/>
  <c r="E25" i="15" s="1"/>
  <c r="F25" i="15"/>
  <c r="G25" i="15" s="1"/>
  <c r="D24" i="15"/>
  <c r="E24" i="15" s="1"/>
  <c r="F24" i="15"/>
  <c r="G24" i="15" s="1"/>
  <c r="C23" i="15"/>
  <c r="F23" i="15"/>
  <c r="G23" i="15" s="1"/>
  <c r="K49" i="13"/>
  <c r="J49" i="13"/>
  <c r="C49" i="13"/>
  <c r="B49" i="13"/>
  <c r="K48" i="13"/>
  <c r="K50" i="13" s="1"/>
  <c r="B48" i="13"/>
  <c r="B50" i="13" s="1"/>
  <c r="K44" i="13"/>
  <c r="J44" i="13"/>
  <c r="J48" i="13" s="1"/>
  <c r="J50" i="13" s="1"/>
  <c r="C42" i="13"/>
  <c r="O41" i="13"/>
  <c r="N41" i="13"/>
  <c r="C41" i="13"/>
  <c r="B41" i="13"/>
  <c r="N40" i="13"/>
  <c r="G39" i="13"/>
  <c r="F39" i="13"/>
  <c r="F38" i="13"/>
  <c r="O36" i="13"/>
  <c r="N36" i="13"/>
  <c r="G33" i="13"/>
  <c r="G37" i="13" s="1"/>
  <c r="G32" i="13"/>
  <c r="F32" i="13"/>
  <c r="F33" i="13" s="1"/>
  <c r="K26" i="13"/>
  <c r="O9" i="13" s="1"/>
  <c r="J26" i="13"/>
  <c r="O23" i="13"/>
  <c r="K23" i="13"/>
  <c r="J23" i="13"/>
  <c r="N19" i="13" s="1"/>
  <c r="O22" i="13"/>
  <c r="O19" i="13"/>
  <c r="K19" i="13"/>
  <c r="J19" i="13"/>
  <c r="N22" i="13" s="1"/>
  <c r="N25" i="13" s="1"/>
  <c r="N20" i="13" s="1"/>
  <c r="K18" i="13"/>
  <c r="O24" i="13" s="1"/>
  <c r="J18" i="13"/>
  <c r="N24" i="13" s="1"/>
  <c r="K17" i="13"/>
  <c r="J17" i="13"/>
  <c r="N23" i="13" s="1"/>
  <c r="C17" i="13"/>
  <c r="G15" i="13" s="1"/>
  <c r="B17" i="13"/>
  <c r="K16" i="13"/>
  <c r="O8" i="13" s="1"/>
  <c r="J16" i="13"/>
  <c r="K15" i="13"/>
  <c r="J15" i="13"/>
  <c r="J20" i="13" s="1"/>
  <c r="F15" i="13"/>
  <c r="O14" i="13"/>
  <c r="C14" i="13"/>
  <c r="G19" i="13" s="1"/>
  <c r="B14" i="13"/>
  <c r="F19" i="13" s="1"/>
  <c r="C13" i="13"/>
  <c r="G18" i="13" s="1"/>
  <c r="B13" i="13"/>
  <c r="F18" i="13" s="1"/>
  <c r="F20" i="13" s="1"/>
  <c r="F21" i="13" s="1"/>
  <c r="F16" i="13" s="1"/>
  <c r="K12" i="13"/>
  <c r="J12" i="13"/>
  <c r="N14" i="13" s="1"/>
  <c r="K11" i="13"/>
  <c r="O17" i="13" s="1"/>
  <c r="J11" i="13"/>
  <c r="N17" i="13" s="1"/>
  <c r="K10" i="13"/>
  <c r="O13" i="13" s="1"/>
  <c r="J10" i="13"/>
  <c r="N13" i="13" s="1"/>
  <c r="C10" i="13"/>
  <c r="B10" i="13"/>
  <c r="N9" i="13"/>
  <c r="K9" i="13"/>
  <c r="O12" i="13" s="1"/>
  <c r="O15" i="13" s="1"/>
  <c r="J9" i="13"/>
  <c r="N12" i="13" s="1"/>
  <c r="C9" i="13"/>
  <c r="B9" i="13"/>
  <c r="N8" i="13"/>
  <c r="K8" i="13"/>
  <c r="O5" i="13" s="1"/>
  <c r="J8" i="13"/>
  <c r="C8" i="13"/>
  <c r="G13" i="13" s="1"/>
  <c r="B8" i="13"/>
  <c r="F13" i="13" s="1"/>
  <c r="O7" i="13"/>
  <c r="N7" i="13"/>
  <c r="K7" i="13"/>
  <c r="O6" i="13" s="1"/>
  <c r="J7" i="13"/>
  <c r="N6" i="13" s="1"/>
  <c r="C7" i="13"/>
  <c r="G10" i="13" s="1"/>
  <c r="B7" i="13"/>
  <c r="F10" i="13" s="1"/>
  <c r="C6" i="13"/>
  <c r="G9" i="13" s="1"/>
  <c r="B6" i="13"/>
  <c r="F9" i="13" s="1"/>
  <c r="N5" i="13"/>
  <c r="G5" i="13"/>
  <c r="F5" i="13"/>
  <c r="C5" i="13"/>
  <c r="G8" i="13" s="1"/>
  <c r="B5" i="13"/>
  <c r="F8" i="13" s="1"/>
  <c r="O4" i="13"/>
  <c r="N4" i="13"/>
  <c r="K4" i="13"/>
  <c r="J4" i="13"/>
  <c r="G4" i="13"/>
  <c r="F4" i="13"/>
  <c r="C4" i="13"/>
  <c r="G7" i="13" s="1"/>
  <c r="B4" i="13"/>
  <c r="F7" i="13" s="1"/>
  <c r="F11" i="13" s="1"/>
  <c r="O3" i="13"/>
  <c r="N3" i="13"/>
  <c r="K3" i="13"/>
  <c r="K5" i="13" s="1"/>
  <c r="J3" i="13"/>
  <c r="J5" i="13" s="1"/>
  <c r="J13" i="13" s="1"/>
  <c r="J21" i="13" s="1"/>
  <c r="J24" i="13" s="1"/>
  <c r="J27" i="13" s="1"/>
  <c r="G3" i="13"/>
  <c r="G6" i="13" s="1"/>
  <c r="F3" i="13"/>
  <c r="F6" i="13" s="1"/>
  <c r="C3" i="13"/>
  <c r="B3" i="13"/>
  <c r="B11" i="13" s="1"/>
  <c r="B15" i="13" s="1"/>
  <c r="B18" i="13" s="1"/>
  <c r="Q101" i="9"/>
  <c r="V98" i="9"/>
  <c r="U98" i="9"/>
  <c r="T98" i="9"/>
  <c r="S98" i="9"/>
  <c r="R98" i="9"/>
  <c r="G98" i="9"/>
  <c r="F98" i="9"/>
  <c r="E98" i="9"/>
  <c r="D98" i="9"/>
  <c r="C98" i="9"/>
  <c r="W51" i="9"/>
  <c r="V51" i="9"/>
  <c r="U51" i="9"/>
  <c r="T51" i="9"/>
  <c r="S51" i="9"/>
  <c r="R51" i="9"/>
  <c r="Q51" i="9"/>
  <c r="G51" i="9"/>
  <c r="F51" i="9"/>
  <c r="E51" i="9"/>
  <c r="D51" i="9"/>
  <c r="C51" i="9"/>
  <c r="B51" i="9"/>
  <c r="W9" i="9"/>
  <c r="V9" i="9"/>
  <c r="U9" i="9"/>
  <c r="T9" i="9"/>
  <c r="S9" i="9"/>
  <c r="R9" i="9"/>
  <c r="Q9" i="9"/>
  <c r="G9" i="9"/>
  <c r="F9" i="9"/>
  <c r="E9" i="9"/>
  <c r="D9" i="9"/>
  <c r="C9" i="9"/>
  <c r="B9" i="9"/>
  <c r="W8" i="9"/>
  <c r="V8" i="9"/>
  <c r="U8" i="9"/>
  <c r="T8" i="9"/>
  <c r="S8" i="9"/>
  <c r="R8" i="9"/>
  <c r="Q8" i="9"/>
  <c r="G8" i="9"/>
  <c r="F8" i="9"/>
  <c r="E8" i="9"/>
  <c r="D8" i="9"/>
  <c r="C8" i="9"/>
  <c r="B8" i="9"/>
  <c r="G31" i="8"/>
  <c r="F31" i="8"/>
  <c r="E31" i="8"/>
  <c r="D31" i="8"/>
  <c r="C31" i="8"/>
  <c r="B31" i="8"/>
  <c r="B30" i="8"/>
  <c r="Q7" i="8"/>
  <c r="P7" i="8"/>
  <c r="P6" i="8"/>
  <c r="B6" i="7"/>
  <c r="C45" i="6"/>
  <c r="C17" i="6" s="1"/>
  <c r="H44" i="6"/>
  <c r="H45" i="6" s="1"/>
  <c r="H17" i="6" s="1"/>
  <c r="G44" i="6"/>
  <c r="G45" i="6" s="1"/>
  <c r="G17" i="6" s="1"/>
  <c r="F44" i="6"/>
  <c r="F45" i="6" s="1"/>
  <c r="E44" i="6"/>
  <c r="E45" i="6" s="1"/>
  <c r="E17" i="6" s="1"/>
  <c r="D44" i="6"/>
  <c r="D45" i="6" s="1"/>
  <c r="D17" i="6" s="1"/>
  <c r="C44" i="6"/>
  <c r="B44" i="6"/>
  <c r="B45" i="6" s="1"/>
  <c r="B17" i="6" s="1"/>
  <c r="F17" i="6"/>
  <c r="H16" i="6"/>
  <c r="G16" i="6"/>
  <c r="F16" i="6"/>
  <c r="E16" i="6"/>
  <c r="D16" i="6"/>
  <c r="C16" i="6"/>
  <c r="B16" i="6"/>
  <c r="G101" i="5"/>
  <c r="G100" i="5"/>
  <c r="C100" i="5"/>
  <c r="G99" i="5"/>
  <c r="C99" i="5"/>
  <c r="G98" i="5"/>
  <c r="C98" i="5"/>
  <c r="G97" i="5"/>
  <c r="C97" i="5"/>
  <c r="G96" i="5"/>
  <c r="C96" i="5"/>
  <c r="G95" i="5"/>
  <c r="C95" i="5"/>
  <c r="G94" i="5"/>
  <c r="C94" i="5"/>
  <c r="G93" i="5"/>
  <c r="C93" i="5"/>
  <c r="G92" i="5"/>
  <c r="C92" i="5"/>
  <c r="G91" i="5"/>
  <c r="C91" i="5"/>
  <c r="G90" i="5"/>
  <c r="C90" i="5"/>
  <c r="G89" i="5"/>
  <c r="C89" i="5"/>
  <c r="G88" i="5"/>
  <c r="C88" i="5"/>
  <c r="G87" i="5"/>
  <c r="C87" i="5"/>
  <c r="G86" i="5"/>
  <c r="C86" i="5"/>
  <c r="G85" i="5"/>
  <c r="C85" i="5"/>
  <c r="G84" i="5"/>
  <c r="C84" i="5"/>
  <c r="G83" i="5"/>
  <c r="C83" i="5"/>
  <c r="G82" i="5"/>
  <c r="C82" i="5"/>
  <c r="G81" i="5"/>
  <c r="C81" i="5"/>
  <c r="G80" i="5"/>
  <c r="C80" i="5"/>
  <c r="G79" i="5"/>
  <c r="C79" i="5"/>
  <c r="G78" i="5"/>
  <c r="C78" i="5"/>
  <c r="G77" i="5"/>
  <c r="C77" i="5"/>
  <c r="G76" i="5"/>
  <c r="C76" i="5"/>
  <c r="G75" i="5"/>
  <c r="C75" i="5"/>
  <c r="G74" i="5"/>
  <c r="C74" i="5"/>
  <c r="G73" i="5"/>
  <c r="C73" i="5"/>
  <c r="G72" i="5"/>
  <c r="C72" i="5"/>
  <c r="G71" i="5"/>
  <c r="C71" i="5"/>
  <c r="G70" i="5"/>
  <c r="C70" i="5"/>
  <c r="G69" i="5"/>
  <c r="C69" i="5"/>
  <c r="G68" i="5"/>
  <c r="C68" i="5"/>
  <c r="G67" i="5"/>
  <c r="C67" i="5"/>
  <c r="G66" i="5"/>
  <c r="C66" i="5"/>
  <c r="G65" i="5"/>
  <c r="C65" i="5"/>
  <c r="G64" i="5"/>
  <c r="C64" i="5"/>
  <c r="G63" i="5"/>
  <c r="C63" i="5"/>
  <c r="G62" i="5"/>
  <c r="C62" i="5"/>
  <c r="G61" i="5"/>
  <c r="C61" i="5"/>
  <c r="G60" i="5"/>
  <c r="C60" i="5"/>
  <c r="G59" i="5"/>
  <c r="C59" i="5"/>
  <c r="G58" i="5"/>
  <c r="C58" i="5"/>
  <c r="G57" i="5"/>
  <c r="C57" i="5"/>
  <c r="G56" i="5"/>
  <c r="C56" i="5"/>
  <c r="G55" i="5"/>
  <c r="C55" i="5"/>
  <c r="G54" i="5"/>
  <c r="C54" i="5"/>
  <c r="G53" i="5"/>
  <c r="C53" i="5"/>
  <c r="G52" i="5"/>
  <c r="C52" i="5"/>
  <c r="G51" i="5"/>
  <c r="C51" i="5"/>
  <c r="G50" i="5"/>
  <c r="C50" i="5"/>
  <c r="G49" i="5"/>
  <c r="C49" i="5"/>
  <c r="G48" i="5"/>
  <c r="C48" i="5"/>
  <c r="G47" i="5"/>
  <c r="C47" i="5"/>
  <c r="G46" i="5"/>
  <c r="C46" i="5"/>
  <c r="G45" i="5"/>
  <c r="C45" i="5"/>
  <c r="G44" i="5"/>
  <c r="C44" i="5"/>
  <c r="G43" i="5"/>
  <c r="C43" i="5"/>
  <c r="G42" i="5"/>
  <c r="C42" i="5"/>
  <c r="G41" i="5"/>
  <c r="C41" i="5"/>
  <c r="G40" i="5"/>
  <c r="C40" i="5"/>
  <c r="G39" i="5"/>
  <c r="C39" i="5"/>
  <c r="G38" i="5"/>
  <c r="C38" i="5"/>
  <c r="G37" i="5"/>
  <c r="C37" i="5"/>
  <c r="G36" i="5"/>
  <c r="C36" i="5"/>
  <c r="G35" i="5"/>
  <c r="C35" i="5"/>
  <c r="G34" i="5"/>
  <c r="C34" i="5"/>
  <c r="G33" i="5"/>
  <c r="C33" i="5"/>
  <c r="G32" i="5"/>
  <c r="C32" i="5"/>
  <c r="G31" i="5"/>
  <c r="C31" i="5"/>
  <c r="G30" i="5"/>
  <c r="C30" i="5"/>
  <c r="G29" i="5"/>
  <c r="C29" i="5"/>
  <c r="G28" i="5"/>
  <c r="C28" i="5"/>
  <c r="G27" i="5"/>
  <c r="C27" i="5"/>
  <c r="G26" i="5"/>
  <c r="C26" i="5"/>
  <c r="G25" i="5"/>
  <c r="C25" i="5"/>
  <c r="G24" i="5"/>
  <c r="C24" i="5"/>
  <c r="G23" i="5"/>
  <c r="C23" i="5"/>
  <c r="G22" i="5"/>
  <c r="C22" i="5"/>
  <c r="G21" i="5"/>
  <c r="C21" i="5"/>
  <c r="G20" i="5"/>
  <c r="C20" i="5"/>
  <c r="G19" i="5"/>
  <c r="C19" i="5"/>
  <c r="G18" i="5"/>
  <c r="C18" i="5"/>
  <c r="G17" i="5"/>
  <c r="C17" i="5"/>
  <c r="G16" i="5"/>
  <c r="C16" i="5"/>
  <c r="G15" i="5"/>
  <c r="C15" i="5"/>
  <c r="G14" i="5"/>
  <c r="C14" i="5"/>
  <c r="G13" i="5"/>
  <c r="C13" i="5"/>
  <c r="G12" i="5"/>
  <c r="C12" i="5"/>
  <c r="J11" i="5"/>
  <c r="G11" i="5"/>
  <c r="C11" i="5"/>
  <c r="J10" i="5"/>
  <c r="G10" i="5"/>
  <c r="C10" i="5"/>
  <c r="J9" i="5"/>
  <c r="G9" i="5"/>
  <c r="C9" i="5"/>
  <c r="M5" i="5" s="1"/>
  <c r="H11" i="6" s="1"/>
  <c r="H14" i="6" s="1"/>
  <c r="J8" i="5"/>
  <c r="G8" i="5"/>
  <c r="C8" i="5"/>
  <c r="J7" i="5"/>
  <c r="G7" i="5"/>
  <c r="C7" i="5"/>
  <c r="M6" i="5"/>
  <c r="G11" i="6" s="1"/>
  <c r="G14" i="6" s="1"/>
  <c r="J6" i="5"/>
  <c r="G6" i="5"/>
  <c r="C6" i="5"/>
  <c r="J5" i="5"/>
  <c r="F104" i="4"/>
  <c r="E104" i="4"/>
  <c r="D104" i="4"/>
  <c r="C104" i="4"/>
  <c r="B104" i="4"/>
  <c r="F103" i="4"/>
  <c r="D93" i="4"/>
  <c r="B93" i="4"/>
  <c r="C93" i="4" s="1"/>
  <c r="F80" i="4"/>
  <c r="E80" i="4"/>
  <c r="E103" i="4" s="1"/>
  <c r="D80" i="4"/>
  <c r="D103" i="4" s="1"/>
  <c r="C80" i="4"/>
  <c r="B80" i="4"/>
  <c r="B103" i="4" s="1"/>
  <c r="E79" i="4"/>
  <c r="D79" i="4"/>
  <c r="G47" i="4"/>
  <c r="F47" i="4"/>
  <c r="E47" i="4"/>
  <c r="D47" i="4"/>
  <c r="C47" i="4"/>
  <c r="E20" i="4"/>
  <c r="B20" i="4"/>
  <c r="G19" i="4"/>
  <c r="E19" i="4"/>
  <c r="D19" i="4"/>
  <c r="C19" i="4"/>
  <c r="B19" i="4"/>
  <c r="E18" i="4"/>
  <c r="D18" i="4"/>
  <c r="C18" i="4"/>
  <c r="B18" i="4"/>
  <c r="E17" i="4"/>
  <c r="D17" i="4"/>
  <c r="C17" i="4"/>
  <c r="B17" i="4"/>
  <c r="F16" i="4"/>
  <c r="E16" i="4"/>
  <c r="D16" i="4"/>
  <c r="C16" i="4"/>
  <c r="B16" i="4"/>
  <c r="E15" i="4"/>
  <c r="D15" i="4"/>
  <c r="C15" i="4"/>
  <c r="B15" i="4"/>
  <c r="H14" i="4"/>
  <c r="E75" i="4" s="1"/>
  <c r="E85" i="4" s="1"/>
  <c r="G14" i="4"/>
  <c r="F14" i="4"/>
  <c r="E14" i="4"/>
  <c r="D14" i="4"/>
  <c r="C14" i="4"/>
  <c r="B14" i="4"/>
  <c r="G11" i="4"/>
  <c r="F11" i="4"/>
  <c r="F19" i="4" s="1"/>
  <c r="G10" i="4"/>
  <c r="F10" i="4"/>
  <c r="G9" i="4"/>
  <c r="F9" i="4"/>
  <c r="G3" i="4"/>
  <c r="F3" i="4"/>
  <c r="H186" i="2"/>
  <c r="G186" i="2"/>
  <c r="C185" i="2"/>
  <c r="H184" i="2"/>
  <c r="G184" i="2"/>
  <c r="G170" i="2"/>
  <c r="H167" i="2"/>
  <c r="G167" i="2"/>
  <c r="H155" i="2"/>
  <c r="G155" i="2"/>
  <c r="F155" i="2"/>
  <c r="E155" i="2"/>
  <c r="D155" i="2"/>
  <c r="C155" i="2"/>
  <c r="B155" i="2"/>
  <c r="N144" i="2"/>
  <c r="N187" i="2" s="1"/>
  <c r="H144" i="2"/>
  <c r="G144" i="2"/>
  <c r="F144" i="2"/>
  <c r="E144" i="2"/>
  <c r="D144" i="2"/>
  <c r="C144" i="2"/>
  <c r="B144" i="2"/>
  <c r="L136" i="2"/>
  <c r="L178" i="2" s="1"/>
  <c r="H135" i="2"/>
  <c r="H178" i="2" s="1"/>
  <c r="F134" i="2"/>
  <c r="F177" i="2" s="1"/>
  <c r="Q133" i="2"/>
  <c r="P133" i="2"/>
  <c r="O133" i="2"/>
  <c r="N133" i="2"/>
  <c r="M133" i="2"/>
  <c r="L133" i="2"/>
  <c r="K133" i="2"/>
  <c r="E127" i="2"/>
  <c r="E169" i="2" s="1"/>
  <c r="M126" i="2"/>
  <c r="M167" i="2" s="1"/>
  <c r="C126" i="2"/>
  <c r="C168" i="2" s="1"/>
  <c r="K125" i="2"/>
  <c r="K166" i="2" s="1"/>
  <c r="E113" i="2"/>
  <c r="N149" i="2" s="1"/>
  <c r="D113" i="2"/>
  <c r="M149" i="2" s="1"/>
  <c r="C111" i="2"/>
  <c r="L147" i="2" s="1"/>
  <c r="L190" i="2" s="1"/>
  <c r="B110" i="2"/>
  <c r="K146" i="2" s="1"/>
  <c r="K189" i="2" s="1"/>
  <c r="G107" i="2"/>
  <c r="P143" i="2" s="1"/>
  <c r="P186" i="2" s="1"/>
  <c r="F101" i="2"/>
  <c r="F152" i="2" s="1"/>
  <c r="F197" i="2" s="1"/>
  <c r="C101" i="2"/>
  <c r="C152" i="2" s="1"/>
  <c r="C197" i="2" s="1"/>
  <c r="B101" i="2"/>
  <c r="B152" i="2" s="1"/>
  <c r="B197" i="2" s="1"/>
  <c r="E100" i="2"/>
  <c r="E151" i="2" s="1"/>
  <c r="E196" i="2" s="1"/>
  <c r="B100" i="2"/>
  <c r="B151" i="2" s="1"/>
  <c r="B196" i="2" s="1"/>
  <c r="H99" i="2"/>
  <c r="H150" i="2" s="1"/>
  <c r="H195" i="2" s="1"/>
  <c r="G98" i="2"/>
  <c r="G149" i="2" s="1"/>
  <c r="G194" i="2" s="1"/>
  <c r="G97" i="2"/>
  <c r="G148" i="2" s="1"/>
  <c r="G193" i="2" s="1"/>
  <c r="F97" i="2"/>
  <c r="F148" i="2" s="1"/>
  <c r="F193" i="2" s="1"/>
  <c r="F96" i="2"/>
  <c r="M88" i="2"/>
  <c r="M139" i="2" s="1"/>
  <c r="M181" i="2" s="1"/>
  <c r="Q87" i="2"/>
  <c r="Q138" i="2" s="1"/>
  <c r="Q180" i="2" s="1"/>
  <c r="O87" i="2"/>
  <c r="O138" i="2" s="1"/>
  <c r="O180" i="2" s="1"/>
  <c r="K87" i="2"/>
  <c r="K138" i="2" s="1"/>
  <c r="K180" i="2" s="1"/>
  <c r="M85" i="2"/>
  <c r="M136" i="2" s="1"/>
  <c r="M178" i="2" s="1"/>
  <c r="K85" i="2"/>
  <c r="K136" i="2" s="1"/>
  <c r="K178" i="2" s="1"/>
  <c r="E85" i="2"/>
  <c r="E136" i="2" s="1"/>
  <c r="E179" i="2" s="1"/>
  <c r="P84" i="2"/>
  <c r="P135" i="2" s="1"/>
  <c r="P177" i="2" s="1"/>
  <c r="K84" i="2"/>
  <c r="K135" i="2" s="1"/>
  <c r="K177" i="2" s="1"/>
  <c r="C84" i="2"/>
  <c r="C135" i="2" s="1"/>
  <c r="C178" i="2" s="1"/>
  <c r="N83" i="2"/>
  <c r="N134" i="2" s="1"/>
  <c r="N176" i="2" s="1"/>
  <c r="H82" i="2"/>
  <c r="H133" i="2" s="1"/>
  <c r="H176" i="2" s="1"/>
  <c r="C82" i="2"/>
  <c r="C133" i="2" s="1"/>
  <c r="C176" i="2" s="1"/>
  <c r="F81" i="2"/>
  <c r="F132" i="2" s="1"/>
  <c r="F175" i="2" s="1"/>
  <c r="Q80" i="2"/>
  <c r="Q131" i="2" s="1"/>
  <c r="Q173" i="2" s="1"/>
  <c r="D80" i="2"/>
  <c r="D131" i="2" s="1"/>
  <c r="D174" i="2" s="1"/>
  <c r="B79" i="2"/>
  <c r="B130" i="2" s="1"/>
  <c r="B173" i="2" s="1"/>
  <c r="M78" i="2"/>
  <c r="M129" i="2" s="1"/>
  <c r="M170" i="2" s="1"/>
  <c r="P77" i="2"/>
  <c r="P128" i="2" s="1"/>
  <c r="P169" i="2" s="1"/>
  <c r="K77" i="2"/>
  <c r="K128" i="2" s="1"/>
  <c r="K169" i="2" s="1"/>
  <c r="N76" i="2"/>
  <c r="N127" i="2" s="1"/>
  <c r="N168" i="2" s="1"/>
  <c r="G76" i="2"/>
  <c r="G127" i="2" s="1"/>
  <c r="G169" i="2" s="1"/>
  <c r="L75" i="2"/>
  <c r="L126" i="2" s="1"/>
  <c r="L167" i="2" s="1"/>
  <c r="E75" i="2"/>
  <c r="E126" i="2" s="1"/>
  <c r="E168" i="2" s="1"/>
  <c r="C74" i="2"/>
  <c r="C125" i="2" s="1"/>
  <c r="C166" i="2" s="1"/>
  <c r="O67" i="2"/>
  <c r="F102" i="2" s="1"/>
  <c r="F153" i="2" s="1"/>
  <c r="Q66" i="2"/>
  <c r="H101" i="2" s="1"/>
  <c r="H152" i="2" s="1"/>
  <c r="H197" i="2" s="1"/>
  <c r="P66" i="2"/>
  <c r="G101" i="2" s="1"/>
  <c r="G152" i="2" s="1"/>
  <c r="G197" i="2" s="1"/>
  <c r="O66" i="2"/>
  <c r="N66" i="2"/>
  <c r="E101" i="2" s="1"/>
  <c r="E152" i="2" s="1"/>
  <c r="E197" i="2" s="1"/>
  <c r="M66" i="2"/>
  <c r="D101" i="2" s="1"/>
  <c r="D152" i="2" s="1"/>
  <c r="D197" i="2" s="1"/>
  <c r="L66" i="2"/>
  <c r="K66" i="2"/>
  <c r="P65" i="2"/>
  <c r="G100" i="2" s="1"/>
  <c r="G151" i="2" s="1"/>
  <c r="G196" i="2" s="1"/>
  <c r="O65" i="2"/>
  <c r="F100" i="2" s="1"/>
  <c r="F151" i="2" s="1"/>
  <c r="F196" i="2" s="1"/>
  <c r="N65" i="2"/>
  <c r="M65" i="2"/>
  <c r="D100" i="2" s="1"/>
  <c r="D151" i="2" s="1"/>
  <c r="D196" i="2" s="1"/>
  <c r="L65" i="2"/>
  <c r="C100" i="2" s="1"/>
  <c r="C151" i="2" s="1"/>
  <c r="C196" i="2" s="1"/>
  <c r="K65" i="2"/>
  <c r="Q64" i="2"/>
  <c r="P64" i="2"/>
  <c r="G99" i="2" s="1"/>
  <c r="G150" i="2" s="1"/>
  <c r="G195" i="2" s="1"/>
  <c r="O64" i="2"/>
  <c r="F99" i="2" s="1"/>
  <c r="F150" i="2" s="1"/>
  <c r="F195" i="2" s="1"/>
  <c r="N64" i="2"/>
  <c r="E99" i="2" s="1"/>
  <c r="E150" i="2" s="1"/>
  <c r="E195" i="2" s="1"/>
  <c r="M64" i="2"/>
  <c r="D99" i="2" s="1"/>
  <c r="D150" i="2" s="1"/>
  <c r="D195" i="2" s="1"/>
  <c r="L64" i="2"/>
  <c r="C99" i="2" s="1"/>
  <c r="C150" i="2" s="1"/>
  <c r="C195" i="2" s="1"/>
  <c r="K64" i="2"/>
  <c r="B99" i="2" s="1"/>
  <c r="B150" i="2" s="1"/>
  <c r="B195" i="2" s="1"/>
  <c r="P63" i="2"/>
  <c r="O63" i="2"/>
  <c r="F98" i="2" s="1"/>
  <c r="F149" i="2" s="1"/>
  <c r="F194" i="2" s="1"/>
  <c r="N63" i="2"/>
  <c r="E98" i="2" s="1"/>
  <c r="E149" i="2" s="1"/>
  <c r="E194" i="2" s="1"/>
  <c r="M63" i="2"/>
  <c r="D98" i="2" s="1"/>
  <c r="D149" i="2" s="1"/>
  <c r="D194" i="2" s="1"/>
  <c r="L63" i="2"/>
  <c r="C98" i="2" s="1"/>
  <c r="C149" i="2" s="1"/>
  <c r="C194" i="2" s="1"/>
  <c r="K63" i="2"/>
  <c r="B98" i="2" s="1"/>
  <c r="B149" i="2" s="1"/>
  <c r="B194" i="2" s="1"/>
  <c r="Q62" i="2"/>
  <c r="H97" i="2" s="1"/>
  <c r="H148" i="2" s="1"/>
  <c r="H193" i="2" s="1"/>
  <c r="P62" i="2"/>
  <c r="O62" i="2"/>
  <c r="N62" i="2"/>
  <c r="E97" i="2" s="1"/>
  <c r="E148" i="2" s="1"/>
  <c r="E193" i="2" s="1"/>
  <c r="M62" i="2"/>
  <c r="D97" i="2" s="1"/>
  <c r="D148" i="2" s="1"/>
  <c r="D193" i="2" s="1"/>
  <c r="D198" i="2" s="1"/>
  <c r="L62" i="2"/>
  <c r="C97" i="2" s="1"/>
  <c r="C148" i="2" s="1"/>
  <c r="C193" i="2" s="1"/>
  <c r="K62" i="2"/>
  <c r="B97" i="2" s="1"/>
  <c r="B148" i="2" s="1"/>
  <c r="B193" i="2" s="1"/>
  <c r="G62" i="2"/>
  <c r="G114" i="2" s="1"/>
  <c r="P150" i="2" s="1"/>
  <c r="C62" i="2"/>
  <c r="C114" i="2" s="1"/>
  <c r="L150" i="2" s="1"/>
  <c r="H61" i="2"/>
  <c r="H113" i="2" s="1"/>
  <c r="Q149" i="2" s="1"/>
  <c r="G61" i="2"/>
  <c r="G113" i="2" s="1"/>
  <c r="P149" i="2" s="1"/>
  <c r="F61" i="2"/>
  <c r="F113" i="2" s="1"/>
  <c r="O149" i="2" s="1"/>
  <c r="E61" i="2"/>
  <c r="D61" i="2"/>
  <c r="C61" i="2"/>
  <c r="C113" i="2" s="1"/>
  <c r="L149" i="2" s="1"/>
  <c r="B61" i="2"/>
  <c r="B113" i="2" s="1"/>
  <c r="K149" i="2" s="1"/>
  <c r="C16" i="3" s="1"/>
  <c r="H60" i="2"/>
  <c r="H112" i="2" s="1"/>
  <c r="Q148" i="2" s="1"/>
  <c r="Q191" i="2" s="1"/>
  <c r="G60" i="2"/>
  <c r="G112" i="2" s="1"/>
  <c r="P148" i="2" s="1"/>
  <c r="P191" i="2" s="1"/>
  <c r="F60" i="2"/>
  <c r="F112" i="2" s="1"/>
  <c r="O148" i="2" s="1"/>
  <c r="O191" i="2" s="1"/>
  <c r="E60" i="2"/>
  <c r="E112" i="2" s="1"/>
  <c r="N148" i="2" s="1"/>
  <c r="N191" i="2" s="1"/>
  <c r="D60" i="2"/>
  <c r="D112" i="2" s="1"/>
  <c r="M148" i="2" s="1"/>
  <c r="M191" i="2" s="1"/>
  <c r="C60" i="2"/>
  <c r="C112" i="2" s="1"/>
  <c r="L148" i="2" s="1"/>
  <c r="L191" i="2" s="1"/>
  <c r="B60" i="2"/>
  <c r="B112" i="2" s="1"/>
  <c r="K148" i="2" s="1"/>
  <c r="K191" i="2" s="1"/>
  <c r="H59" i="2"/>
  <c r="H111" i="2" s="1"/>
  <c r="Q147" i="2" s="1"/>
  <c r="Q190" i="2" s="1"/>
  <c r="G59" i="2"/>
  <c r="G111" i="2" s="1"/>
  <c r="P147" i="2" s="1"/>
  <c r="P190" i="2" s="1"/>
  <c r="F59" i="2"/>
  <c r="F62" i="2" s="1"/>
  <c r="F114" i="2" s="1"/>
  <c r="O150" i="2" s="1"/>
  <c r="E59" i="2"/>
  <c r="E111" i="2" s="1"/>
  <c r="N147" i="2" s="1"/>
  <c r="N190" i="2" s="1"/>
  <c r="D59" i="2"/>
  <c r="D111" i="2" s="1"/>
  <c r="M147" i="2" s="1"/>
  <c r="M190" i="2" s="1"/>
  <c r="C59" i="2"/>
  <c r="B59" i="2"/>
  <c r="B111" i="2" s="1"/>
  <c r="K147" i="2" s="1"/>
  <c r="K190" i="2" s="1"/>
  <c r="Q58" i="2"/>
  <c r="Q89" i="2" s="1"/>
  <c r="Q140" i="2" s="1"/>
  <c r="Q182" i="2" s="1"/>
  <c r="P58" i="2"/>
  <c r="P89" i="2" s="1"/>
  <c r="P140" i="2" s="1"/>
  <c r="P182" i="2" s="1"/>
  <c r="O58" i="2"/>
  <c r="O89" i="2" s="1"/>
  <c r="O140" i="2" s="1"/>
  <c r="O182" i="2" s="1"/>
  <c r="N58" i="2"/>
  <c r="N89" i="2" s="1"/>
  <c r="N140" i="2" s="1"/>
  <c r="N182" i="2" s="1"/>
  <c r="M58" i="2"/>
  <c r="M89" i="2" s="1"/>
  <c r="M140" i="2" s="1"/>
  <c r="M182" i="2" s="1"/>
  <c r="L58" i="2"/>
  <c r="L89" i="2" s="1"/>
  <c r="L140" i="2" s="1"/>
  <c r="L182" i="2" s="1"/>
  <c r="K58" i="2"/>
  <c r="K89" i="2" s="1"/>
  <c r="K140" i="2" s="1"/>
  <c r="K182" i="2" s="1"/>
  <c r="H58" i="2"/>
  <c r="H110" i="2" s="1"/>
  <c r="Q146" i="2" s="1"/>
  <c r="Q189" i="2" s="1"/>
  <c r="G58" i="2"/>
  <c r="G110" i="2" s="1"/>
  <c r="P146" i="2" s="1"/>
  <c r="P189" i="2" s="1"/>
  <c r="F58" i="2"/>
  <c r="F110" i="2" s="1"/>
  <c r="O146" i="2" s="1"/>
  <c r="O189" i="2" s="1"/>
  <c r="E58" i="2"/>
  <c r="E62" i="2" s="1"/>
  <c r="E114" i="2" s="1"/>
  <c r="N150" i="2" s="1"/>
  <c r="D58" i="2"/>
  <c r="D110" i="2" s="1"/>
  <c r="M146" i="2" s="1"/>
  <c r="M189" i="2" s="1"/>
  <c r="C58" i="2"/>
  <c r="C110" i="2" s="1"/>
  <c r="L146" i="2" s="1"/>
  <c r="L189" i="2" s="1"/>
  <c r="B58" i="2"/>
  <c r="P57" i="2"/>
  <c r="P59" i="2" s="1"/>
  <c r="P90" i="2" s="1"/>
  <c r="P141" i="2" s="1"/>
  <c r="O57" i="2"/>
  <c r="O59" i="2" s="1"/>
  <c r="O90" i="2" s="1"/>
  <c r="O141" i="2" s="1"/>
  <c r="N57" i="2"/>
  <c r="N88" i="2" s="1"/>
  <c r="N139" i="2" s="1"/>
  <c r="N181" i="2" s="1"/>
  <c r="M57" i="2"/>
  <c r="L57" i="2"/>
  <c r="L88" i="2" s="1"/>
  <c r="L139" i="2" s="1"/>
  <c r="L181" i="2" s="1"/>
  <c r="K57" i="2"/>
  <c r="K59" i="2" s="1"/>
  <c r="K90" i="2" s="1"/>
  <c r="K141" i="2" s="1"/>
  <c r="Q56" i="2"/>
  <c r="P56" i="2"/>
  <c r="P87" i="2" s="1"/>
  <c r="P138" i="2" s="1"/>
  <c r="P180" i="2" s="1"/>
  <c r="O56" i="2"/>
  <c r="N56" i="2"/>
  <c r="N87" i="2" s="1"/>
  <c r="N138" i="2" s="1"/>
  <c r="N180" i="2" s="1"/>
  <c r="N183" i="2" s="1"/>
  <c r="M56" i="2"/>
  <c r="M87" i="2" s="1"/>
  <c r="M138" i="2" s="1"/>
  <c r="M180" i="2" s="1"/>
  <c r="M183" i="2" s="1"/>
  <c r="L56" i="2"/>
  <c r="L87" i="2" s="1"/>
  <c r="L138" i="2" s="1"/>
  <c r="L180" i="2" s="1"/>
  <c r="K56" i="2"/>
  <c r="H56" i="2"/>
  <c r="H108" i="2" s="1"/>
  <c r="Q144" i="2" s="1"/>
  <c r="Q187" i="2" s="1"/>
  <c r="G56" i="2"/>
  <c r="G108" i="2" s="1"/>
  <c r="P144" i="2" s="1"/>
  <c r="P187" i="2" s="1"/>
  <c r="F56" i="2"/>
  <c r="F108" i="2" s="1"/>
  <c r="O144" i="2" s="1"/>
  <c r="O187" i="2" s="1"/>
  <c r="E56" i="2"/>
  <c r="E108" i="2" s="1"/>
  <c r="D56" i="2"/>
  <c r="D108" i="2" s="1"/>
  <c r="M144" i="2" s="1"/>
  <c r="M187" i="2" s="1"/>
  <c r="C56" i="2"/>
  <c r="C108" i="2" s="1"/>
  <c r="L144" i="2" s="1"/>
  <c r="L187" i="2" s="1"/>
  <c r="B56" i="2"/>
  <c r="B108" i="2" s="1"/>
  <c r="K144" i="2" s="1"/>
  <c r="K187" i="2" s="1"/>
  <c r="P55" i="2"/>
  <c r="P60" i="2" s="1"/>
  <c r="P91" i="2" s="1"/>
  <c r="P142" i="2" s="1"/>
  <c r="L55" i="2"/>
  <c r="L86" i="2" s="1"/>
  <c r="L137" i="2" s="1"/>
  <c r="H55" i="2"/>
  <c r="H107" i="2" s="1"/>
  <c r="Q143" i="2" s="1"/>
  <c r="Q186" i="2" s="1"/>
  <c r="G55" i="2"/>
  <c r="G57" i="2" s="1"/>
  <c r="F55" i="2"/>
  <c r="F107" i="2" s="1"/>
  <c r="O143" i="2" s="1"/>
  <c r="O186" i="2" s="1"/>
  <c r="O188" i="2" s="1"/>
  <c r="E55" i="2"/>
  <c r="E107" i="2" s="1"/>
  <c r="N143" i="2" s="1"/>
  <c r="N186" i="2" s="1"/>
  <c r="D55" i="2"/>
  <c r="D107" i="2" s="1"/>
  <c r="M143" i="2" s="1"/>
  <c r="M186" i="2" s="1"/>
  <c r="C55" i="2"/>
  <c r="C107" i="2" s="1"/>
  <c r="L143" i="2" s="1"/>
  <c r="L186" i="2" s="1"/>
  <c r="B55" i="2"/>
  <c r="B107" i="2" s="1"/>
  <c r="K143" i="2" s="1"/>
  <c r="K186" i="2" s="1"/>
  <c r="K188" i="2" s="1"/>
  <c r="P54" i="2"/>
  <c r="P85" i="2" s="1"/>
  <c r="P136" i="2" s="1"/>
  <c r="P178" i="2" s="1"/>
  <c r="O54" i="2"/>
  <c r="O85" i="2" s="1"/>
  <c r="O136" i="2" s="1"/>
  <c r="O178" i="2" s="1"/>
  <c r="N54" i="2"/>
  <c r="N85" i="2" s="1"/>
  <c r="N136" i="2" s="1"/>
  <c r="N178" i="2" s="1"/>
  <c r="M54" i="2"/>
  <c r="L54" i="2"/>
  <c r="L85" i="2" s="1"/>
  <c r="K54" i="2"/>
  <c r="Q53" i="2"/>
  <c r="Q84" i="2" s="1"/>
  <c r="Q135" i="2" s="1"/>
  <c r="Q177" i="2" s="1"/>
  <c r="P53" i="2"/>
  <c r="O53" i="2"/>
  <c r="O84" i="2" s="1"/>
  <c r="O135" i="2" s="1"/>
  <c r="O177" i="2" s="1"/>
  <c r="N53" i="2"/>
  <c r="N84" i="2" s="1"/>
  <c r="N135" i="2" s="1"/>
  <c r="N177" i="2" s="1"/>
  <c r="M53" i="2"/>
  <c r="M84" i="2" s="1"/>
  <c r="M135" i="2" s="1"/>
  <c r="M177" i="2" s="1"/>
  <c r="L53" i="2"/>
  <c r="L84" i="2" s="1"/>
  <c r="L135" i="2" s="1"/>
  <c r="L177" i="2" s="1"/>
  <c r="K53" i="2"/>
  <c r="G53" i="2"/>
  <c r="G96" i="2" s="1"/>
  <c r="F53" i="2"/>
  <c r="C53" i="2"/>
  <c r="C96" i="2" s="1"/>
  <c r="B53" i="2"/>
  <c r="B96" i="2" s="1"/>
  <c r="P52" i="2"/>
  <c r="P83" i="2" s="1"/>
  <c r="P134" i="2" s="1"/>
  <c r="P176" i="2" s="1"/>
  <c r="P179" i="2" s="1"/>
  <c r="O52" i="2"/>
  <c r="O55" i="2" s="1"/>
  <c r="N52" i="2"/>
  <c r="N55" i="2" s="1"/>
  <c r="M52" i="2"/>
  <c r="M83" i="2" s="1"/>
  <c r="M134" i="2" s="1"/>
  <c r="M176" i="2" s="1"/>
  <c r="L52" i="2"/>
  <c r="L83" i="2" s="1"/>
  <c r="L134" i="2" s="1"/>
  <c r="L176" i="2" s="1"/>
  <c r="K52" i="2"/>
  <c r="K55" i="2" s="1"/>
  <c r="H52" i="2"/>
  <c r="H95" i="2" s="1"/>
  <c r="H146" i="2" s="1"/>
  <c r="H191" i="2" s="1"/>
  <c r="G52" i="2"/>
  <c r="G95" i="2" s="1"/>
  <c r="G146" i="2" s="1"/>
  <c r="G191" i="2" s="1"/>
  <c r="F52" i="2"/>
  <c r="F95" i="2" s="1"/>
  <c r="F146" i="2" s="1"/>
  <c r="F191" i="2" s="1"/>
  <c r="E52" i="2"/>
  <c r="E53" i="2" s="1"/>
  <c r="E96" i="2" s="1"/>
  <c r="D52" i="2"/>
  <c r="D95" i="2" s="1"/>
  <c r="D146" i="2" s="1"/>
  <c r="D191" i="2" s="1"/>
  <c r="C52" i="2"/>
  <c r="C95" i="2" s="1"/>
  <c r="C146" i="2" s="1"/>
  <c r="C191" i="2" s="1"/>
  <c r="B52" i="2"/>
  <c r="B95" i="2" s="1"/>
  <c r="B146" i="2" s="1"/>
  <c r="B191" i="2" s="1"/>
  <c r="H51" i="2"/>
  <c r="H94" i="2" s="1"/>
  <c r="H145" i="2" s="1"/>
  <c r="H190" i="2" s="1"/>
  <c r="G51" i="2"/>
  <c r="G94" i="2" s="1"/>
  <c r="G145" i="2" s="1"/>
  <c r="G190" i="2" s="1"/>
  <c r="G192" i="2" s="1"/>
  <c r="F51" i="2"/>
  <c r="F94" i="2" s="1"/>
  <c r="F145" i="2" s="1"/>
  <c r="F190" i="2" s="1"/>
  <c r="F192" i="2" s="1"/>
  <c r="E51" i="2"/>
  <c r="E94" i="2" s="1"/>
  <c r="E145" i="2" s="1"/>
  <c r="E190" i="2" s="1"/>
  <c r="D51" i="2"/>
  <c r="D94" i="2" s="1"/>
  <c r="D145" i="2" s="1"/>
  <c r="D190" i="2" s="1"/>
  <c r="C51" i="2"/>
  <c r="C94" i="2" s="1"/>
  <c r="C145" i="2" s="1"/>
  <c r="C190" i="2" s="1"/>
  <c r="C192" i="2" s="1"/>
  <c r="B51" i="2"/>
  <c r="B94" i="2" s="1"/>
  <c r="B145" i="2" s="1"/>
  <c r="B190" i="2" s="1"/>
  <c r="B192" i="2" s="1"/>
  <c r="P50" i="2"/>
  <c r="G91" i="2" s="1"/>
  <c r="G142" i="2" s="1"/>
  <c r="L50" i="2"/>
  <c r="C91" i="2" s="1"/>
  <c r="C142" i="2" s="1"/>
  <c r="Q49" i="2"/>
  <c r="H90" i="2" s="1"/>
  <c r="H141" i="2" s="1"/>
  <c r="H185" i="2" s="1"/>
  <c r="P49" i="2"/>
  <c r="G90" i="2" s="1"/>
  <c r="G141" i="2" s="1"/>
  <c r="G185" i="2" s="1"/>
  <c r="O49" i="2"/>
  <c r="F90" i="2" s="1"/>
  <c r="F141" i="2" s="1"/>
  <c r="F185" i="2" s="1"/>
  <c r="N49" i="2"/>
  <c r="E90" i="2" s="1"/>
  <c r="E141" i="2" s="1"/>
  <c r="E185" i="2" s="1"/>
  <c r="M49" i="2"/>
  <c r="D90" i="2" s="1"/>
  <c r="D141" i="2" s="1"/>
  <c r="D185" i="2" s="1"/>
  <c r="L49" i="2"/>
  <c r="C90" i="2" s="1"/>
  <c r="K49" i="2"/>
  <c r="B90" i="2" s="1"/>
  <c r="B141" i="2" s="1"/>
  <c r="B185" i="2" s="1"/>
  <c r="Q48" i="2"/>
  <c r="H89" i="2" s="1"/>
  <c r="H140" i="2" s="1"/>
  <c r="H183" i="2" s="1"/>
  <c r="P48" i="2"/>
  <c r="G89" i="2" s="1"/>
  <c r="G140" i="2" s="1"/>
  <c r="G183" i="2" s="1"/>
  <c r="O48" i="2"/>
  <c r="F89" i="2" s="1"/>
  <c r="F140" i="2" s="1"/>
  <c r="F183" i="2" s="1"/>
  <c r="N48" i="2"/>
  <c r="E89" i="2" s="1"/>
  <c r="E140" i="2" s="1"/>
  <c r="E183" i="2" s="1"/>
  <c r="M48" i="2"/>
  <c r="D89" i="2" s="1"/>
  <c r="D140" i="2" s="1"/>
  <c r="D183" i="2" s="1"/>
  <c r="L48" i="2"/>
  <c r="C89" i="2" s="1"/>
  <c r="C140" i="2" s="1"/>
  <c r="C183" i="2" s="1"/>
  <c r="K48" i="2"/>
  <c r="B89" i="2" s="1"/>
  <c r="B140" i="2" s="1"/>
  <c r="B183" i="2" s="1"/>
  <c r="G48" i="2"/>
  <c r="G85" i="2" s="1"/>
  <c r="G136" i="2" s="1"/>
  <c r="G179" i="2" s="1"/>
  <c r="F48" i="2"/>
  <c r="F85" i="2" s="1"/>
  <c r="F136" i="2" s="1"/>
  <c r="F179" i="2" s="1"/>
  <c r="E48" i="2"/>
  <c r="D48" i="2"/>
  <c r="D85" i="2" s="1"/>
  <c r="D136" i="2" s="1"/>
  <c r="D179" i="2" s="1"/>
  <c r="C48" i="2"/>
  <c r="C85" i="2" s="1"/>
  <c r="C136" i="2" s="1"/>
  <c r="C179" i="2" s="1"/>
  <c r="B48" i="2"/>
  <c r="B85" i="2" s="1"/>
  <c r="B136" i="2" s="1"/>
  <c r="B179" i="2" s="1"/>
  <c r="P47" i="2"/>
  <c r="G88" i="2" s="1"/>
  <c r="G139" i="2" s="1"/>
  <c r="G182" i="2" s="1"/>
  <c r="O47" i="2"/>
  <c r="O50" i="2" s="1"/>
  <c r="F91" i="2" s="1"/>
  <c r="F142" i="2" s="1"/>
  <c r="N47" i="2"/>
  <c r="E88" i="2" s="1"/>
  <c r="E139" i="2" s="1"/>
  <c r="E182" i="2" s="1"/>
  <c r="M47" i="2"/>
  <c r="D88" i="2" s="1"/>
  <c r="D139" i="2" s="1"/>
  <c r="D182" i="2" s="1"/>
  <c r="L47" i="2"/>
  <c r="C88" i="2" s="1"/>
  <c r="C139" i="2" s="1"/>
  <c r="C182" i="2" s="1"/>
  <c r="K47" i="2"/>
  <c r="K50" i="2" s="1"/>
  <c r="B91" i="2" s="1"/>
  <c r="B142" i="2" s="1"/>
  <c r="H47" i="2"/>
  <c r="H84" i="2" s="1"/>
  <c r="G47" i="2"/>
  <c r="G84" i="2" s="1"/>
  <c r="G135" i="2" s="1"/>
  <c r="G178" i="2" s="1"/>
  <c r="F47" i="2"/>
  <c r="F84" i="2" s="1"/>
  <c r="F135" i="2" s="1"/>
  <c r="F178" i="2" s="1"/>
  <c r="E47" i="2"/>
  <c r="E49" i="2" s="1"/>
  <c r="D47" i="2"/>
  <c r="D84" i="2" s="1"/>
  <c r="D135" i="2" s="1"/>
  <c r="D178" i="2" s="1"/>
  <c r="C47" i="2"/>
  <c r="B47" i="2"/>
  <c r="B84" i="2" s="1"/>
  <c r="B135" i="2" s="1"/>
  <c r="B178" i="2" s="1"/>
  <c r="P46" i="2"/>
  <c r="G87" i="2" s="1"/>
  <c r="G138" i="2" s="1"/>
  <c r="G181" i="2" s="1"/>
  <c r="O46" i="2"/>
  <c r="F87" i="2" s="1"/>
  <c r="F138" i="2" s="1"/>
  <c r="F181" i="2" s="1"/>
  <c r="N46" i="2"/>
  <c r="N50" i="2" s="1"/>
  <c r="E91" i="2" s="1"/>
  <c r="E142" i="2" s="1"/>
  <c r="M46" i="2"/>
  <c r="M50" i="2" s="1"/>
  <c r="D91" i="2" s="1"/>
  <c r="D142" i="2" s="1"/>
  <c r="L46" i="2"/>
  <c r="C87" i="2" s="1"/>
  <c r="C138" i="2" s="1"/>
  <c r="C181" i="2" s="1"/>
  <c r="K46" i="2"/>
  <c r="B87" i="2" s="1"/>
  <c r="B138" i="2" s="1"/>
  <c r="B181" i="2" s="1"/>
  <c r="G46" i="2"/>
  <c r="G83" i="2" s="1"/>
  <c r="G134" i="2" s="1"/>
  <c r="G177" i="2" s="1"/>
  <c r="F46" i="2"/>
  <c r="F83" i="2" s="1"/>
  <c r="E46" i="2"/>
  <c r="E83" i="2" s="1"/>
  <c r="E134" i="2" s="1"/>
  <c r="E177" i="2" s="1"/>
  <c r="D46" i="2"/>
  <c r="D83" i="2" s="1"/>
  <c r="D134" i="2" s="1"/>
  <c r="D177" i="2" s="1"/>
  <c r="C46" i="2"/>
  <c r="C83" i="2" s="1"/>
  <c r="C134" i="2" s="1"/>
  <c r="C177" i="2" s="1"/>
  <c r="B46" i="2"/>
  <c r="B83" i="2" s="1"/>
  <c r="B134" i="2" s="1"/>
  <c r="B177" i="2" s="1"/>
  <c r="H45" i="2"/>
  <c r="G45" i="2"/>
  <c r="G82" i="2" s="1"/>
  <c r="G133" i="2" s="1"/>
  <c r="G176" i="2" s="1"/>
  <c r="F45" i="2"/>
  <c r="F82" i="2" s="1"/>
  <c r="F133" i="2" s="1"/>
  <c r="F176" i="2" s="1"/>
  <c r="E45" i="2"/>
  <c r="E82" i="2" s="1"/>
  <c r="E133" i="2" s="1"/>
  <c r="E176" i="2" s="1"/>
  <c r="D45" i="2"/>
  <c r="D82" i="2" s="1"/>
  <c r="D133" i="2" s="1"/>
  <c r="D176" i="2" s="1"/>
  <c r="C45" i="2"/>
  <c r="B45" i="2"/>
  <c r="B82" i="2" s="1"/>
  <c r="B133" i="2" s="1"/>
  <c r="B176" i="2" s="1"/>
  <c r="N44" i="2"/>
  <c r="H44" i="2"/>
  <c r="H81" i="2" s="1"/>
  <c r="H132" i="2" s="1"/>
  <c r="H175" i="2" s="1"/>
  <c r="G44" i="2"/>
  <c r="G81" i="2" s="1"/>
  <c r="G132" i="2" s="1"/>
  <c r="G175" i="2" s="1"/>
  <c r="F44" i="2"/>
  <c r="E44" i="2"/>
  <c r="E81" i="2" s="1"/>
  <c r="E132" i="2" s="1"/>
  <c r="E175" i="2" s="1"/>
  <c r="D44" i="2"/>
  <c r="D81" i="2" s="1"/>
  <c r="D132" i="2" s="1"/>
  <c r="D175" i="2" s="1"/>
  <c r="C44" i="2"/>
  <c r="C81" i="2" s="1"/>
  <c r="C132" i="2" s="1"/>
  <c r="C175" i="2" s="1"/>
  <c r="B44" i="2"/>
  <c r="B81" i="2" s="1"/>
  <c r="B132" i="2" s="1"/>
  <c r="B175" i="2" s="1"/>
  <c r="Q43" i="2"/>
  <c r="P43" i="2"/>
  <c r="P80" i="2" s="1"/>
  <c r="P131" i="2" s="1"/>
  <c r="P173" i="2" s="1"/>
  <c r="O43" i="2"/>
  <c r="O80" i="2" s="1"/>
  <c r="O131" i="2" s="1"/>
  <c r="O173" i="2" s="1"/>
  <c r="N43" i="2"/>
  <c r="N80" i="2" s="1"/>
  <c r="N131" i="2" s="1"/>
  <c r="N173" i="2" s="1"/>
  <c r="M43" i="2"/>
  <c r="M80" i="2" s="1"/>
  <c r="M131" i="2" s="1"/>
  <c r="M173" i="2" s="1"/>
  <c r="L43" i="2"/>
  <c r="L80" i="2" s="1"/>
  <c r="L131" i="2" s="1"/>
  <c r="L173" i="2" s="1"/>
  <c r="K43" i="2"/>
  <c r="K80" i="2" s="1"/>
  <c r="K131" i="2" s="1"/>
  <c r="K173" i="2" s="1"/>
  <c r="G43" i="2"/>
  <c r="G80" i="2" s="1"/>
  <c r="G131" i="2" s="1"/>
  <c r="G174" i="2" s="1"/>
  <c r="F43" i="2"/>
  <c r="F80" i="2" s="1"/>
  <c r="F131" i="2" s="1"/>
  <c r="F174" i="2" s="1"/>
  <c r="E43" i="2"/>
  <c r="E80" i="2" s="1"/>
  <c r="E131" i="2" s="1"/>
  <c r="E174" i="2" s="1"/>
  <c r="D43" i="2"/>
  <c r="C43" i="2"/>
  <c r="C80" i="2" s="1"/>
  <c r="C131" i="2" s="1"/>
  <c r="C174" i="2" s="1"/>
  <c r="B43" i="2"/>
  <c r="B80" i="2" s="1"/>
  <c r="B131" i="2" s="1"/>
  <c r="B174" i="2" s="1"/>
  <c r="N42" i="2"/>
  <c r="N79" i="2" s="1"/>
  <c r="N130" i="2" s="1"/>
  <c r="H42" i="2"/>
  <c r="H79" i="2" s="1"/>
  <c r="H130" i="2" s="1"/>
  <c r="H173" i="2" s="1"/>
  <c r="G42" i="2"/>
  <c r="G79" i="2" s="1"/>
  <c r="G130" i="2" s="1"/>
  <c r="G173" i="2" s="1"/>
  <c r="F42" i="2"/>
  <c r="F79" i="2" s="1"/>
  <c r="F130" i="2" s="1"/>
  <c r="F173" i="2" s="1"/>
  <c r="E42" i="2"/>
  <c r="E79" i="2" s="1"/>
  <c r="E130" i="2" s="1"/>
  <c r="E173" i="2" s="1"/>
  <c r="D42" i="2"/>
  <c r="D79" i="2" s="1"/>
  <c r="D130" i="2" s="1"/>
  <c r="D173" i="2" s="1"/>
  <c r="C42" i="2"/>
  <c r="C79" i="2" s="1"/>
  <c r="C130" i="2" s="1"/>
  <c r="C173" i="2" s="1"/>
  <c r="B42" i="2"/>
  <c r="P41" i="2"/>
  <c r="P78" i="2" s="1"/>
  <c r="P129" i="2" s="1"/>
  <c r="P170" i="2" s="1"/>
  <c r="O41" i="2"/>
  <c r="O78" i="2" s="1"/>
  <c r="O129" i="2" s="1"/>
  <c r="O170" i="2" s="1"/>
  <c r="N41" i="2"/>
  <c r="N78" i="2" s="1"/>
  <c r="N129" i="2" s="1"/>
  <c r="N170" i="2" s="1"/>
  <c r="M41" i="2"/>
  <c r="L41" i="2"/>
  <c r="L78" i="2" s="1"/>
  <c r="L129" i="2" s="1"/>
  <c r="L170" i="2" s="1"/>
  <c r="K41" i="2"/>
  <c r="K78" i="2" s="1"/>
  <c r="K129" i="2" s="1"/>
  <c r="K170" i="2" s="1"/>
  <c r="G41" i="2"/>
  <c r="G78" i="2" s="1"/>
  <c r="G129" i="2" s="1"/>
  <c r="G172" i="2" s="1"/>
  <c r="F41" i="2"/>
  <c r="F78" i="2" s="1"/>
  <c r="F129" i="2" s="1"/>
  <c r="F172" i="2" s="1"/>
  <c r="E41" i="2"/>
  <c r="E78" i="2" s="1"/>
  <c r="E129" i="2" s="1"/>
  <c r="E172" i="2" s="1"/>
  <c r="D41" i="2"/>
  <c r="D78" i="2" s="1"/>
  <c r="D129" i="2" s="1"/>
  <c r="D172" i="2" s="1"/>
  <c r="C41" i="2"/>
  <c r="C78" i="2" s="1"/>
  <c r="C129" i="2" s="1"/>
  <c r="C172" i="2" s="1"/>
  <c r="B41" i="2"/>
  <c r="B78" i="2" s="1"/>
  <c r="B129" i="2" s="1"/>
  <c r="B172" i="2" s="1"/>
  <c r="P40" i="2"/>
  <c r="O40" i="2"/>
  <c r="O77" i="2" s="1"/>
  <c r="O128" i="2" s="1"/>
  <c r="O169" i="2" s="1"/>
  <c r="N40" i="2"/>
  <c r="N77" i="2" s="1"/>
  <c r="N128" i="2" s="1"/>
  <c r="N169" i="2" s="1"/>
  <c r="M40" i="2"/>
  <c r="M77" i="2" s="1"/>
  <c r="M128" i="2" s="1"/>
  <c r="M169" i="2" s="1"/>
  <c r="L40" i="2"/>
  <c r="L77" i="2" s="1"/>
  <c r="L128" i="2" s="1"/>
  <c r="L169" i="2" s="1"/>
  <c r="K40" i="2"/>
  <c r="H40" i="2"/>
  <c r="H77" i="2" s="1"/>
  <c r="H128" i="2" s="1"/>
  <c r="H170" i="2" s="1"/>
  <c r="G40" i="2"/>
  <c r="G77" i="2" s="1"/>
  <c r="G128" i="2" s="1"/>
  <c r="F40" i="2"/>
  <c r="F77" i="2" s="1"/>
  <c r="F128" i="2" s="1"/>
  <c r="F170" i="2" s="1"/>
  <c r="E40" i="2"/>
  <c r="E77" i="2" s="1"/>
  <c r="E128" i="2" s="1"/>
  <c r="E170" i="2" s="1"/>
  <c r="D40" i="2"/>
  <c r="D77" i="2" s="1"/>
  <c r="D128" i="2" s="1"/>
  <c r="D170" i="2" s="1"/>
  <c r="C40" i="2"/>
  <c r="C77" i="2" s="1"/>
  <c r="C128" i="2" s="1"/>
  <c r="C170" i="2" s="1"/>
  <c r="B40" i="2"/>
  <c r="B77" i="2" s="1"/>
  <c r="B128" i="2" s="1"/>
  <c r="B170" i="2" s="1"/>
  <c r="P39" i="2"/>
  <c r="P76" i="2" s="1"/>
  <c r="P127" i="2" s="1"/>
  <c r="P168" i="2" s="1"/>
  <c r="O39" i="2"/>
  <c r="O76" i="2" s="1"/>
  <c r="O127" i="2" s="1"/>
  <c r="O168" i="2" s="1"/>
  <c r="N39" i="2"/>
  <c r="M39" i="2"/>
  <c r="M76" i="2" s="1"/>
  <c r="M127" i="2" s="1"/>
  <c r="M168" i="2" s="1"/>
  <c r="L39" i="2"/>
  <c r="L76" i="2" s="1"/>
  <c r="L127" i="2" s="1"/>
  <c r="L168" i="2" s="1"/>
  <c r="K39" i="2"/>
  <c r="K76" i="2" s="1"/>
  <c r="K127" i="2" s="1"/>
  <c r="K168" i="2" s="1"/>
  <c r="H39" i="2"/>
  <c r="H76" i="2" s="1"/>
  <c r="H127" i="2" s="1"/>
  <c r="H169" i="2" s="1"/>
  <c r="G39" i="2"/>
  <c r="F39" i="2"/>
  <c r="F76" i="2" s="1"/>
  <c r="F127" i="2" s="1"/>
  <c r="F169" i="2" s="1"/>
  <c r="E39" i="2"/>
  <c r="E76" i="2" s="1"/>
  <c r="D39" i="2"/>
  <c r="D76" i="2" s="1"/>
  <c r="D127" i="2" s="1"/>
  <c r="D169" i="2" s="1"/>
  <c r="C39" i="2"/>
  <c r="C76" i="2" s="1"/>
  <c r="C127" i="2" s="1"/>
  <c r="C169" i="2" s="1"/>
  <c r="B39" i="2"/>
  <c r="B76" i="2" s="1"/>
  <c r="B127" i="2" s="1"/>
  <c r="B169" i="2" s="1"/>
  <c r="Q38" i="2"/>
  <c r="Q75" i="2" s="1"/>
  <c r="Q126" i="2" s="1"/>
  <c r="Q167" i="2" s="1"/>
  <c r="P38" i="2"/>
  <c r="P75" i="2" s="1"/>
  <c r="P126" i="2" s="1"/>
  <c r="P167" i="2" s="1"/>
  <c r="O38" i="2"/>
  <c r="O75" i="2" s="1"/>
  <c r="O126" i="2" s="1"/>
  <c r="O167" i="2" s="1"/>
  <c r="N38" i="2"/>
  <c r="N75" i="2" s="1"/>
  <c r="N126" i="2" s="1"/>
  <c r="N167" i="2" s="1"/>
  <c r="M38" i="2"/>
  <c r="M75" i="2" s="1"/>
  <c r="L38" i="2"/>
  <c r="K38" i="2"/>
  <c r="K75" i="2" s="1"/>
  <c r="K126" i="2" s="1"/>
  <c r="K167" i="2" s="1"/>
  <c r="G38" i="2"/>
  <c r="G75" i="2" s="1"/>
  <c r="G126" i="2" s="1"/>
  <c r="G168" i="2" s="1"/>
  <c r="F38" i="2"/>
  <c r="F75" i="2" s="1"/>
  <c r="F126" i="2" s="1"/>
  <c r="F168" i="2" s="1"/>
  <c r="E38" i="2"/>
  <c r="D38" i="2"/>
  <c r="D75" i="2" s="1"/>
  <c r="D126" i="2" s="1"/>
  <c r="D168" i="2" s="1"/>
  <c r="C38" i="2"/>
  <c r="C75" i="2" s="1"/>
  <c r="B38" i="2"/>
  <c r="B75" i="2" s="1"/>
  <c r="B126" i="2" s="1"/>
  <c r="B168" i="2" s="1"/>
  <c r="P37" i="2"/>
  <c r="P74" i="2" s="1"/>
  <c r="P125" i="2" s="1"/>
  <c r="P166" i="2" s="1"/>
  <c r="O37" i="2"/>
  <c r="O74" i="2" s="1"/>
  <c r="O125" i="2" s="1"/>
  <c r="O166" i="2" s="1"/>
  <c r="N37" i="2"/>
  <c r="N74" i="2" s="1"/>
  <c r="N125" i="2" s="1"/>
  <c r="N166" i="2" s="1"/>
  <c r="M37" i="2"/>
  <c r="M74" i="2" s="1"/>
  <c r="M125" i="2" s="1"/>
  <c r="M166" i="2" s="1"/>
  <c r="L37" i="2"/>
  <c r="L74" i="2" s="1"/>
  <c r="L125" i="2" s="1"/>
  <c r="L166" i="2" s="1"/>
  <c r="K37" i="2"/>
  <c r="K74" i="2" s="1"/>
  <c r="G37" i="2"/>
  <c r="G74" i="2" s="1"/>
  <c r="G125" i="2" s="1"/>
  <c r="G166" i="2" s="1"/>
  <c r="G180" i="2" s="1"/>
  <c r="F37" i="2"/>
  <c r="F74" i="2" s="1"/>
  <c r="F125" i="2" s="1"/>
  <c r="F166" i="2" s="1"/>
  <c r="E37" i="2"/>
  <c r="E74" i="2" s="1"/>
  <c r="E125" i="2" s="1"/>
  <c r="E166" i="2" s="1"/>
  <c r="D37" i="2"/>
  <c r="D74" i="2" s="1"/>
  <c r="D125" i="2" s="1"/>
  <c r="D166" i="2" s="1"/>
  <c r="C37" i="2"/>
  <c r="C49" i="2" s="1"/>
  <c r="B37" i="2"/>
  <c r="B74" i="2" s="1"/>
  <c r="B125" i="2" s="1"/>
  <c r="B166" i="2" s="1"/>
  <c r="O29" i="2"/>
  <c r="K29" i="2"/>
  <c r="P28" i="2"/>
  <c r="O28" i="2"/>
  <c r="N28" i="2"/>
  <c r="M28" i="2"/>
  <c r="L28" i="2"/>
  <c r="K28" i="2"/>
  <c r="Q25" i="2"/>
  <c r="Q65" i="2" s="1"/>
  <c r="H100" i="2" s="1"/>
  <c r="H151" i="2" s="1"/>
  <c r="H196" i="2" s="1"/>
  <c r="H25" i="2"/>
  <c r="G25" i="2"/>
  <c r="G27" i="2" s="1"/>
  <c r="F25" i="2"/>
  <c r="F27" i="2" s="1"/>
  <c r="E25" i="2"/>
  <c r="D25" i="2"/>
  <c r="D27" i="2" s="1"/>
  <c r="C25" i="2"/>
  <c r="C27" i="2" s="1"/>
  <c r="B25" i="2"/>
  <c r="B27" i="2" s="1"/>
  <c r="Q24" i="2"/>
  <c r="Q57" i="2" s="1"/>
  <c r="Q88" i="2" s="1"/>
  <c r="Q139" i="2" s="1"/>
  <c r="Q181" i="2" s="1"/>
  <c r="Q22" i="2"/>
  <c r="Q28" i="2" s="1"/>
  <c r="P19" i="2"/>
  <c r="P29" i="2" s="1"/>
  <c r="O19" i="2"/>
  <c r="N19" i="2"/>
  <c r="N29" i="2" s="1"/>
  <c r="M19" i="2"/>
  <c r="M29" i="2" s="1"/>
  <c r="L19" i="2"/>
  <c r="L29" i="2" s="1"/>
  <c r="K19" i="2"/>
  <c r="Q18" i="2"/>
  <c r="Q54" i="2" s="1"/>
  <c r="Q85" i="2" s="1"/>
  <c r="Q136" i="2" s="1"/>
  <c r="Q178" i="2" s="1"/>
  <c r="G17" i="2"/>
  <c r="F17" i="2"/>
  <c r="E17" i="2"/>
  <c r="E27" i="2" s="1"/>
  <c r="D17" i="2"/>
  <c r="C17" i="2"/>
  <c r="B17" i="2"/>
  <c r="H16" i="2"/>
  <c r="H48" i="2" s="1"/>
  <c r="H85" i="2" s="1"/>
  <c r="H136" i="2" s="1"/>
  <c r="H179" i="2" s="1"/>
  <c r="Q15" i="2"/>
  <c r="Q14" i="2"/>
  <c r="Q47" i="2" s="1"/>
  <c r="H88" i="2" s="1"/>
  <c r="H139" i="2" s="1"/>
  <c r="H182" i="2" s="1"/>
  <c r="H14" i="2"/>
  <c r="H46" i="2" s="1"/>
  <c r="H83" i="2" s="1"/>
  <c r="H134" i="2" s="1"/>
  <c r="H177" i="2" s="1"/>
  <c r="Q13" i="2"/>
  <c r="Q19" i="2" s="1"/>
  <c r="H13" i="2"/>
  <c r="Q12" i="2"/>
  <c r="Q52" i="2" s="1"/>
  <c r="P10" i="2"/>
  <c r="P31" i="2" s="1"/>
  <c r="P32" i="2" s="1"/>
  <c r="O10" i="2"/>
  <c r="O31" i="2" s="1"/>
  <c r="O32" i="2" s="1"/>
  <c r="N10" i="2"/>
  <c r="N31" i="2" s="1"/>
  <c r="N32" i="2" s="1"/>
  <c r="L10" i="2"/>
  <c r="K10" i="2"/>
  <c r="K31" i="2" s="1"/>
  <c r="K32" i="2" s="1"/>
  <c r="H10" i="2"/>
  <c r="H9" i="2"/>
  <c r="H43" i="2" s="1"/>
  <c r="H80" i="2" s="1"/>
  <c r="H131" i="2" s="1"/>
  <c r="H174" i="2" s="1"/>
  <c r="Q8" i="2"/>
  <c r="Q42" i="2" s="1"/>
  <c r="Q79" i="2" s="1"/>
  <c r="Q130" i="2" s="1"/>
  <c r="Q172" i="2" s="1"/>
  <c r="Q174" i="2" s="1"/>
  <c r="P8" i="2"/>
  <c r="P42" i="2" s="1"/>
  <c r="P79" i="2" s="1"/>
  <c r="P130" i="2" s="1"/>
  <c r="O8" i="2"/>
  <c r="O42" i="2" s="1"/>
  <c r="O79" i="2" s="1"/>
  <c r="O130" i="2" s="1"/>
  <c r="N8" i="2"/>
  <c r="M8" i="2"/>
  <c r="M42" i="2" s="1"/>
  <c r="M79" i="2" s="1"/>
  <c r="M130" i="2" s="1"/>
  <c r="L8" i="2"/>
  <c r="L42" i="2" s="1"/>
  <c r="L79" i="2" s="1"/>
  <c r="L130" i="2" s="1"/>
  <c r="K8" i="2"/>
  <c r="K42" i="2" s="1"/>
  <c r="K79" i="2" s="1"/>
  <c r="K130" i="2" s="1"/>
  <c r="Q7" i="2"/>
  <c r="Q41" i="2" s="1"/>
  <c r="Q78" i="2" s="1"/>
  <c r="Q129" i="2" s="1"/>
  <c r="Q170" i="2" s="1"/>
  <c r="H7" i="2"/>
  <c r="H41" i="2" s="1"/>
  <c r="H78" i="2" s="1"/>
  <c r="H129" i="2" s="1"/>
  <c r="H172" i="2" s="1"/>
  <c r="Q6" i="2"/>
  <c r="Q40" i="2" s="1"/>
  <c r="Q77" i="2" s="1"/>
  <c r="Q128" i="2" s="1"/>
  <c r="Q169" i="2" s="1"/>
  <c r="Q5" i="2"/>
  <c r="Q39" i="2" s="1"/>
  <c r="Q76" i="2" s="1"/>
  <c r="Q127" i="2" s="1"/>
  <c r="Q168" i="2" s="1"/>
  <c r="Q4" i="2"/>
  <c r="H4" i="2"/>
  <c r="H17" i="2" s="1"/>
  <c r="H27" i="2" s="1"/>
  <c r="Q3" i="2"/>
  <c r="Q37" i="2" s="1"/>
  <c r="Q74" i="2" s="1"/>
  <c r="Q125" i="2" s="1"/>
  <c r="Q166" i="2" s="1"/>
  <c r="H3" i="2"/>
  <c r="Y37" i="1"/>
  <c r="X37" i="1"/>
  <c r="W37" i="1"/>
  <c r="V37" i="1"/>
  <c r="U37" i="1"/>
  <c r="T37" i="1"/>
  <c r="Q36" i="1"/>
  <c r="H13" i="3" s="1"/>
  <c r="Z33" i="1"/>
  <c r="W34" i="9" s="1"/>
  <c r="Y33" i="1"/>
  <c r="Q32" i="1"/>
  <c r="Z32" i="1" s="1"/>
  <c r="W33" i="9" s="1"/>
  <c r="P32" i="1"/>
  <c r="Y32" i="1" s="1"/>
  <c r="O32" i="1"/>
  <c r="X32" i="1" s="1"/>
  <c r="N32" i="1"/>
  <c r="W32" i="1" s="1"/>
  <c r="M32" i="1"/>
  <c r="V32" i="1" s="1"/>
  <c r="Y31" i="1"/>
  <c r="Q31" i="1"/>
  <c r="Z31" i="1" s="1"/>
  <c r="W32" i="9" s="1"/>
  <c r="P31" i="1"/>
  <c r="O31" i="1"/>
  <c r="N31" i="1"/>
  <c r="W31" i="1" s="1"/>
  <c r="M31" i="1"/>
  <c r="V31" i="1" s="1"/>
  <c r="L31" i="1"/>
  <c r="U31" i="1" s="1"/>
  <c r="K31" i="1"/>
  <c r="Q30" i="1"/>
  <c r="Z30" i="1" s="1"/>
  <c r="P30" i="1"/>
  <c r="Y30" i="1" s="1"/>
  <c r="O30" i="1"/>
  <c r="X30" i="1" s="1"/>
  <c r="N30" i="1"/>
  <c r="N33" i="1" s="1"/>
  <c r="N34" i="1" s="1"/>
  <c r="N28" i="1" s="1"/>
  <c r="M30" i="1"/>
  <c r="V30" i="1" s="1"/>
  <c r="L30" i="1"/>
  <c r="U30" i="1" s="1"/>
  <c r="K30" i="1"/>
  <c r="T30" i="1" s="1"/>
  <c r="H30" i="1"/>
  <c r="G30" i="1"/>
  <c r="F30" i="1"/>
  <c r="E30" i="1"/>
  <c r="D30" i="1"/>
  <c r="C29" i="1"/>
  <c r="L32" i="1" s="1"/>
  <c r="B29" i="1"/>
  <c r="B30" i="1" s="1"/>
  <c r="Z27" i="1"/>
  <c r="W28" i="9" s="1"/>
  <c r="Y27" i="1"/>
  <c r="Q27" i="1"/>
  <c r="P27" i="1"/>
  <c r="O27" i="1"/>
  <c r="N27" i="1"/>
  <c r="M27" i="1"/>
  <c r="L27" i="1"/>
  <c r="K27" i="1"/>
  <c r="J27" i="1"/>
  <c r="Z26" i="1"/>
  <c r="W27" i="9" s="1"/>
  <c r="Y26" i="1"/>
  <c r="X26" i="1"/>
  <c r="W26" i="1"/>
  <c r="V26" i="1"/>
  <c r="U26" i="1"/>
  <c r="T26" i="1"/>
  <c r="S26" i="1"/>
  <c r="Q25" i="1"/>
  <c r="Z24" i="1" s="1"/>
  <c r="W25" i="9" s="1"/>
  <c r="P25" i="1"/>
  <c r="Y24" i="1" s="1"/>
  <c r="O25" i="1"/>
  <c r="N227" i="2" s="1"/>
  <c r="N25" i="1"/>
  <c r="M25" i="1"/>
  <c r="L25" i="1"/>
  <c r="K25" i="1"/>
  <c r="Q24" i="1"/>
  <c r="Z23" i="1" s="1"/>
  <c r="W24" i="9" s="1"/>
  <c r="P24" i="1"/>
  <c r="Y23" i="1" s="1"/>
  <c r="O24" i="1"/>
  <c r="X23" i="1" s="1"/>
  <c r="N24" i="1"/>
  <c r="W23" i="1" s="1"/>
  <c r="M24" i="1"/>
  <c r="V23" i="1" s="1"/>
  <c r="J24" i="1"/>
  <c r="S23" i="1" s="1"/>
  <c r="U23" i="1"/>
  <c r="T23" i="1"/>
  <c r="Q23" i="1"/>
  <c r="Z22" i="1" s="1"/>
  <c r="P23" i="1"/>
  <c r="Y22" i="1" s="1"/>
  <c r="N23" i="1"/>
  <c r="W22" i="1" s="1"/>
  <c r="M23" i="1"/>
  <c r="V22" i="1" s="1"/>
  <c r="L23" i="1"/>
  <c r="K23" i="1"/>
  <c r="T22" i="1" s="1"/>
  <c r="J23" i="1"/>
  <c r="S22" i="1" s="1"/>
  <c r="U22" i="1"/>
  <c r="Q20" i="1"/>
  <c r="P20" i="1"/>
  <c r="Y19" i="1" s="1"/>
  <c r="O20" i="1"/>
  <c r="X19" i="1" s="1"/>
  <c r="N20" i="1"/>
  <c r="W19" i="1" s="1"/>
  <c r="M20" i="1"/>
  <c r="L20" i="1"/>
  <c r="U19" i="1" s="1"/>
  <c r="K20" i="1"/>
  <c r="T19" i="1" s="1"/>
  <c r="Z19" i="1"/>
  <c r="W20" i="9" s="1"/>
  <c r="V19" i="1"/>
  <c r="Q19" i="1"/>
  <c r="Z18" i="1" s="1"/>
  <c r="W19" i="9" s="1"/>
  <c r="P19" i="1"/>
  <c r="O19" i="1"/>
  <c r="X18" i="1" s="1"/>
  <c r="N19" i="1"/>
  <c r="W18" i="1" s="1"/>
  <c r="M19" i="1"/>
  <c r="V18" i="1" s="1"/>
  <c r="L19" i="1"/>
  <c r="K19" i="1"/>
  <c r="T18" i="1" s="1"/>
  <c r="Y18" i="1"/>
  <c r="U18" i="1"/>
  <c r="Q18" i="1"/>
  <c r="P18" i="1"/>
  <c r="O18" i="1"/>
  <c r="N18" i="1"/>
  <c r="M18" i="1"/>
  <c r="L18" i="1"/>
  <c r="K18" i="1"/>
  <c r="F18" i="1"/>
  <c r="O23" i="1" s="1"/>
  <c r="X22" i="1" s="1"/>
  <c r="Z17" i="1"/>
  <c r="W18" i="9" s="1"/>
  <c r="Y17" i="1"/>
  <c r="X17" i="1"/>
  <c r="W17" i="1"/>
  <c r="V17" i="1"/>
  <c r="U17" i="1"/>
  <c r="T17" i="1"/>
  <c r="Q17" i="1"/>
  <c r="Z16" i="1" s="1"/>
  <c r="W17" i="9" s="1"/>
  <c r="P17" i="1"/>
  <c r="Y16" i="1" s="1"/>
  <c r="N17" i="1"/>
  <c r="W16" i="1" s="1"/>
  <c r="M17" i="1"/>
  <c r="L17" i="1"/>
  <c r="U16" i="1" s="1"/>
  <c r="K17" i="1"/>
  <c r="T16" i="1" s="1"/>
  <c r="V16" i="1"/>
  <c r="Q16" i="1"/>
  <c r="P16" i="1"/>
  <c r="Y15" i="1" s="1"/>
  <c r="O16" i="1"/>
  <c r="X15" i="1" s="1"/>
  <c r="N16" i="1"/>
  <c r="M16" i="1"/>
  <c r="L16" i="1"/>
  <c r="U15" i="1" s="1"/>
  <c r="K16" i="1"/>
  <c r="T15" i="1" s="1"/>
  <c r="H16" i="1"/>
  <c r="H22" i="1" s="1"/>
  <c r="G16" i="1"/>
  <c r="G22" i="1" s="1"/>
  <c r="E16" i="1"/>
  <c r="E22" i="1" s="1"/>
  <c r="D16" i="1"/>
  <c r="D22" i="1" s="1"/>
  <c r="C16" i="1"/>
  <c r="C22" i="1" s="1"/>
  <c r="B16" i="1"/>
  <c r="B22" i="1" s="1"/>
  <c r="Z15" i="1"/>
  <c r="W16" i="9" s="1"/>
  <c r="W15" i="1"/>
  <c r="V15" i="1"/>
  <c r="Q15" i="1"/>
  <c r="P15" i="1"/>
  <c r="O15" i="1"/>
  <c r="N15" i="1"/>
  <c r="M15" i="1"/>
  <c r="L15" i="1"/>
  <c r="K15" i="1"/>
  <c r="F15" i="1"/>
  <c r="O17" i="1" s="1"/>
  <c r="X16" i="1" s="1"/>
  <c r="Z14" i="1"/>
  <c r="W15" i="9" s="1"/>
  <c r="Y14" i="1"/>
  <c r="X14" i="1"/>
  <c r="W14" i="1"/>
  <c r="U14" i="1"/>
  <c r="T14" i="1"/>
  <c r="Q14" i="1"/>
  <c r="Z13" i="1" s="1"/>
  <c r="W14" i="9" s="1"/>
  <c r="P14" i="1"/>
  <c r="Y13" i="1" s="1"/>
  <c r="O14" i="1"/>
  <c r="X13" i="1" s="1"/>
  <c r="N14" i="1"/>
  <c r="M14" i="1"/>
  <c r="V13" i="1" s="1"/>
  <c r="L14" i="1"/>
  <c r="U13" i="1" s="1"/>
  <c r="K14" i="1"/>
  <c r="T13" i="1" s="1"/>
  <c r="W13" i="1"/>
  <c r="Q13" i="1"/>
  <c r="P13" i="1"/>
  <c r="N13" i="1"/>
  <c r="M13" i="1"/>
  <c r="L13" i="1"/>
  <c r="K13" i="1"/>
  <c r="Q12" i="1"/>
  <c r="Z12" i="1" s="1"/>
  <c r="W13" i="9" s="1"/>
  <c r="P12" i="1"/>
  <c r="O12" i="1"/>
  <c r="X12" i="1" s="1"/>
  <c r="N12" i="1"/>
  <c r="W12" i="1" s="1"/>
  <c r="M12" i="1"/>
  <c r="V12" i="1" s="1"/>
  <c r="L12" i="1"/>
  <c r="K12" i="1"/>
  <c r="T12" i="1" s="1"/>
  <c r="Q11" i="1"/>
  <c r="Z11" i="1" s="1"/>
  <c r="P11" i="1"/>
  <c r="Y11" i="1" s="1"/>
  <c r="N11" i="1"/>
  <c r="M11" i="1"/>
  <c r="V11" i="1" s="1"/>
  <c r="L11" i="1"/>
  <c r="U11" i="1" s="1"/>
  <c r="K11" i="1"/>
  <c r="T11" i="1" s="1"/>
  <c r="F11" i="1"/>
  <c r="O13" i="1" s="1"/>
  <c r="Y9" i="1"/>
  <c r="U9" i="1"/>
  <c r="Q9" i="1"/>
  <c r="Z9" i="1" s="1"/>
  <c r="W10" i="9" s="1"/>
  <c r="P9" i="1"/>
  <c r="O9" i="1"/>
  <c r="X9" i="1" s="1"/>
  <c r="N9" i="1"/>
  <c r="W9" i="1" s="1"/>
  <c r="M9" i="1"/>
  <c r="V9" i="1" s="1"/>
  <c r="L9" i="1"/>
  <c r="K9" i="1"/>
  <c r="T9" i="1" s="1"/>
  <c r="F9" i="1"/>
  <c r="O11" i="1" s="1"/>
  <c r="X11" i="1" s="1"/>
  <c r="G8" i="1"/>
  <c r="F8" i="1"/>
  <c r="E8" i="1"/>
  <c r="E23" i="1" s="1"/>
  <c r="E26" i="1" s="1"/>
  <c r="E32" i="1" s="1"/>
  <c r="D8" i="1"/>
  <c r="C8" i="1"/>
  <c r="B8" i="1"/>
  <c r="Q6" i="1"/>
  <c r="Q10" i="1" s="1"/>
  <c r="P6" i="1"/>
  <c r="O6" i="1"/>
  <c r="N6" i="1"/>
  <c r="N10" i="1" s="1"/>
  <c r="M6" i="1"/>
  <c r="M10" i="1" s="1"/>
  <c r="L6" i="1"/>
  <c r="K6" i="1"/>
  <c r="H6" i="1"/>
  <c r="Z5" i="1"/>
  <c r="W6" i="9" s="1"/>
  <c r="Y5" i="1"/>
  <c r="X5" i="1"/>
  <c r="W5" i="1"/>
  <c r="V5" i="1"/>
  <c r="U5" i="1"/>
  <c r="T5" i="1"/>
  <c r="H5" i="1"/>
  <c r="H8" i="1" s="1"/>
  <c r="H23" i="1" s="1"/>
  <c r="H26" i="1" s="1"/>
  <c r="H32" i="1" s="1"/>
  <c r="Z4" i="1"/>
  <c r="Y4" i="1"/>
  <c r="X4" i="1"/>
  <c r="W4" i="1"/>
  <c r="W6" i="1" s="1"/>
  <c r="E38" i="8" s="1"/>
  <c r="V4" i="1"/>
  <c r="U4" i="1"/>
  <c r="T4" i="1"/>
  <c r="Z3" i="1"/>
  <c r="W4" i="9" s="1"/>
  <c r="Y3" i="1"/>
  <c r="X3" i="1"/>
  <c r="W3" i="1"/>
  <c r="V3" i="1"/>
  <c r="U3" i="1"/>
  <c r="T3" i="1"/>
  <c r="M21" i="1" l="1"/>
  <c r="M43" i="1" s="1"/>
  <c r="M51" i="9"/>
  <c r="F16" i="1"/>
  <c r="F22" i="1" s="1"/>
  <c r="F23" i="1" s="1"/>
  <c r="F26" i="1" s="1"/>
  <c r="F32" i="1" s="1"/>
  <c r="C23" i="1"/>
  <c r="C26" i="1" s="1"/>
  <c r="G23" i="1"/>
  <c r="G26" i="1" s="1"/>
  <c r="G32" i="1" s="1"/>
  <c r="V14" i="1"/>
  <c r="V20" i="1" s="1"/>
  <c r="Q21" i="1"/>
  <c r="Q43" i="1" s="1"/>
  <c r="O33" i="1"/>
  <c r="O34" i="1" s="1"/>
  <c r="O28" i="1" s="1"/>
  <c r="T6" i="1"/>
  <c r="T10" i="1" s="1"/>
  <c r="X6" i="1"/>
  <c r="F38" i="8" s="1"/>
  <c r="L10" i="1"/>
  <c r="P10" i="1"/>
  <c r="D23" i="1"/>
  <c r="D26" i="1" s="1"/>
  <c r="D32" i="1" s="1"/>
  <c r="K21" i="1"/>
  <c r="K43" i="1" s="1"/>
  <c r="W30" i="1"/>
  <c r="P33" i="1"/>
  <c r="P34" i="1" s="1"/>
  <c r="P28" i="1" s="1"/>
  <c r="E32" i="4"/>
  <c r="D33" i="4"/>
  <c r="C32" i="4"/>
  <c r="C34" i="4"/>
  <c r="E30" i="4"/>
  <c r="B32" i="4"/>
  <c r="F32" i="4"/>
  <c r="E34" i="4"/>
  <c r="D34" i="4"/>
  <c r="C75" i="4"/>
  <c r="C85" i="4" s="1"/>
  <c r="F35" i="4"/>
  <c r="D32" i="4"/>
  <c r="C31" i="4"/>
  <c r="B34" i="4"/>
  <c r="B31" i="4"/>
  <c r="B33" i="4"/>
  <c r="B35" i="4"/>
  <c r="D75" i="4"/>
  <c r="D85" i="4" s="1"/>
  <c r="D30" i="4"/>
  <c r="D31" i="4"/>
  <c r="C33" i="4"/>
  <c r="E31" i="4"/>
  <c r="E33" i="4"/>
  <c r="E35" i="4"/>
  <c r="C27" i="14"/>
  <c r="B27" i="14"/>
  <c r="C8" i="15"/>
  <c r="C39" i="15"/>
  <c r="B4" i="15"/>
  <c r="D54" i="15"/>
  <c r="D56" i="15" s="1"/>
  <c r="D65" i="15"/>
  <c r="B10" i="15"/>
  <c r="B63" i="15"/>
  <c r="B73" i="15" s="1"/>
  <c r="B13" i="15"/>
  <c r="D74" i="15"/>
  <c r="D75" i="15" s="1"/>
  <c r="B5" i="15"/>
  <c r="M42" i="1"/>
  <c r="M22" i="1"/>
  <c r="X10" i="1"/>
  <c r="D10" i="9"/>
  <c r="S10" i="9"/>
  <c r="R12" i="9"/>
  <c r="C12" i="9"/>
  <c r="C14" i="9"/>
  <c r="R14" i="9"/>
  <c r="S15" i="9"/>
  <c r="D15" i="9"/>
  <c r="V16" i="9"/>
  <c r="G16" i="9"/>
  <c r="F23" i="9"/>
  <c r="U23" i="9"/>
  <c r="U24" i="9"/>
  <c r="F24" i="9"/>
  <c r="U31" i="9"/>
  <c r="F31" i="9"/>
  <c r="N86" i="2"/>
  <c r="N137" i="2" s="1"/>
  <c r="K200" i="2"/>
  <c r="E45" i="1"/>
  <c r="E34" i="1"/>
  <c r="E2" i="4" s="1"/>
  <c r="E4" i="4" s="1"/>
  <c r="U10" i="9"/>
  <c r="F10" i="9"/>
  <c r="V10" i="9"/>
  <c r="G10" i="9"/>
  <c r="W11" i="1"/>
  <c r="N21" i="1"/>
  <c r="N43" i="1" s="1"/>
  <c r="T13" i="9"/>
  <c r="E13" i="9"/>
  <c r="D13" i="9"/>
  <c r="S13" i="9"/>
  <c r="B14" i="9"/>
  <c r="Q14" i="9"/>
  <c r="E16" i="9"/>
  <c r="T16" i="9"/>
  <c r="W23" i="9"/>
  <c r="H4" i="3"/>
  <c r="U32" i="1"/>
  <c r="L33" i="1"/>
  <c r="L34" i="1" s="1"/>
  <c r="L28" i="1" s="1"/>
  <c r="D31" i="9"/>
  <c r="S31" i="9"/>
  <c r="W31" i="9"/>
  <c r="Z34" i="1"/>
  <c r="H61" i="8" s="1"/>
  <c r="S32" i="9"/>
  <c r="D32" i="9"/>
  <c r="E33" i="9"/>
  <c r="T33" i="9"/>
  <c r="G31" i="2"/>
  <c r="C86" i="2"/>
  <c r="G58" i="9"/>
  <c r="V58" i="9"/>
  <c r="L179" i="2"/>
  <c r="Q59" i="2"/>
  <c r="Q90" i="2" s="1"/>
  <c r="Q141" i="2" s="1"/>
  <c r="H16" i="3"/>
  <c r="G21" i="3"/>
  <c r="P192" i="2"/>
  <c r="B198" i="2"/>
  <c r="O183" i="2"/>
  <c r="L42" i="1"/>
  <c r="W12" i="9"/>
  <c r="Z20" i="1"/>
  <c r="G14" i="9"/>
  <c r="V14" i="9"/>
  <c r="R16" i="9"/>
  <c r="C16" i="9"/>
  <c r="G61" i="9"/>
  <c r="V61" i="9"/>
  <c r="G22" i="8"/>
  <c r="D62" i="9"/>
  <c r="S62" i="9"/>
  <c r="D23" i="8"/>
  <c r="D33" i="8"/>
  <c r="M13" i="8" s="1"/>
  <c r="H34" i="1"/>
  <c r="H2" i="4" s="1"/>
  <c r="H45" i="1"/>
  <c r="N42" i="1"/>
  <c r="N22" i="1"/>
  <c r="B10" i="9"/>
  <c r="Q10" i="9"/>
  <c r="U12" i="9"/>
  <c r="F12" i="9"/>
  <c r="X20" i="1"/>
  <c r="D34" i="1"/>
  <c r="D2" i="4" s="1"/>
  <c r="D4" i="4" s="1"/>
  <c r="D45" i="1"/>
  <c r="T17" i="9"/>
  <c r="E17" i="9"/>
  <c r="K10" i="1"/>
  <c r="O10" i="1"/>
  <c r="B23" i="1"/>
  <c r="B26" i="1" s="1"/>
  <c r="B32" i="1" s="1"/>
  <c r="V12" i="9"/>
  <c r="G12" i="9"/>
  <c r="Q13" i="9"/>
  <c r="B13" i="9"/>
  <c r="U13" i="9"/>
  <c r="F13" i="9"/>
  <c r="Q16" i="9"/>
  <c r="B16" i="9"/>
  <c r="U16" i="9"/>
  <c r="F16" i="9"/>
  <c r="S19" i="9"/>
  <c r="D19" i="9"/>
  <c r="S23" i="9"/>
  <c r="D23" i="9"/>
  <c r="E24" i="9"/>
  <c r="T24" i="9"/>
  <c r="T32" i="9"/>
  <c r="E32" i="9"/>
  <c r="Q214" i="2"/>
  <c r="L31" i="2"/>
  <c r="L32" i="2" s="1"/>
  <c r="Q83" i="2"/>
  <c r="Q134" i="2" s="1"/>
  <c r="Q176" i="2" s="1"/>
  <c r="Q179" i="2" s="1"/>
  <c r="Q55" i="2"/>
  <c r="G187" i="2"/>
  <c r="G188" i="2" s="1"/>
  <c r="E86" i="2"/>
  <c r="F61" i="9"/>
  <c r="U61" i="9"/>
  <c r="M179" i="2"/>
  <c r="M185" i="2" s="1"/>
  <c r="B147" i="2"/>
  <c r="Q192" i="2"/>
  <c r="H21" i="3"/>
  <c r="C198" i="2"/>
  <c r="Q183" i="2"/>
  <c r="P188" i="2"/>
  <c r="P194" i="2" s="1"/>
  <c r="Q11" i="9"/>
  <c r="T42" i="1"/>
  <c r="P42" i="1"/>
  <c r="Q42" i="1"/>
  <c r="L21" i="1"/>
  <c r="L43" i="1" s="1"/>
  <c r="U12" i="1"/>
  <c r="U20" i="1" s="1"/>
  <c r="P21" i="1"/>
  <c r="P43" i="1" s="1"/>
  <c r="Y12" i="1"/>
  <c r="Y20" i="1" s="1"/>
  <c r="D17" i="9"/>
  <c r="S17" i="9"/>
  <c r="Q31" i="9"/>
  <c r="B31" i="9"/>
  <c r="V33" i="9"/>
  <c r="G33" i="9"/>
  <c r="C61" i="9"/>
  <c r="R61" i="9"/>
  <c r="C4" i="9"/>
  <c r="R4" i="9"/>
  <c r="U6" i="1"/>
  <c r="G4" i="9"/>
  <c r="V4" i="9"/>
  <c r="Y6" i="1"/>
  <c r="S5" i="9"/>
  <c r="D5" i="9"/>
  <c r="V6" i="1"/>
  <c r="W5" i="9"/>
  <c r="W7" i="9" s="1"/>
  <c r="Z6" i="1"/>
  <c r="D6" i="9"/>
  <c r="S6" i="9"/>
  <c r="O21" i="1"/>
  <c r="O43" i="1" s="1"/>
  <c r="E10" i="9"/>
  <c r="T10" i="9"/>
  <c r="R10" i="9"/>
  <c r="C10" i="9"/>
  <c r="W10" i="1"/>
  <c r="D12" i="9"/>
  <c r="S12" i="9"/>
  <c r="Q12" i="9"/>
  <c r="B12" i="9"/>
  <c r="T20" i="1"/>
  <c r="F14" i="9"/>
  <c r="U14" i="9"/>
  <c r="U17" i="9"/>
  <c r="F17" i="9"/>
  <c r="G34" i="1"/>
  <c r="G2" i="4" s="1"/>
  <c r="G4" i="4" s="1"/>
  <c r="G45" i="1"/>
  <c r="B18" i="9"/>
  <c r="Q18" i="9"/>
  <c r="Q20" i="9"/>
  <c r="B20" i="9"/>
  <c r="U20" i="9"/>
  <c r="F20" i="9"/>
  <c r="C31" i="9"/>
  <c r="R31" i="9"/>
  <c r="G31" i="9"/>
  <c r="V31" i="9"/>
  <c r="Y34" i="1"/>
  <c r="G61" i="8" s="1"/>
  <c r="S33" i="9"/>
  <c r="D33" i="9"/>
  <c r="Q29" i="2"/>
  <c r="E31" i="2"/>
  <c r="B31" i="2"/>
  <c r="F31" i="2"/>
  <c r="D192" i="2"/>
  <c r="H192" i="2"/>
  <c r="E147" i="2"/>
  <c r="K86" i="2"/>
  <c r="K137" i="2" s="1"/>
  <c r="K60" i="2"/>
  <c r="K91" i="2" s="1"/>
  <c r="K142" i="2" s="1"/>
  <c r="O86" i="2"/>
  <c r="O137" i="2" s="1"/>
  <c r="O60" i="2"/>
  <c r="O91" i="2" s="1"/>
  <c r="O142" i="2" s="1"/>
  <c r="L188" i="2"/>
  <c r="G109" i="2"/>
  <c r="P145" i="2" s="1"/>
  <c r="G63" i="2"/>
  <c r="G115" i="2" s="1"/>
  <c r="P151" i="2" s="1"/>
  <c r="P152" i="2" s="1"/>
  <c r="G215" i="2" s="1"/>
  <c r="L183" i="2"/>
  <c r="O193" i="2"/>
  <c r="F22" i="8" s="1"/>
  <c r="F18" i="9"/>
  <c r="U18" i="9"/>
  <c r="V19" i="9"/>
  <c r="G19" i="9"/>
  <c r="V23" i="9"/>
  <c r="G23" i="9"/>
  <c r="R27" i="9"/>
  <c r="C27" i="9"/>
  <c r="C30" i="1"/>
  <c r="G32" i="9"/>
  <c r="V32" i="9"/>
  <c r="V38" i="9"/>
  <c r="G38" i="9"/>
  <c r="Q46" i="2"/>
  <c r="G147" i="2"/>
  <c r="B57" i="2"/>
  <c r="L59" i="2"/>
  <c r="L90" i="2" s="1"/>
  <c r="L141" i="2" s="1"/>
  <c r="F21" i="3"/>
  <c r="G16" i="3"/>
  <c r="O192" i="2"/>
  <c r="N81" i="2"/>
  <c r="N179" i="2"/>
  <c r="N185" i="2" s="1"/>
  <c r="D87" i="2"/>
  <c r="D138" i="2" s="1"/>
  <c r="D181" i="2" s="1"/>
  <c r="G198" i="2"/>
  <c r="E5" i="9"/>
  <c r="T5" i="9"/>
  <c r="E6" i="9"/>
  <c r="T6" i="9"/>
  <c r="E15" i="9"/>
  <c r="T15" i="9"/>
  <c r="C18" i="9"/>
  <c r="R18" i="9"/>
  <c r="G18" i="9"/>
  <c r="V18" i="9"/>
  <c r="D27" i="9"/>
  <c r="S27" i="9"/>
  <c r="K32" i="1"/>
  <c r="T32" i="1" s="1"/>
  <c r="M33" i="1"/>
  <c r="M34" i="1" s="1"/>
  <c r="M28" i="1" s="1"/>
  <c r="Q33" i="1"/>
  <c r="Q34" i="1" s="1"/>
  <c r="Q28" i="1" s="1"/>
  <c r="S38" i="9"/>
  <c r="D38" i="9"/>
  <c r="Z37" i="1"/>
  <c r="W38" i="9" s="1"/>
  <c r="M10" i="2"/>
  <c r="Q10" i="2"/>
  <c r="K44" i="2"/>
  <c r="O44" i="2"/>
  <c r="B49" i="2"/>
  <c r="F49" i="2"/>
  <c r="D53" i="2"/>
  <c r="D96" i="2" s="1"/>
  <c r="H53" i="2"/>
  <c r="H96" i="2" s="1"/>
  <c r="M55" i="2"/>
  <c r="C57" i="2"/>
  <c r="M59" i="2"/>
  <c r="M90" i="2" s="1"/>
  <c r="M141" i="2" s="1"/>
  <c r="D16" i="3"/>
  <c r="C21" i="3"/>
  <c r="L192" i="2"/>
  <c r="D62" i="2"/>
  <c r="D114" i="2" s="1"/>
  <c r="M150" i="2" s="1"/>
  <c r="H62" i="2"/>
  <c r="H114" i="2" s="1"/>
  <c r="Q150" i="2" s="1"/>
  <c r="E198" i="2"/>
  <c r="K67" i="2"/>
  <c r="B102" i="2" s="1"/>
  <c r="B153" i="2" s="1"/>
  <c r="O83" i="2"/>
  <c r="O134" i="2" s="1"/>
  <c r="O176" i="2" s="1"/>
  <c r="O179" i="2" s="1"/>
  <c r="O185" i="2" s="1"/>
  <c r="E84" i="2"/>
  <c r="E135" i="2" s="1"/>
  <c r="E178" i="2" s="1"/>
  <c r="P86" i="2"/>
  <c r="P137" i="2" s="1"/>
  <c r="E87" i="2"/>
  <c r="E138" i="2" s="1"/>
  <c r="E181" i="2" s="1"/>
  <c r="B88" i="2"/>
  <c r="B139" i="2" s="1"/>
  <c r="B182" i="2" s="1"/>
  <c r="O88" i="2"/>
  <c r="O139" i="2" s="1"/>
  <c r="O181" i="2" s="1"/>
  <c r="E110" i="2"/>
  <c r="N146" i="2" s="1"/>
  <c r="N189" i="2" s="1"/>
  <c r="F111" i="2"/>
  <c r="O147" i="2" s="1"/>
  <c r="O190" i="2" s="1"/>
  <c r="F17" i="4"/>
  <c r="F33" i="4" s="1"/>
  <c r="F15" i="4"/>
  <c r="F18" i="4"/>
  <c r="F34" i="4" s="1"/>
  <c r="B79" i="4"/>
  <c r="B30" i="4"/>
  <c r="F79" i="4"/>
  <c r="F30" i="4"/>
  <c r="R19" i="9"/>
  <c r="C19" i="9"/>
  <c r="E20" i="9"/>
  <c r="T20" i="9"/>
  <c r="R23" i="9"/>
  <c r="C23" i="9"/>
  <c r="D24" i="9"/>
  <c r="S24" i="9"/>
  <c r="G25" i="9"/>
  <c r="V25" i="9"/>
  <c r="V27" i="9"/>
  <c r="G27" i="9"/>
  <c r="C32" i="9"/>
  <c r="R32" i="9"/>
  <c r="F33" i="9"/>
  <c r="U33" i="9"/>
  <c r="W98" i="9"/>
  <c r="H31" i="8"/>
  <c r="R38" i="9"/>
  <c r="C38" i="9"/>
  <c r="H38" i="2"/>
  <c r="H75" i="2" s="1"/>
  <c r="H126" i="2" s="1"/>
  <c r="H168" i="2" s="1"/>
  <c r="C147" i="2"/>
  <c r="F57" i="2"/>
  <c r="F88" i="2"/>
  <c r="F139" i="2" s="1"/>
  <c r="F182" i="2" s="1"/>
  <c r="E95" i="2"/>
  <c r="E146" i="2" s="1"/>
  <c r="E191" i="2" s="1"/>
  <c r="E192" i="2" s="1"/>
  <c r="F147" i="2"/>
  <c r="F103" i="2"/>
  <c r="F154" i="2" s="1"/>
  <c r="F212" i="2" s="1"/>
  <c r="N192" i="2"/>
  <c r="E21" i="3"/>
  <c r="F16" i="3"/>
  <c r="G4" i="3"/>
  <c r="S4" i="9"/>
  <c r="D4" i="9"/>
  <c r="T4" i="9"/>
  <c r="E4" i="9"/>
  <c r="B5" i="9"/>
  <c r="Q5" i="9"/>
  <c r="F5" i="9"/>
  <c r="U5" i="9"/>
  <c r="Q6" i="9"/>
  <c r="B6" i="9"/>
  <c r="U6" i="9"/>
  <c r="F6" i="9"/>
  <c r="S14" i="9"/>
  <c r="D14" i="9"/>
  <c r="B15" i="9"/>
  <c r="Q15" i="9"/>
  <c r="F15" i="9"/>
  <c r="U15" i="9"/>
  <c r="Q17" i="9"/>
  <c r="B17" i="9"/>
  <c r="S18" i="9"/>
  <c r="D18" i="9"/>
  <c r="E19" i="9"/>
  <c r="T19" i="9"/>
  <c r="R20" i="9"/>
  <c r="C20" i="9"/>
  <c r="V20" i="9"/>
  <c r="G20" i="9"/>
  <c r="E23" i="9"/>
  <c r="T23" i="9"/>
  <c r="Q24" i="9"/>
  <c r="B24" i="9"/>
  <c r="E27" i="9"/>
  <c r="T27" i="9"/>
  <c r="E38" i="9"/>
  <c r="T38" i="9"/>
  <c r="H37" i="2"/>
  <c r="L44" i="2"/>
  <c r="P44" i="2"/>
  <c r="G49" i="2"/>
  <c r="B61" i="9"/>
  <c r="Q61" i="9"/>
  <c r="B199" i="2"/>
  <c r="K212" i="2" s="1"/>
  <c r="M188" i="2"/>
  <c r="Q188" i="2"/>
  <c r="P183" i="2"/>
  <c r="P185" i="2" s="1"/>
  <c r="D57" i="2"/>
  <c r="H57" i="2"/>
  <c r="N59" i="2"/>
  <c r="N90" i="2" s="1"/>
  <c r="N141" i="2" s="1"/>
  <c r="L60" i="2"/>
  <c r="L91" i="2" s="1"/>
  <c r="L142" i="2" s="1"/>
  <c r="Q63" i="2"/>
  <c r="H98" i="2" s="1"/>
  <c r="H149" i="2" s="1"/>
  <c r="H194" i="2" s="1"/>
  <c r="C14" i="15" s="1"/>
  <c r="M67" i="2"/>
  <c r="D102" i="2" s="1"/>
  <c r="D153" i="2" s="1"/>
  <c r="K83" i="2"/>
  <c r="K134" i="2" s="1"/>
  <c r="K176" i="2" s="1"/>
  <c r="K179" i="2" s="1"/>
  <c r="K88" i="2"/>
  <c r="K139" i="2" s="1"/>
  <c r="K181" i="2" s="1"/>
  <c r="K183" i="2" s="1"/>
  <c r="P88" i="2"/>
  <c r="P139" i="2" s="1"/>
  <c r="P181" i="2" s="1"/>
  <c r="C35" i="4"/>
  <c r="C20" i="4"/>
  <c r="B36" i="4"/>
  <c r="B21" i="4"/>
  <c r="T31" i="9"/>
  <c r="E31" i="9"/>
  <c r="B4" i="9"/>
  <c r="Q4" i="9"/>
  <c r="F4" i="9"/>
  <c r="F7" i="9" s="1"/>
  <c r="U4" i="9"/>
  <c r="R5" i="9"/>
  <c r="C5" i="9"/>
  <c r="V5" i="9"/>
  <c r="G5" i="9"/>
  <c r="R6" i="9"/>
  <c r="C6" i="9"/>
  <c r="V6" i="9"/>
  <c r="G6" i="9"/>
  <c r="T14" i="9"/>
  <c r="E14" i="9"/>
  <c r="R15" i="9"/>
  <c r="C15" i="9"/>
  <c r="V15" i="9"/>
  <c r="G15" i="9"/>
  <c r="D16" i="9"/>
  <c r="S16" i="9"/>
  <c r="C17" i="9"/>
  <c r="R17" i="9"/>
  <c r="G17" i="9"/>
  <c r="V17" i="9"/>
  <c r="T18" i="9"/>
  <c r="E18" i="9"/>
  <c r="B19" i="9"/>
  <c r="Q19" i="9"/>
  <c r="F19" i="9"/>
  <c r="U19" i="9"/>
  <c r="D20" i="9"/>
  <c r="S20" i="9"/>
  <c r="B23" i="9"/>
  <c r="Q23" i="9"/>
  <c r="R24" i="9"/>
  <c r="C24" i="9"/>
  <c r="V24" i="9"/>
  <c r="G24" i="9"/>
  <c r="B27" i="9"/>
  <c r="Q27" i="9"/>
  <c r="F27" i="9"/>
  <c r="U27" i="9"/>
  <c r="G28" i="9"/>
  <c r="V28" i="9"/>
  <c r="T31" i="1"/>
  <c r="X31" i="1"/>
  <c r="V34" i="9"/>
  <c r="G34" i="9"/>
  <c r="B38" i="9"/>
  <c r="Q38" i="9"/>
  <c r="F38" i="9"/>
  <c r="U38" i="9"/>
  <c r="D49" i="2"/>
  <c r="N188" i="2"/>
  <c r="E57" i="2"/>
  <c r="L193" i="2"/>
  <c r="C22" i="8" s="1"/>
  <c r="P193" i="2"/>
  <c r="B62" i="2"/>
  <c r="B114" i="2" s="1"/>
  <c r="K150" i="2" s="1"/>
  <c r="L67" i="2"/>
  <c r="C102" i="2" s="1"/>
  <c r="C153" i="2" s="1"/>
  <c r="P67" i="2"/>
  <c r="G102" i="2" s="1"/>
  <c r="G153" i="2" s="1"/>
  <c r="N67" i="2"/>
  <c r="E102" i="2" s="1"/>
  <c r="E153" i="2" s="1"/>
  <c r="F198" i="2"/>
  <c r="F199" i="2" s="1"/>
  <c r="M192" i="2"/>
  <c r="E16" i="3"/>
  <c r="D21" i="3"/>
  <c r="K192" i="2"/>
  <c r="K193" i="2" s="1"/>
  <c r="E93" i="4"/>
  <c r="G18" i="4"/>
  <c r="G34" i="4" s="1"/>
  <c r="G16" i="4"/>
  <c r="G32" i="4" s="1"/>
  <c r="C79" i="4"/>
  <c r="G17" i="4"/>
  <c r="G33" i="4" s="1"/>
  <c r="D35" i="4"/>
  <c r="D20" i="4"/>
  <c r="E36" i="4"/>
  <c r="E21" i="4"/>
  <c r="C30" i="4"/>
  <c r="H27" i="6"/>
  <c r="H5" i="6"/>
  <c r="F20" i="4"/>
  <c r="G27" i="6"/>
  <c r="G5" i="6"/>
  <c r="G15" i="4"/>
  <c r="G31" i="4" s="1"/>
  <c r="G35" i="4"/>
  <c r="G20" i="4"/>
  <c r="G30" i="4"/>
  <c r="C103" i="4"/>
  <c r="B75" i="4"/>
  <c r="B85" i="4" s="1"/>
  <c r="F75" i="4"/>
  <c r="F85" i="4" s="1"/>
  <c r="F11" i="6"/>
  <c r="F14" i="6" s="1"/>
  <c r="B11" i="6"/>
  <c r="B14" i="6" s="1"/>
  <c r="B5" i="6" s="1"/>
  <c r="R6" i="6" s="1"/>
  <c r="D11" i="6"/>
  <c r="D14" i="6" s="1"/>
  <c r="C11" i="6"/>
  <c r="C14" i="6" s="1"/>
  <c r="E11" i="6"/>
  <c r="E14" i="6" s="1"/>
  <c r="O10" i="13"/>
  <c r="O16" i="13" s="1"/>
  <c r="G20" i="13"/>
  <c r="G21" i="13" s="1"/>
  <c r="G16" i="13" s="1"/>
  <c r="G40" i="13"/>
  <c r="K13" i="13"/>
  <c r="K21" i="13" s="1"/>
  <c r="K24" i="13" s="1"/>
  <c r="K27" i="13" s="1"/>
  <c r="G11" i="13"/>
  <c r="G12" i="13" s="1"/>
  <c r="C11" i="13"/>
  <c r="C15" i="13" s="1"/>
  <c r="C18" i="13" s="1"/>
  <c r="O25" i="13"/>
  <c r="O20" i="13" s="1"/>
  <c r="F37" i="13"/>
  <c r="F40" i="13" s="1"/>
  <c r="C48" i="13"/>
  <c r="C50" i="13" s="1"/>
  <c r="Q6" i="8" s="1"/>
  <c r="G38" i="13"/>
  <c r="G26" i="15"/>
  <c r="F12" i="13"/>
  <c r="N10" i="13"/>
  <c r="N15" i="13"/>
  <c r="K20" i="13"/>
  <c r="O40" i="13"/>
  <c r="C26" i="15"/>
  <c r="D23" i="15"/>
  <c r="N39" i="13"/>
  <c r="N42" i="13" s="1"/>
  <c r="F26" i="15"/>
  <c r="O39" i="13"/>
  <c r="B36" i="15"/>
  <c r="B42" i="13"/>
  <c r="S7" i="9" l="1"/>
  <c r="C32" i="1"/>
  <c r="C34" i="1" s="1"/>
  <c r="C2" i="4" s="1"/>
  <c r="C4" i="4" s="1"/>
  <c r="Q22" i="1"/>
  <c r="E7" i="9"/>
  <c r="E11" i="9" s="1"/>
  <c r="E46" i="9" s="1"/>
  <c r="B7" i="9"/>
  <c r="B11" i="9" s="1"/>
  <c r="B46" i="9" s="1"/>
  <c r="Q77" i="9"/>
  <c r="D7" i="9"/>
  <c r="C14" i="14"/>
  <c r="C13" i="14"/>
  <c r="B14" i="14"/>
  <c r="B13" i="14"/>
  <c r="D13" i="14"/>
  <c r="D14" i="14"/>
  <c r="D77" i="15"/>
  <c r="B11" i="15"/>
  <c r="C13" i="15"/>
  <c r="B15" i="15"/>
  <c r="B22" i="8"/>
  <c r="K194" i="2"/>
  <c r="X7" i="9"/>
  <c r="V67" i="9"/>
  <c r="G67" i="9"/>
  <c r="P195" i="2"/>
  <c r="P215" i="2" s="1"/>
  <c r="T61" i="9"/>
  <c r="E61" i="9"/>
  <c r="E199" i="2"/>
  <c r="P211" i="2"/>
  <c r="O212" i="2"/>
  <c r="G14" i="13"/>
  <c r="D26" i="15"/>
  <c r="E23" i="15"/>
  <c r="E22" i="4"/>
  <c r="E37" i="4"/>
  <c r="H49" i="2"/>
  <c r="H74" i="2"/>
  <c r="H125" i="2" s="1"/>
  <c r="H166" i="2" s="1"/>
  <c r="H180" i="2" s="1"/>
  <c r="F109" i="2"/>
  <c r="O145" i="2" s="1"/>
  <c r="F63" i="2"/>
  <c r="F115" i="2" s="1"/>
  <c r="O151" i="2" s="1"/>
  <c r="E67" i="9"/>
  <c r="T67" i="9"/>
  <c r="G103" i="2"/>
  <c r="G154" i="2" s="1"/>
  <c r="G212" i="2" s="1"/>
  <c r="C45" i="1"/>
  <c r="G38" i="8"/>
  <c r="Y10" i="1"/>
  <c r="C6" i="15"/>
  <c r="W66" i="9"/>
  <c r="B45" i="1"/>
  <c r="B34" i="1"/>
  <c r="B2" i="4" s="1"/>
  <c r="B4" i="4" s="1"/>
  <c r="W21" i="9"/>
  <c r="Z43" i="1"/>
  <c r="C137" i="2"/>
  <c r="C92" i="2"/>
  <c r="W35" i="9"/>
  <c r="H9" i="3"/>
  <c r="W94" i="9" s="1"/>
  <c r="Z35" i="1"/>
  <c r="C21" i="9"/>
  <c r="R21" i="9"/>
  <c r="U43" i="1"/>
  <c r="O42" i="13"/>
  <c r="E27" i="6"/>
  <c r="E5" i="6"/>
  <c r="U6" i="6" s="1"/>
  <c r="G36" i="4"/>
  <c r="G21" i="4"/>
  <c r="W6" i="6"/>
  <c r="X6" i="6"/>
  <c r="D66" i="9"/>
  <c r="S66" i="9"/>
  <c r="E63" i="2"/>
  <c r="E109" i="2"/>
  <c r="N145" i="2" s="1"/>
  <c r="U7" i="9"/>
  <c r="Q193" i="2"/>
  <c r="B37" i="4"/>
  <c r="B22" i="4"/>
  <c r="D63" i="2"/>
  <c r="D115" i="2" s="1"/>
  <c r="M151" i="2" s="1"/>
  <c r="D109" i="2"/>
  <c r="M145" i="2" s="1"/>
  <c r="B63" i="9"/>
  <c r="Q63" i="9"/>
  <c r="G65" i="2"/>
  <c r="G86" i="2"/>
  <c r="G89" i="9"/>
  <c r="V89" i="9"/>
  <c r="G29" i="8"/>
  <c r="Q67" i="2"/>
  <c r="H102" i="2" s="1"/>
  <c r="H153" i="2" s="1"/>
  <c r="D147" i="2"/>
  <c r="D103" i="2"/>
  <c r="D154" i="2" s="1"/>
  <c r="D212" i="2" s="1"/>
  <c r="K81" i="2"/>
  <c r="K69" i="2"/>
  <c r="B33" i="9"/>
  <c r="Q33" i="9"/>
  <c r="N132" i="2"/>
  <c r="O152" i="2"/>
  <c r="F215" i="2" s="1"/>
  <c r="E103" i="2"/>
  <c r="E154" i="2" s="1"/>
  <c r="E212" i="2" s="1"/>
  <c r="B21" i="9"/>
  <c r="Q21" i="9"/>
  <c r="T43" i="1"/>
  <c r="D38" i="8"/>
  <c r="V10" i="1"/>
  <c r="V7" i="9"/>
  <c r="W45" i="9" s="1"/>
  <c r="C7" i="9"/>
  <c r="G13" i="9"/>
  <c r="V13" i="9"/>
  <c r="Q44" i="1"/>
  <c r="Q26" i="1"/>
  <c r="T21" i="1"/>
  <c r="M193" i="2"/>
  <c r="M194" i="2" s="1"/>
  <c r="Q185" i="2"/>
  <c r="O22" i="1"/>
  <c r="O42" i="1"/>
  <c r="N26" i="1"/>
  <c r="N44" i="1"/>
  <c r="Q62" i="9"/>
  <c r="Q78" i="9" s="1"/>
  <c r="B62" i="9"/>
  <c r="B78" i="9" s="1"/>
  <c r="B33" i="8"/>
  <c r="K13" i="8" s="1"/>
  <c r="B23" i="8"/>
  <c r="U11" i="9"/>
  <c r="U77" i="9" s="1"/>
  <c r="X21" i="1"/>
  <c r="X42" i="1"/>
  <c r="H109" i="2"/>
  <c r="Q145" i="2" s="1"/>
  <c r="H63" i="2"/>
  <c r="H115" i="2" s="1"/>
  <c r="Q151" i="2" s="1"/>
  <c r="F67" i="9"/>
  <c r="U67" i="9"/>
  <c r="D61" i="9"/>
  <c r="S61" i="9"/>
  <c r="D22" i="8"/>
  <c r="D24" i="8" s="1"/>
  <c r="D4" i="8" s="1"/>
  <c r="D199" i="2"/>
  <c r="D21" i="9"/>
  <c r="S21" i="9"/>
  <c r="V43" i="1"/>
  <c r="D67" i="9"/>
  <c r="S67" i="9"/>
  <c r="Q60" i="2"/>
  <c r="Q91" i="2" s="1"/>
  <c r="Q142" i="2" s="1"/>
  <c r="Q152" i="2" s="1"/>
  <c r="H215" i="2" s="1"/>
  <c r="Q86" i="2"/>
  <c r="Q137" i="2" s="1"/>
  <c r="F5" i="6"/>
  <c r="V6" i="6" s="1"/>
  <c r="F27" i="6"/>
  <c r="D36" i="4"/>
  <c r="D21" i="4"/>
  <c r="Q66" i="9"/>
  <c r="B66" i="9"/>
  <c r="U62" i="9"/>
  <c r="U78" i="9" s="1"/>
  <c r="F62" i="9"/>
  <c r="F33" i="8"/>
  <c r="O13" i="8" s="1"/>
  <c r="F23" i="8"/>
  <c r="F24" i="8" s="1"/>
  <c r="F4" i="8" s="1"/>
  <c r="F32" i="9"/>
  <c r="U32" i="9"/>
  <c r="F11" i="9"/>
  <c r="F46" i="9" s="1"/>
  <c r="P81" i="2"/>
  <c r="P69" i="2"/>
  <c r="C103" i="2"/>
  <c r="C154" i="2" s="1"/>
  <c r="C212" i="2" s="1"/>
  <c r="N193" i="2"/>
  <c r="E22" i="8" s="1"/>
  <c r="C66" i="9"/>
  <c r="R66" i="9"/>
  <c r="C109" i="2"/>
  <c r="L145" i="2" s="1"/>
  <c r="C63" i="2"/>
  <c r="F86" i="2"/>
  <c r="F65" i="2"/>
  <c r="Q44" i="2"/>
  <c r="Q31" i="2"/>
  <c r="G62" i="9"/>
  <c r="V62" i="9"/>
  <c r="G33" i="8"/>
  <c r="P13" i="8" s="1"/>
  <c r="G23" i="8"/>
  <c r="G24" i="8" s="1"/>
  <c r="G4" i="8" s="1"/>
  <c r="H198" i="2"/>
  <c r="H87" i="2"/>
  <c r="H138" i="2" s="1"/>
  <c r="H181" i="2" s="1"/>
  <c r="H187" i="2" s="1"/>
  <c r="Q50" i="2"/>
  <c r="H91" i="2" s="1"/>
  <c r="H142" i="2" s="1"/>
  <c r="G49" i="9"/>
  <c r="G35" i="9"/>
  <c r="V35" i="9"/>
  <c r="G9" i="3"/>
  <c r="Y35" i="1"/>
  <c r="G7" i="9"/>
  <c r="O194" i="2"/>
  <c r="C62" i="9"/>
  <c r="R62" i="9"/>
  <c r="C33" i="8"/>
  <c r="L13" i="8" s="1"/>
  <c r="C23" i="8"/>
  <c r="C24" i="8" s="1"/>
  <c r="C4" i="8" s="1"/>
  <c r="E137" i="2"/>
  <c r="E92" i="2"/>
  <c r="K22" i="1"/>
  <c r="K42" i="1"/>
  <c r="L22" i="1"/>
  <c r="G66" i="9"/>
  <c r="V66" i="9"/>
  <c r="R33" i="9"/>
  <c r="C33" i="9"/>
  <c r="E12" i="9"/>
  <c r="T12" i="9"/>
  <c r="W20" i="1"/>
  <c r="W21" i="1" s="1"/>
  <c r="F40" i="8"/>
  <c r="F6" i="8" s="1"/>
  <c r="F14" i="13"/>
  <c r="D27" i="6"/>
  <c r="D5" i="6"/>
  <c r="T6" i="6" s="1"/>
  <c r="B77" i="9"/>
  <c r="E66" i="9"/>
  <c r="T66" i="9"/>
  <c r="H147" i="2"/>
  <c r="H103" i="2"/>
  <c r="H154" i="2" s="1"/>
  <c r="H212" i="2" s="1"/>
  <c r="O81" i="2"/>
  <c r="O69" i="2"/>
  <c r="L194" i="2"/>
  <c r="R7" i="9"/>
  <c r="G68" i="9"/>
  <c r="V68" i="9"/>
  <c r="G21" i="9"/>
  <c r="V21" i="9"/>
  <c r="Y43" i="1"/>
  <c r="O18" i="13"/>
  <c r="F36" i="4"/>
  <c r="F21" i="4"/>
  <c r="N16" i="13"/>
  <c r="C27" i="6"/>
  <c r="C5" i="6"/>
  <c r="S6" i="6" s="1"/>
  <c r="F93" i="4"/>
  <c r="D86" i="2"/>
  <c r="B32" i="9"/>
  <c r="Q32" i="9"/>
  <c r="Q7" i="9"/>
  <c r="Q46" i="9" s="1"/>
  <c r="C21" i="4"/>
  <c r="C36" i="4"/>
  <c r="K185" i="2"/>
  <c r="Q194" i="2"/>
  <c r="W68" i="9" s="1"/>
  <c r="L81" i="2"/>
  <c r="L69" i="2"/>
  <c r="T7" i="9"/>
  <c r="T45" i="9" s="1"/>
  <c r="F31" i="4"/>
  <c r="E62" i="9"/>
  <c r="T62" i="9"/>
  <c r="E33" i="8"/>
  <c r="N13" i="8" s="1"/>
  <c r="E23" i="8"/>
  <c r="M86" i="2"/>
  <c r="M137" i="2" s="1"/>
  <c r="M60" i="2"/>
  <c r="M91" i="2" s="1"/>
  <c r="M142" i="2" s="1"/>
  <c r="M152" i="2" s="1"/>
  <c r="D215" i="2" s="1"/>
  <c r="B86" i="2"/>
  <c r="M44" i="2"/>
  <c r="M31" i="2"/>
  <c r="U66" i="9"/>
  <c r="F66" i="9"/>
  <c r="B109" i="2"/>
  <c r="K145" i="2" s="1"/>
  <c r="B63" i="2"/>
  <c r="B115" i="2" s="1"/>
  <c r="K151" i="2" s="1"/>
  <c r="K152" i="2" s="1"/>
  <c r="B215" i="2" s="1"/>
  <c r="V49" i="9"/>
  <c r="W61" i="9"/>
  <c r="H22" i="8"/>
  <c r="H199" i="2"/>
  <c r="T11" i="9"/>
  <c r="W42" i="1"/>
  <c r="H38" i="8"/>
  <c r="Z10" i="1"/>
  <c r="C38" i="8"/>
  <c r="U10" i="1"/>
  <c r="C199" i="2"/>
  <c r="K33" i="1"/>
  <c r="K34" i="1" s="1"/>
  <c r="K28" i="1" s="1"/>
  <c r="C13" i="9"/>
  <c r="R13" i="9"/>
  <c r="P22" i="1"/>
  <c r="B103" i="2"/>
  <c r="B154" i="2" s="1"/>
  <c r="B212" i="2" s="1"/>
  <c r="V59" i="9"/>
  <c r="V60" i="9" s="1"/>
  <c r="G59" i="9"/>
  <c r="G47" i="8"/>
  <c r="W65" i="9"/>
  <c r="H48" i="8"/>
  <c r="H54" i="8" s="1"/>
  <c r="X9" i="6"/>
  <c r="H46" i="6"/>
  <c r="F45" i="1"/>
  <c r="F34" i="1"/>
  <c r="F2" i="4" s="1"/>
  <c r="F4" i="4" s="1"/>
  <c r="F21" i="9"/>
  <c r="U21" i="9"/>
  <c r="X43" i="1"/>
  <c r="G199" i="2"/>
  <c r="L185" i="2"/>
  <c r="C31" i="2"/>
  <c r="W89" i="9"/>
  <c r="H29" i="8"/>
  <c r="N60" i="2"/>
  <c r="M44" i="1"/>
  <c r="M26" i="1"/>
  <c r="E45" i="9" l="1"/>
  <c r="F45" i="9"/>
  <c r="D45" i="9"/>
  <c r="R45" i="9"/>
  <c r="D11" i="9"/>
  <c r="D77" i="9" s="1"/>
  <c r="E78" i="9"/>
  <c r="E14" i="14"/>
  <c r="G14" i="14" s="1"/>
  <c r="C19" i="14" s="1"/>
  <c r="E13" i="14"/>
  <c r="G13" i="14" s="1"/>
  <c r="C18" i="14" s="1"/>
  <c r="F13" i="14"/>
  <c r="B18" i="14" s="1"/>
  <c r="F14" i="14"/>
  <c r="B19" i="14" s="1"/>
  <c r="D19" i="14" s="1"/>
  <c r="E26" i="15"/>
  <c r="C4" i="15" s="1"/>
  <c r="C11" i="15" s="1"/>
  <c r="E24" i="8"/>
  <c r="E4" i="8" s="1"/>
  <c r="S68" i="9"/>
  <c r="S69" i="9" s="1"/>
  <c r="D68" i="9"/>
  <c r="M195" i="2"/>
  <c r="M215" i="2" s="1"/>
  <c r="R11" i="9"/>
  <c r="R78" i="9" s="1"/>
  <c r="U21" i="1"/>
  <c r="U42" i="1"/>
  <c r="E22" i="9"/>
  <c r="E47" i="9" s="1"/>
  <c r="E48" i="9" s="1"/>
  <c r="T22" i="9"/>
  <c r="T47" i="9" s="1"/>
  <c r="T48" i="9" s="1"/>
  <c r="W44" i="1"/>
  <c r="Q212" i="2"/>
  <c r="V101" i="9"/>
  <c r="B137" i="2"/>
  <c r="B92" i="2"/>
  <c r="W101" i="9"/>
  <c r="H7" i="9"/>
  <c r="G11" i="9"/>
  <c r="G80" i="9" s="1"/>
  <c r="G45" i="9"/>
  <c r="W59" i="9"/>
  <c r="H47" i="8"/>
  <c r="S101" i="9"/>
  <c r="P93" i="2"/>
  <c r="P132" i="2"/>
  <c r="R101" i="9"/>
  <c r="R67" i="9"/>
  <c r="C67" i="9"/>
  <c r="L195" i="2"/>
  <c r="L215" i="2" s="1"/>
  <c r="W11" i="9"/>
  <c r="W46" i="9" s="1"/>
  <c r="Z21" i="1"/>
  <c r="Z42" i="1"/>
  <c r="T46" i="9"/>
  <c r="M32" i="2"/>
  <c r="D31" i="2"/>
  <c r="T78" i="9"/>
  <c r="L132" i="2"/>
  <c r="L93" i="2"/>
  <c r="C37" i="4"/>
  <c r="C22" i="4"/>
  <c r="O132" i="2"/>
  <c r="O93" i="2"/>
  <c r="F102" i="9"/>
  <c r="K26" i="1"/>
  <c r="K44" i="1"/>
  <c r="V94" i="9"/>
  <c r="G94" i="9"/>
  <c r="Q32" i="2"/>
  <c r="H31" i="2"/>
  <c r="C115" i="2"/>
  <c r="L151" i="2" s="1"/>
  <c r="L152" i="2" s="1"/>
  <c r="C215" i="2" s="1"/>
  <c r="C65" i="2"/>
  <c r="N194" i="2"/>
  <c r="U22" i="9"/>
  <c r="U47" i="9" s="1"/>
  <c r="U48" i="9" s="1"/>
  <c r="F22" i="9"/>
  <c r="F47" i="9" s="1"/>
  <c r="F48" i="9" s="1"/>
  <c r="X44" i="1"/>
  <c r="O26" i="1"/>
  <c r="O44" i="1"/>
  <c r="Q22" i="9"/>
  <c r="Q47" i="9" s="1"/>
  <c r="B22" i="9"/>
  <c r="B47" i="9" s="1"/>
  <c r="T44" i="1"/>
  <c r="S11" i="9"/>
  <c r="S77" i="9" s="1"/>
  <c r="V21" i="1"/>
  <c r="V42" i="1"/>
  <c r="K132" i="2"/>
  <c r="K93" i="2"/>
  <c r="U45" i="9"/>
  <c r="E102" i="9"/>
  <c r="G37" i="4"/>
  <c r="G22" i="4"/>
  <c r="X101" i="9"/>
  <c r="H86" i="2"/>
  <c r="H65" i="2"/>
  <c r="E38" i="4"/>
  <c r="E23" i="4"/>
  <c r="M29" i="1"/>
  <c r="M45" i="1"/>
  <c r="G40" i="8"/>
  <c r="G6" i="8" s="1"/>
  <c r="P212" i="2"/>
  <c r="P44" i="1"/>
  <c r="P26" i="1"/>
  <c r="L212" i="2"/>
  <c r="H40" i="8"/>
  <c r="H6" i="8" s="1"/>
  <c r="G102" i="9"/>
  <c r="M81" i="2"/>
  <c r="M69" i="2"/>
  <c r="D65" i="2"/>
  <c r="O21" i="13"/>
  <c r="F77" i="9"/>
  <c r="C68" i="9"/>
  <c r="R68" i="9"/>
  <c r="L44" i="1"/>
  <c r="L26" i="1"/>
  <c r="E143" i="2"/>
  <c r="E211" i="2" s="1"/>
  <c r="E105" i="2"/>
  <c r="F68" i="9"/>
  <c r="U68" i="9"/>
  <c r="U69" i="9" s="1"/>
  <c r="Q81" i="2"/>
  <c r="Q69" i="2"/>
  <c r="C102" i="9"/>
  <c r="U46" i="9"/>
  <c r="Q29" i="1"/>
  <c r="Q45" i="1"/>
  <c r="S45" i="9"/>
  <c r="B38" i="4"/>
  <c r="B23" i="4"/>
  <c r="W36" i="9"/>
  <c r="H10" i="3"/>
  <c r="W95" i="9" s="1"/>
  <c r="Z28" i="1"/>
  <c r="W29" i="9" s="1"/>
  <c r="C105" i="2"/>
  <c r="C143" i="2"/>
  <c r="C211" i="2" s="1"/>
  <c r="E40" i="8"/>
  <c r="E6" i="8" s="1"/>
  <c r="N212" i="2"/>
  <c r="G69" i="9"/>
  <c r="G18" i="6"/>
  <c r="G19" i="6" s="1"/>
  <c r="G21" i="6" s="1"/>
  <c r="G22" i="6" s="1"/>
  <c r="G6" i="6" s="1"/>
  <c r="B67" i="9"/>
  <c r="Q67" i="9"/>
  <c r="K195" i="2"/>
  <c r="K215" i="2" s="1"/>
  <c r="B18" i="6" s="1"/>
  <c r="B19" i="6" s="1"/>
  <c r="B21" i="6" s="1"/>
  <c r="B22" i="6" s="1"/>
  <c r="B6" i="6" s="1"/>
  <c r="D92" i="2"/>
  <c r="D137" i="2"/>
  <c r="N45" i="1"/>
  <c r="N29" i="1"/>
  <c r="C15" i="15"/>
  <c r="W67" i="9"/>
  <c r="Q195" i="2"/>
  <c r="C45" i="9"/>
  <c r="C11" i="9"/>
  <c r="C78" i="9" s="1"/>
  <c r="E115" i="2"/>
  <c r="N151" i="2" s="1"/>
  <c r="E65" i="2"/>
  <c r="G17" i="13"/>
  <c r="G60" i="9"/>
  <c r="N91" i="2"/>
  <c r="N69" i="2"/>
  <c r="G55" i="8"/>
  <c r="G67" i="8"/>
  <c r="C40" i="8"/>
  <c r="C6" i="8" s="1"/>
  <c r="B65" i="2"/>
  <c r="N18" i="13"/>
  <c r="F37" i="4"/>
  <c r="F22" i="4"/>
  <c r="U101" i="9"/>
  <c r="F17" i="13"/>
  <c r="T21" i="9"/>
  <c r="E21" i="9"/>
  <c r="W43" i="1"/>
  <c r="H102" i="9"/>
  <c r="G36" i="9"/>
  <c r="V36" i="9"/>
  <c r="G10" i="3"/>
  <c r="Y28" i="1"/>
  <c r="G50" i="9"/>
  <c r="W62" i="9"/>
  <c r="H23" i="8"/>
  <c r="H24" i="8" s="1"/>
  <c r="H4" i="8" s="1"/>
  <c r="H33" i="8"/>
  <c r="Q13" i="8" s="1"/>
  <c r="G78" i="9"/>
  <c r="F137" i="2"/>
  <c r="F92" i="2"/>
  <c r="D102" i="9"/>
  <c r="F78" i="9"/>
  <c r="D37" i="4"/>
  <c r="D22" i="4"/>
  <c r="D40" i="8"/>
  <c r="D6" i="8" s="1"/>
  <c r="M212" i="2"/>
  <c r="O195" i="2"/>
  <c r="O215" i="2" s="1"/>
  <c r="G8" i="3" s="1"/>
  <c r="V45" i="9"/>
  <c r="E214" i="2"/>
  <c r="G137" i="2"/>
  <c r="G92" i="2"/>
  <c r="T101" i="9"/>
  <c r="V11" i="9"/>
  <c r="V78" i="9" s="1"/>
  <c r="Y21" i="1"/>
  <c r="Y42" i="1"/>
  <c r="W58" i="9"/>
  <c r="H188" i="2"/>
  <c r="G201" i="2"/>
  <c r="P213" i="2" s="1"/>
  <c r="E77" i="9"/>
  <c r="V69" i="9"/>
  <c r="V50" i="9" s="1"/>
  <c r="B68" i="9"/>
  <c r="Q68" i="9"/>
  <c r="K201" i="2"/>
  <c r="F63" i="9"/>
  <c r="U63" i="9"/>
  <c r="F5" i="3"/>
  <c r="T77" i="9"/>
  <c r="Y7" i="9"/>
  <c r="B24" i="8"/>
  <c r="B4" i="8" s="1"/>
  <c r="AD78" i="9" l="1"/>
  <c r="AD45" i="9"/>
  <c r="M45" i="9"/>
  <c r="AC45" i="9"/>
  <c r="D46" i="9"/>
  <c r="D78" i="9"/>
  <c r="M78" i="9" s="1"/>
  <c r="W78" i="9" s="1"/>
  <c r="D18" i="14"/>
  <c r="E18" i="14"/>
  <c r="E19" i="14"/>
  <c r="C16" i="15"/>
  <c r="G93" i="9"/>
  <c r="V93" i="9"/>
  <c r="C156" i="2"/>
  <c r="C213" i="2" s="1"/>
  <c r="C117" i="2"/>
  <c r="E156" i="2"/>
  <c r="E213" i="2" s="1"/>
  <c r="E117" i="2"/>
  <c r="M93" i="2"/>
  <c r="M132" i="2"/>
  <c r="R63" i="9"/>
  <c r="C63" i="9"/>
  <c r="C5" i="3"/>
  <c r="V80" i="9"/>
  <c r="O45" i="1"/>
  <c r="O29" i="1"/>
  <c r="E68" i="9"/>
  <c r="T68" i="9"/>
  <c r="N195" i="2"/>
  <c r="N215" i="2" s="1"/>
  <c r="K45" i="1"/>
  <c r="K29" i="1"/>
  <c r="W22" i="9"/>
  <c r="W47" i="9" s="1"/>
  <c r="W48" i="9" s="1"/>
  <c r="Z25" i="1"/>
  <c r="Z44" i="1"/>
  <c r="B143" i="2"/>
  <c r="B211" i="2" s="1"/>
  <c r="B105" i="2"/>
  <c r="W63" i="9"/>
  <c r="H5" i="3"/>
  <c r="R46" i="9"/>
  <c r="R77" i="9"/>
  <c r="D69" i="9"/>
  <c r="D18" i="6"/>
  <c r="D19" i="6" s="1"/>
  <c r="D21" i="6" s="1"/>
  <c r="D22" i="6" s="1"/>
  <c r="D6" i="6" s="1"/>
  <c r="D8" i="3"/>
  <c r="W14" i="6"/>
  <c r="G34" i="6"/>
  <c r="B39" i="4"/>
  <c r="B24" i="4"/>
  <c r="Q93" i="2"/>
  <c r="Q132" i="2"/>
  <c r="M35" i="1"/>
  <c r="M46" i="1"/>
  <c r="D22" i="9"/>
  <c r="D47" i="9" s="1"/>
  <c r="D48" i="9" s="1"/>
  <c r="S22" i="9"/>
  <c r="S47" i="9" s="1"/>
  <c r="S48" i="9" s="1"/>
  <c r="V44" i="1"/>
  <c r="B48" i="9"/>
  <c r="C69" i="9"/>
  <c r="C18" i="6"/>
  <c r="C19" i="6" s="1"/>
  <c r="C21" i="6" s="1"/>
  <c r="C22" i="6" s="1"/>
  <c r="C6" i="6" s="1"/>
  <c r="C8" i="3"/>
  <c r="P154" i="2"/>
  <c r="G216" i="2" s="1"/>
  <c r="G214" i="2"/>
  <c r="G68" i="8"/>
  <c r="G69" i="8" s="1"/>
  <c r="W17" i="6"/>
  <c r="G143" i="2"/>
  <c r="G211" i="2" s="1"/>
  <c r="G105" i="2"/>
  <c r="Q215" i="2"/>
  <c r="Q197" i="2"/>
  <c r="Q216" i="2" s="1"/>
  <c r="F69" i="9"/>
  <c r="F18" i="6"/>
  <c r="F19" i="6" s="1"/>
  <c r="F21" i="6" s="1"/>
  <c r="F22" i="6" s="1"/>
  <c r="F6" i="6" s="1"/>
  <c r="F8" i="3"/>
  <c r="N142" i="2"/>
  <c r="N152" i="2" s="1"/>
  <c r="N93" i="2"/>
  <c r="W69" i="9"/>
  <c r="Q211" i="2"/>
  <c r="H6" i="3" s="1"/>
  <c r="W91" i="9" s="1"/>
  <c r="H201" i="2"/>
  <c r="Q213" i="2" s="1"/>
  <c r="V46" i="9"/>
  <c r="V77" i="9"/>
  <c r="V79" i="9"/>
  <c r="D63" i="9"/>
  <c r="S63" i="9"/>
  <c r="D5" i="3"/>
  <c r="F143" i="2"/>
  <c r="F211" i="2" s="1"/>
  <c r="F105" i="2"/>
  <c r="V95" i="9"/>
  <c r="G95" i="9"/>
  <c r="F38" i="4"/>
  <c r="F23" i="4"/>
  <c r="G22" i="13"/>
  <c r="C46" i="9"/>
  <c r="C77" i="9"/>
  <c r="B69" i="9"/>
  <c r="B16" i="11"/>
  <c r="B33" i="11" s="1"/>
  <c r="L45" i="1"/>
  <c r="L29" i="1"/>
  <c r="P45" i="1"/>
  <c r="P29" i="1"/>
  <c r="V63" i="9"/>
  <c r="G63" i="9"/>
  <c r="G64" i="9" s="1"/>
  <c r="G5" i="3"/>
  <c r="H92" i="2"/>
  <c r="H137" i="2"/>
  <c r="S46" i="9"/>
  <c r="S78" i="9"/>
  <c r="Q48" i="9"/>
  <c r="O154" i="2"/>
  <c r="F216" i="2" s="1"/>
  <c r="F214" i="2"/>
  <c r="L154" i="2"/>
  <c r="C216" i="2" s="1"/>
  <c r="C214" i="2"/>
  <c r="H67" i="8"/>
  <c r="H49" i="8"/>
  <c r="H8" i="8" s="1"/>
  <c r="Q5" i="8" s="1"/>
  <c r="H55" i="8"/>
  <c r="H56" i="8" s="1"/>
  <c r="H9" i="8" s="1"/>
  <c r="G46" i="9"/>
  <c r="G79" i="9"/>
  <c r="G77" i="9"/>
  <c r="H77" i="9" s="1"/>
  <c r="Z7" i="9"/>
  <c r="N21" i="13"/>
  <c r="G22" i="9"/>
  <c r="G47" i="9" s="1"/>
  <c r="G48" i="9" s="1"/>
  <c r="V22" i="9"/>
  <c r="V47" i="9" s="1"/>
  <c r="V48" i="9" s="1"/>
  <c r="Y25" i="1"/>
  <c r="Y44" i="1"/>
  <c r="D38" i="4"/>
  <c r="D23" i="4"/>
  <c r="V29" i="9"/>
  <c r="G29" i="9"/>
  <c r="Q69" i="9"/>
  <c r="F90" i="9"/>
  <c r="U90" i="9"/>
  <c r="F30" i="8"/>
  <c r="W60" i="9"/>
  <c r="W49" i="9"/>
  <c r="F22" i="13"/>
  <c r="N46" i="1"/>
  <c r="N35" i="1"/>
  <c r="D143" i="2"/>
  <c r="D211" i="2" s="1"/>
  <c r="D105" i="2"/>
  <c r="E63" i="9"/>
  <c r="T63" i="9"/>
  <c r="E5" i="3"/>
  <c r="Q46" i="1"/>
  <c r="Q35" i="1"/>
  <c r="O26" i="13"/>
  <c r="E39" i="4"/>
  <c r="E24" i="4"/>
  <c r="G23" i="4"/>
  <c r="G38" i="4"/>
  <c r="K154" i="2"/>
  <c r="B216" i="2" s="1"/>
  <c r="B214" i="2"/>
  <c r="C38" i="4"/>
  <c r="C23" i="4"/>
  <c r="R69" i="9"/>
  <c r="H11" i="9"/>
  <c r="I7" i="9"/>
  <c r="C22" i="9"/>
  <c r="C47" i="9" s="1"/>
  <c r="C48" i="9" s="1"/>
  <c r="R22" i="9"/>
  <c r="R47" i="9" s="1"/>
  <c r="R48" i="9" s="1"/>
  <c r="U44" i="1"/>
  <c r="AD48" i="9" l="1"/>
  <c r="AD77" i="9"/>
  <c r="AD47" i="9"/>
  <c r="AD46" i="9"/>
  <c r="W64" i="9"/>
  <c r="W81" i="9" s="1"/>
  <c r="E20" i="14"/>
  <c r="C26" i="14" s="1"/>
  <c r="D20" i="14"/>
  <c r="B26" i="14" s="1"/>
  <c r="D156" i="2"/>
  <c r="D213" i="2" s="1"/>
  <c r="D117" i="2"/>
  <c r="G26" i="9"/>
  <c r="V26" i="9"/>
  <c r="G3" i="7"/>
  <c r="G60" i="8"/>
  <c r="G62" i="8" s="1"/>
  <c r="G10" i="8" s="1"/>
  <c r="Y45" i="1"/>
  <c r="Y29" i="1"/>
  <c r="N26" i="13"/>
  <c r="AA7" i="9"/>
  <c r="V64" i="9"/>
  <c r="L35" i="1"/>
  <c r="L46" i="1"/>
  <c r="M77" i="9"/>
  <c r="W77" i="9" s="1"/>
  <c r="S90" i="9"/>
  <c r="D90" i="9"/>
  <c r="D30" i="8"/>
  <c r="J16" i="11"/>
  <c r="J33" i="11"/>
  <c r="W70" i="9"/>
  <c r="W50" i="9"/>
  <c r="F93" i="9"/>
  <c r="U93" i="9"/>
  <c r="H18" i="6"/>
  <c r="H19" i="6" s="1"/>
  <c r="H21" i="6" s="1"/>
  <c r="H22" i="6" s="1"/>
  <c r="H6" i="6" s="1"/>
  <c r="H8" i="3"/>
  <c r="W93" i="9" s="1"/>
  <c r="M48" i="9"/>
  <c r="M37" i="1"/>
  <c r="M48" i="1" s="1"/>
  <c r="M47" i="1"/>
  <c r="K46" i="1"/>
  <c r="K35" i="1"/>
  <c r="H62" i="9"/>
  <c r="H58" i="9"/>
  <c r="H59" i="9"/>
  <c r="E90" i="9"/>
  <c r="T90" i="9"/>
  <c r="E30" i="8"/>
  <c r="AC48" i="9"/>
  <c r="H143" i="2"/>
  <c r="H211" i="2" s="1"/>
  <c r="H105" i="2"/>
  <c r="P35" i="1"/>
  <c r="P46" i="1"/>
  <c r="M46" i="9"/>
  <c r="F34" i="6"/>
  <c r="V14" i="6"/>
  <c r="C93" i="9"/>
  <c r="R93" i="9"/>
  <c r="M47" i="9"/>
  <c r="B40" i="4"/>
  <c r="B25" i="4"/>
  <c r="AC77" i="9"/>
  <c r="B117" i="2"/>
  <c r="B156" i="2"/>
  <c r="B213" i="2" s="1"/>
  <c r="O35" i="1"/>
  <c r="O46" i="1"/>
  <c r="M154" i="2"/>
  <c r="D216" i="2" s="1"/>
  <c r="D214" i="2"/>
  <c r="W82" i="9"/>
  <c r="D39" i="4"/>
  <c r="D24" i="4"/>
  <c r="E40" i="4"/>
  <c r="E25" i="4"/>
  <c r="E41" i="4" s="1"/>
  <c r="N37" i="1"/>
  <c r="N48" i="1" s="1"/>
  <c r="N47" i="1"/>
  <c r="B5" i="11"/>
  <c r="G81" i="9"/>
  <c r="G82" i="9"/>
  <c r="H82" i="9" s="1"/>
  <c r="V90" i="9"/>
  <c r="G90" i="9"/>
  <c r="G30" i="8"/>
  <c r="F39" i="4"/>
  <c r="F24" i="4"/>
  <c r="F117" i="2"/>
  <c r="F156" i="2"/>
  <c r="F213" i="2" s="1"/>
  <c r="X17" i="6"/>
  <c r="H68" i="8"/>
  <c r="H69" i="8" s="1"/>
  <c r="Q218" i="2"/>
  <c r="G156" i="2"/>
  <c r="G213" i="2" s="1"/>
  <c r="G117" i="2"/>
  <c r="S14" i="6"/>
  <c r="C34" i="6"/>
  <c r="H214" i="2"/>
  <c r="Q154" i="2"/>
  <c r="H216" i="2" s="1"/>
  <c r="S93" i="9"/>
  <c r="D93" i="9"/>
  <c r="AC46" i="9"/>
  <c r="E69" i="9"/>
  <c r="E18" i="6"/>
  <c r="E19" i="6" s="1"/>
  <c r="E21" i="6" s="1"/>
  <c r="E22" i="6" s="1"/>
  <c r="E6" i="6" s="1"/>
  <c r="E8" i="3"/>
  <c r="R90" i="9"/>
  <c r="C90" i="9"/>
  <c r="C30" i="8"/>
  <c r="J7" i="9"/>
  <c r="I11" i="9"/>
  <c r="C39" i="4"/>
  <c r="C24" i="4"/>
  <c r="G39" i="4"/>
  <c r="G24" i="4"/>
  <c r="Q37" i="1"/>
  <c r="Q48" i="1" s="1"/>
  <c r="Q47" i="1"/>
  <c r="H61" i="9"/>
  <c r="I77" i="9"/>
  <c r="AC47" i="9"/>
  <c r="E215" i="2"/>
  <c r="N154" i="2"/>
  <c r="E216" i="2" s="1"/>
  <c r="D34" i="6"/>
  <c r="T14" i="6"/>
  <c r="W90" i="9"/>
  <c r="H30" i="8"/>
  <c r="AC78" i="9"/>
  <c r="W26" i="9"/>
  <c r="H3" i="7"/>
  <c r="H60" i="8"/>
  <c r="H62" i="8" s="1"/>
  <c r="H10" i="8" s="1"/>
  <c r="Z45" i="1"/>
  <c r="Z29" i="1"/>
  <c r="T69" i="9"/>
  <c r="J5" i="11" l="1"/>
  <c r="E42" i="4"/>
  <c r="E86" i="4" s="1"/>
  <c r="H10" i="7"/>
  <c r="H63" i="9"/>
  <c r="H90" i="9" s="1"/>
  <c r="E74" i="4"/>
  <c r="E76" i="4" s="1"/>
  <c r="F60" i="4"/>
  <c r="F55" i="4"/>
  <c r="D77" i="4"/>
  <c r="J11" i="9"/>
  <c r="K7" i="9"/>
  <c r="T93" i="9"/>
  <c r="E93" i="9"/>
  <c r="Z46" i="9"/>
  <c r="Z11" i="9" s="1"/>
  <c r="Y46" i="9"/>
  <c r="Y11" i="9" s="1"/>
  <c r="AB46" i="9"/>
  <c r="AA46" i="9"/>
  <c r="AA11" i="9" s="1"/>
  <c r="X46" i="9"/>
  <c r="X11" i="9" s="1"/>
  <c r="B41" i="4"/>
  <c r="B42" i="4" s="1"/>
  <c r="B26" i="4"/>
  <c r="V82" i="9"/>
  <c r="V81" i="9"/>
  <c r="AB7" i="9"/>
  <c r="G30" i="9"/>
  <c r="V30" i="9"/>
  <c r="G4" i="7"/>
  <c r="W16" i="6"/>
  <c r="G3" i="3"/>
  <c r="Y46" i="1"/>
  <c r="Y36" i="1"/>
  <c r="C25" i="4"/>
  <c r="C41" i="4" s="1"/>
  <c r="C42" i="4" s="1"/>
  <c r="C40" i="4"/>
  <c r="U14" i="6"/>
  <c r="E34" i="6"/>
  <c r="I82" i="9"/>
  <c r="E26" i="4"/>
  <c r="D40" i="4"/>
  <c r="D25" i="4"/>
  <c r="P47" i="1"/>
  <c r="P37" i="1"/>
  <c r="P48" i="1" s="1"/>
  <c r="H25" i="9"/>
  <c r="H89" i="9" s="1"/>
  <c r="H60" i="9"/>
  <c r="K37" i="1"/>
  <c r="K48" i="1" s="1"/>
  <c r="K47" i="1"/>
  <c r="G40" i="4"/>
  <c r="G25" i="4"/>
  <c r="O37" i="1"/>
  <c r="O48" i="1" s="1"/>
  <c r="O47" i="1"/>
  <c r="H156" i="2"/>
  <c r="H213" i="2" s="1"/>
  <c r="H117" i="2"/>
  <c r="H34" i="6"/>
  <c r="X14" i="6"/>
  <c r="B27" i="11"/>
  <c r="F10" i="11"/>
  <c r="E10" i="11"/>
  <c r="C8" i="11"/>
  <c r="D10" i="11"/>
  <c r="C10" i="11"/>
  <c r="W30" i="9"/>
  <c r="H4" i="7"/>
  <c r="X16" i="6"/>
  <c r="H3" i="3"/>
  <c r="H3" i="6"/>
  <c r="Z36" i="1"/>
  <c r="Z46" i="1"/>
  <c r="F40" i="4"/>
  <c r="F25" i="4"/>
  <c r="F41" i="4" s="1"/>
  <c r="F26" i="4"/>
  <c r="J77" i="9"/>
  <c r="I61" i="9"/>
  <c r="I62" i="9"/>
  <c r="I58" i="9"/>
  <c r="I59" i="9"/>
  <c r="I22" i="9"/>
  <c r="I21" i="9"/>
  <c r="L47" i="1"/>
  <c r="L37" i="1"/>
  <c r="L48" i="1" s="1"/>
  <c r="H11" i="7" l="1"/>
  <c r="F42" i="4"/>
  <c r="G55" i="4" s="1"/>
  <c r="AA61" i="9"/>
  <c r="AA62" i="9"/>
  <c r="AA58" i="9"/>
  <c r="AA59" i="9"/>
  <c r="AA21" i="9"/>
  <c r="AA22" i="9"/>
  <c r="E28" i="11"/>
  <c r="G28" i="11"/>
  <c r="C28" i="11"/>
  <c r="F28" i="11"/>
  <c r="D28" i="11"/>
  <c r="J82" i="9"/>
  <c r="B77" i="4"/>
  <c r="C86" i="4"/>
  <c r="C74" i="4"/>
  <c r="C76" i="4" s="1"/>
  <c r="D60" i="4"/>
  <c r="D55" i="4"/>
  <c r="I60" i="9"/>
  <c r="I25" i="9"/>
  <c r="I89" i="9" s="1"/>
  <c r="B86" i="4"/>
  <c r="B74" i="4"/>
  <c r="B76" i="4" s="1"/>
  <c r="C60" i="4"/>
  <c r="C55" i="4"/>
  <c r="C26" i="4"/>
  <c r="X13" i="6"/>
  <c r="H33" i="6"/>
  <c r="H36" i="6" s="1"/>
  <c r="H6" i="7" s="1"/>
  <c r="V37" i="9"/>
  <c r="G37" i="9"/>
  <c r="Y38" i="1"/>
  <c r="Y47" i="1"/>
  <c r="W88" i="9"/>
  <c r="H28" i="8"/>
  <c r="H32" i="8" s="1"/>
  <c r="H7" i="3"/>
  <c r="AB11" i="9"/>
  <c r="Y62" i="9"/>
  <c r="Y58" i="9"/>
  <c r="Y59" i="9"/>
  <c r="Y22" i="9"/>
  <c r="Y61" i="9"/>
  <c r="Y63" i="9" s="1"/>
  <c r="Y21" i="9"/>
  <c r="L7" i="9"/>
  <c r="L11" i="9" s="1"/>
  <c r="K11" i="9"/>
  <c r="E94" i="4"/>
  <c r="W37" i="9"/>
  <c r="Z47" i="1"/>
  <c r="Z38" i="1"/>
  <c r="I63" i="9"/>
  <c r="I90" i="9" s="1"/>
  <c r="J61" i="9"/>
  <c r="K77" i="9"/>
  <c r="G41" i="4"/>
  <c r="G42" i="4" s="1"/>
  <c r="F77" i="4" s="1"/>
  <c r="G26" i="4"/>
  <c r="H91" i="9"/>
  <c r="H64" i="9"/>
  <c r="H68" i="9" s="1"/>
  <c r="D41" i="4"/>
  <c r="D42" i="4" s="1"/>
  <c r="D26" i="4"/>
  <c r="G88" i="9"/>
  <c r="V88" i="9"/>
  <c r="G28" i="8"/>
  <c r="G32" i="8" s="1"/>
  <c r="X61" i="9"/>
  <c r="X62" i="9"/>
  <c r="X58" i="9"/>
  <c r="X59" i="9"/>
  <c r="X21" i="9"/>
  <c r="X22" i="9"/>
  <c r="Z59" i="9"/>
  <c r="Z61" i="9"/>
  <c r="Z62" i="9"/>
  <c r="Z21" i="9"/>
  <c r="Z22" i="9"/>
  <c r="Z58" i="9"/>
  <c r="J59" i="9"/>
  <c r="J58" i="9"/>
  <c r="J21" i="9"/>
  <c r="J22" i="9"/>
  <c r="J62" i="9"/>
  <c r="G60" i="4" l="1"/>
  <c r="F74" i="4"/>
  <c r="F76" i="4" s="1"/>
  <c r="E77" i="4"/>
  <c r="E82" i="4" s="1"/>
  <c r="F61" i="4" s="1"/>
  <c r="F86" i="4"/>
  <c r="F82" i="4"/>
  <c r="G61" i="4" s="1"/>
  <c r="G34" i="8"/>
  <c r="G5" i="8" s="1"/>
  <c r="P12" i="8"/>
  <c r="P14" i="8" s="1"/>
  <c r="H34" i="8"/>
  <c r="H5" i="8" s="1"/>
  <c r="Q12" i="8"/>
  <c r="Q14" i="8" s="1"/>
  <c r="Z63" i="9"/>
  <c r="Z90" i="9" s="1"/>
  <c r="AA60" i="9"/>
  <c r="Y60" i="9"/>
  <c r="Y64" i="9" s="1"/>
  <c r="X60" i="9"/>
  <c r="I26" i="9"/>
  <c r="I27" i="9" s="1"/>
  <c r="Z60" i="9"/>
  <c r="L62" i="9"/>
  <c r="L58" i="9"/>
  <c r="L59" i="9"/>
  <c r="L21" i="9"/>
  <c r="L22" i="9"/>
  <c r="AB61" i="9"/>
  <c r="AB62" i="9"/>
  <c r="AB58" i="9"/>
  <c r="AB59" i="9"/>
  <c r="AB21" i="9"/>
  <c r="AB22" i="9"/>
  <c r="W92" i="9"/>
  <c r="H11" i="3"/>
  <c r="B94" i="4"/>
  <c r="C94" i="4"/>
  <c r="W39" i="9"/>
  <c r="X8" i="6"/>
  <c r="H5" i="7"/>
  <c r="Q171" i="2"/>
  <c r="Z48" i="1"/>
  <c r="V39" i="9"/>
  <c r="G39" i="9"/>
  <c r="G5" i="7"/>
  <c r="W8" i="6"/>
  <c r="P171" i="2"/>
  <c r="P172" i="2" s="1"/>
  <c r="P174" i="2" s="1"/>
  <c r="Y48" i="1"/>
  <c r="F56" i="4"/>
  <c r="F94" i="4"/>
  <c r="B82" i="4"/>
  <c r="N10" i="11"/>
  <c r="M10" i="11"/>
  <c r="J27" i="11"/>
  <c r="K10" i="11"/>
  <c r="K8" i="11"/>
  <c r="L10" i="11"/>
  <c r="C77" i="4"/>
  <c r="C82" i="4" s="1"/>
  <c r="E55" i="4"/>
  <c r="D86" i="4"/>
  <c r="D74" i="4"/>
  <c r="D76" i="4" s="1"/>
  <c r="D82" i="4" s="1"/>
  <c r="E60" i="4"/>
  <c r="J60" i="9"/>
  <c r="J25" i="9"/>
  <c r="J89" i="9" s="1"/>
  <c r="C5" i="11"/>
  <c r="D8" i="11" s="1"/>
  <c r="H70" i="9"/>
  <c r="H67" i="9"/>
  <c r="H69" i="9" s="1"/>
  <c r="H93" i="9" s="1"/>
  <c r="K61" i="9"/>
  <c r="L77" i="9"/>
  <c r="L61" i="9" s="1"/>
  <c r="X63" i="9"/>
  <c r="X90" i="9" s="1"/>
  <c r="J63" i="9"/>
  <c r="J90" i="9" s="1"/>
  <c r="K62" i="9"/>
  <c r="K58" i="9"/>
  <c r="K59" i="9"/>
  <c r="K21" i="9"/>
  <c r="K22" i="9"/>
  <c r="I91" i="9"/>
  <c r="I71" i="9"/>
  <c r="I64" i="9"/>
  <c r="K82" i="9"/>
  <c r="AA63" i="9"/>
  <c r="G56" i="4" l="1"/>
  <c r="F87" i="4"/>
  <c r="F95" i="4" s="1"/>
  <c r="H12" i="7"/>
  <c r="F88" i="4"/>
  <c r="F101" i="4" s="1"/>
  <c r="E87" i="4"/>
  <c r="E88" i="4" s="1"/>
  <c r="F96" i="4"/>
  <c r="X24" i="1" s="1"/>
  <c r="AA90" i="9"/>
  <c r="AB60" i="9"/>
  <c r="L63" i="9"/>
  <c r="I68" i="9"/>
  <c r="C87" i="4"/>
  <c r="D61" i="4"/>
  <c r="D56" i="4"/>
  <c r="Y90" i="9"/>
  <c r="P214" i="2"/>
  <c r="P197" i="2"/>
  <c r="P216" i="2" s="1"/>
  <c r="P218" i="2" s="1"/>
  <c r="J26" i="9"/>
  <c r="D5" i="11"/>
  <c r="E8" i="11" s="1"/>
  <c r="I70" i="9"/>
  <c r="I67" i="9"/>
  <c r="D87" i="4"/>
  <c r="D95" i="4" s="1"/>
  <c r="E61" i="4"/>
  <c r="E56" i="4"/>
  <c r="F89" i="4"/>
  <c r="G62" i="4" s="1"/>
  <c r="G63" i="4" s="1"/>
  <c r="F186" i="2" s="1"/>
  <c r="X33" i="1"/>
  <c r="E95" i="4"/>
  <c r="E96" i="4" s="1"/>
  <c r="AB63" i="9"/>
  <c r="L25" i="9"/>
  <c r="L89" i="9" s="1"/>
  <c r="L60" i="9"/>
  <c r="X64" i="9"/>
  <c r="L82" i="9"/>
  <c r="K60" i="9"/>
  <c r="K25" i="9"/>
  <c r="K89" i="9" s="1"/>
  <c r="D94" i="4"/>
  <c r="D96" i="4" s="1"/>
  <c r="AA64" i="9"/>
  <c r="G48" i="4"/>
  <c r="G57" i="4"/>
  <c r="L5" i="11"/>
  <c r="M8" i="11" s="1"/>
  <c r="Y70" i="9"/>
  <c r="Y67" i="9"/>
  <c r="Y68" i="9"/>
  <c r="W96" i="9"/>
  <c r="K63" i="9"/>
  <c r="K90" i="9" s="1"/>
  <c r="J64" i="9"/>
  <c r="J91" i="9"/>
  <c r="J71" i="9"/>
  <c r="L28" i="11"/>
  <c r="N28" i="11"/>
  <c r="K28" i="11"/>
  <c r="O28" i="11"/>
  <c r="M28" i="11"/>
  <c r="B87" i="4"/>
  <c r="C61" i="4"/>
  <c r="C56" i="4"/>
  <c r="Z64" i="9"/>
  <c r="G49" i="4" l="1"/>
  <c r="D88" i="4"/>
  <c r="V33" i="1" s="1"/>
  <c r="F100" i="4"/>
  <c r="F102" i="4" s="1"/>
  <c r="F105" i="4" s="1"/>
  <c r="G50" i="4" s="1"/>
  <c r="AB64" i="9"/>
  <c r="O5" i="11" s="1"/>
  <c r="Y69" i="9"/>
  <c r="L26" i="9"/>
  <c r="L27" i="9" s="1"/>
  <c r="I69" i="9"/>
  <c r="I93" i="9" s="1"/>
  <c r="K26" i="9"/>
  <c r="K27" i="9" s="1"/>
  <c r="J68" i="9"/>
  <c r="M5" i="11"/>
  <c r="N8" i="11" s="1"/>
  <c r="Z67" i="9"/>
  <c r="Z68" i="9"/>
  <c r="Z70" i="9"/>
  <c r="E57" i="4"/>
  <c r="E48" i="4"/>
  <c r="D100" i="4"/>
  <c r="V24" i="1"/>
  <c r="K91" i="9"/>
  <c r="K64" i="9"/>
  <c r="K68" i="9" s="1"/>
  <c r="K71" i="9"/>
  <c r="K5" i="11"/>
  <c r="L8" i="11" s="1"/>
  <c r="X70" i="9"/>
  <c r="X67" i="9"/>
  <c r="X68" i="9"/>
  <c r="B95" i="4"/>
  <c r="B96" i="4" s="1"/>
  <c r="B88" i="4"/>
  <c r="G67" i="4"/>
  <c r="L91" i="9"/>
  <c r="L71" i="9"/>
  <c r="L64" i="9"/>
  <c r="L68" i="9" s="1"/>
  <c r="E101" i="4"/>
  <c r="F49" i="4"/>
  <c r="E89" i="4"/>
  <c r="F62" i="4" s="1"/>
  <c r="F63" i="4" s="1"/>
  <c r="E186" i="2" s="1"/>
  <c r="W33" i="1"/>
  <c r="G65" i="9"/>
  <c r="V65" i="9"/>
  <c r="G46" i="6"/>
  <c r="G48" i="8"/>
  <c r="W9" i="6"/>
  <c r="H12" i="3"/>
  <c r="H4" i="6"/>
  <c r="E5" i="11"/>
  <c r="F8" i="11" s="1"/>
  <c r="J67" i="9"/>
  <c r="J70" i="9"/>
  <c r="F25" i="9"/>
  <c r="U25" i="9"/>
  <c r="F4" i="3"/>
  <c r="X25" i="1"/>
  <c r="N5" i="11"/>
  <c r="O8" i="11" s="1"/>
  <c r="AA68" i="9"/>
  <c r="AA70" i="9"/>
  <c r="AA67" i="9"/>
  <c r="L90" i="9"/>
  <c r="E100" i="4"/>
  <c r="F48" i="4"/>
  <c r="F57" i="4"/>
  <c r="W24" i="1"/>
  <c r="J27" i="9"/>
  <c r="C95" i="4"/>
  <c r="C96" i="4" s="1"/>
  <c r="C88" i="4"/>
  <c r="G65" i="4"/>
  <c r="G58" i="4"/>
  <c r="F167" i="2" s="1"/>
  <c r="F180" i="2" s="1"/>
  <c r="E49" i="4"/>
  <c r="AB90" i="9"/>
  <c r="U34" i="9"/>
  <c r="F34" i="9"/>
  <c r="X34" i="1"/>
  <c r="F61" i="8" s="1"/>
  <c r="G51" i="4" l="1"/>
  <c r="G68" i="4" s="1"/>
  <c r="D89" i="4"/>
  <c r="E62" i="4" s="1"/>
  <c r="E63" i="4" s="1"/>
  <c r="D186" i="2" s="1"/>
  <c r="D101" i="4"/>
  <c r="E102" i="4"/>
  <c r="E105" i="4" s="1"/>
  <c r="W27" i="1" s="1"/>
  <c r="X27" i="1"/>
  <c r="F28" i="9" s="1"/>
  <c r="AB67" i="9"/>
  <c r="AB68" i="9"/>
  <c r="AB70" i="9"/>
  <c r="X69" i="9"/>
  <c r="X93" i="9" s="1"/>
  <c r="J69" i="9"/>
  <c r="J93" i="9" s="1"/>
  <c r="F67" i="4"/>
  <c r="F50" i="4"/>
  <c r="F51" i="4" s="1"/>
  <c r="F68" i="4" s="1"/>
  <c r="F89" i="9"/>
  <c r="U89" i="9"/>
  <c r="F29" i="8"/>
  <c r="W97" i="9"/>
  <c r="H14" i="3"/>
  <c r="V70" i="9"/>
  <c r="B100" i="4"/>
  <c r="C48" i="4"/>
  <c r="C57" i="4"/>
  <c r="T24" i="1"/>
  <c r="F5" i="11"/>
  <c r="G8" i="11" s="1"/>
  <c r="K70" i="9"/>
  <c r="K67" i="9"/>
  <c r="K69" i="9" s="1"/>
  <c r="Z69" i="9"/>
  <c r="Z93" i="9" s="1"/>
  <c r="U58" i="9"/>
  <c r="U49" i="9" s="1"/>
  <c r="F58" i="9"/>
  <c r="F79" i="9" s="1"/>
  <c r="D49" i="4"/>
  <c r="C101" i="4"/>
  <c r="U33" i="1"/>
  <c r="C89" i="4"/>
  <c r="D62" i="4" s="1"/>
  <c r="D63" i="4" s="1"/>
  <c r="C186" i="2" s="1"/>
  <c r="T25" i="9"/>
  <c r="E25" i="9"/>
  <c r="E4" i="3"/>
  <c r="W25" i="1"/>
  <c r="G70" i="9"/>
  <c r="E58" i="4"/>
  <c r="D167" i="2" s="1"/>
  <c r="D180" i="2" s="1"/>
  <c r="F35" i="9"/>
  <c r="F50" i="9" s="1"/>
  <c r="U35" i="9"/>
  <c r="U50" i="9" s="1"/>
  <c r="F9" i="3"/>
  <c r="X35" i="1"/>
  <c r="D34" i="9"/>
  <c r="S34" i="9"/>
  <c r="V34" i="1"/>
  <c r="D61" i="8" s="1"/>
  <c r="D57" i="4"/>
  <c r="C100" i="4"/>
  <c r="C102" i="4" s="1"/>
  <c r="C105" i="4" s="1"/>
  <c r="D48" i="4"/>
  <c r="U24" i="1"/>
  <c r="F65" i="4"/>
  <c r="F58" i="4"/>
  <c r="E167" i="2" s="1"/>
  <c r="E180" i="2" s="1"/>
  <c r="AA69" i="9"/>
  <c r="G54" i="8"/>
  <c r="G56" i="8" s="1"/>
  <c r="G9" i="8" s="1"/>
  <c r="G49" i="8"/>
  <c r="G8" i="8" s="1"/>
  <c r="P5" i="8" s="1"/>
  <c r="E34" i="9"/>
  <c r="T34" i="9"/>
  <c r="W34" i="1"/>
  <c r="E61" i="8" s="1"/>
  <c r="G5" i="11"/>
  <c r="L70" i="9"/>
  <c r="L67" i="9"/>
  <c r="L69" i="9" s="1"/>
  <c r="D25" i="9"/>
  <c r="S25" i="9"/>
  <c r="D4" i="3"/>
  <c r="V25" i="1"/>
  <c r="U26" i="9"/>
  <c r="F3" i="7"/>
  <c r="F26" i="9"/>
  <c r="F60" i="8"/>
  <c r="F62" i="8" s="1"/>
  <c r="F10" i="8" s="1"/>
  <c r="X45" i="1"/>
  <c r="F49" i="9"/>
  <c r="X5" i="6"/>
  <c r="H26" i="6"/>
  <c r="H29" i="6" s="1"/>
  <c r="G69" i="4"/>
  <c r="F184" i="2"/>
  <c r="F187" i="2" s="1"/>
  <c r="F188" i="2" s="1"/>
  <c r="B89" i="4"/>
  <c r="C62" i="4" s="1"/>
  <c r="C63" i="4" s="1"/>
  <c r="B186" i="2" s="1"/>
  <c r="B101" i="4"/>
  <c r="C49" i="4"/>
  <c r="T33" i="1"/>
  <c r="D102" i="4"/>
  <c r="D105" i="4" s="1"/>
  <c r="E65" i="4" l="1"/>
  <c r="L93" i="9"/>
  <c r="U28" i="9"/>
  <c r="AB69" i="9"/>
  <c r="AB93" i="9" s="1"/>
  <c r="Y93" i="9"/>
  <c r="AA93" i="9"/>
  <c r="K93" i="9"/>
  <c r="F201" i="2"/>
  <c r="O213" i="2" s="1"/>
  <c r="O211" i="2"/>
  <c r="E58" i="9"/>
  <c r="E79" i="9" s="1"/>
  <c r="T58" i="9"/>
  <c r="T49" i="9" s="1"/>
  <c r="D50" i="4"/>
  <c r="D51" i="4" s="1"/>
  <c r="D68" i="4" s="1"/>
  <c r="D67" i="4"/>
  <c r="U27" i="1"/>
  <c r="T89" i="9"/>
  <c r="E89" i="9"/>
  <c r="E29" i="8"/>
  <c r="R34" i="9"/>
  <c r="C34" i="9"/>
  <c r="U34" i="1"/>
  <c r="C61" i="8" s="1"/>
  <c r="F59" i="9"/>
  <c r="F80" i="9" s="1"/>
  <c r="U59" i="9"/>
  <c r="U80" i="9" s="1"/>
  <c r="F47" i="8"/>
  <c r="G10" i="7"/>
  <c r="D49" i="9"/>
  <c r="T35" i="9"/>
  <c r="T50" i="9" s="1"/>
  <c r="E35" i="9"/>
  <c r="E50" i="9" s="1"/>
  <c r="E9" i="3"/>
  <c r="W35" i="1"/>
  <c r="D65" i="4"/>
  <c r="D58" i="4"/>
  <c r="C167" i="2" s="1"/>
  <c r="C180" i="2" s="1"/>
  <c r="E49" i="9"/>
  <c r="B102" i="4"/>
  <c r="B105" i="4" s="1"/>
  <c r="E184" i="2"/>
  <c r="E187" i="2" s="1"/>
  <c r="F69" i="4"/>
  <c r="E50" i="4"/>
  <c r="E51" i="4" s="1"/>
  <c r="E68" i="4" s="1"/>
  <c r="E67" i="4"/>
  <c r="V27" i="1"/>
  <c r="D26" i="9"/>
  <c r="S26" i="9"/>
  <c r="D3" i="7"/>
  <c r="D60" i="8"/>
  <c r="V45" i="1"/>
  <c r="C25" i="9"/>
  <c r="C49" i="9" s="1"/>
  <c r="R25" i="9"/>
  <c r="C4" i="3"/>
  <c r="U25" i="1"/>
  <c r="U36" i="9"/>
  <c r="F36" i="9"/>
  <c r="F10" i="3"/>
  <c r="X28" i="1"/>
  <c r="U79" i="9"/>
  <c r="B25" i="9"/>
  <c r="Q25" i="9"/>
  <c r="B4" i="3"/>
  <c r="T25" i="1"/>
  <c r="W99" i="9"/>
  <c r="W102" i="9" s="1"/>
  <c r="W103" i="9" s="1"/>
  <c r="H17" i="3"/>
  <c r="H18" i="3" s="1"/>
  <c r="H22" i="3" s="1"/>
  <c r="Q34" i="9"/>
  <c r="B34" i="9"/>
  <c r="T34" i="1"/>
  <c r="B61" i="8" s="1"/>
  <c r="D89" i="9"/>
  <c r="S89" i="9"/>
  <c r="D29" i="8"/>
  <c r="D35" i="9"/>
  <c r="D50" i="9" s="1"/>
  <c r="S35" i="9"/>
  <c r="S50" i="9" s="1"/>
  <c r="D9" i="3"/>
  <c r="V35" i="1"/>
  <c r="F94" i="9"/>
  <c r="U94" i="9"/>
  <c r="D58" i="9"/>
  <c r="D79" i="9" s="1"/>
  <c r="S58" i="9"/>
  <c r="S49" i="9" s="1"/>
  <c r="E26" i="9"/>
  <c r="T26" i="9"/>
  <c r="E60" i="8"/>
  <c r="E62" i="8" s="1"/>
  <c r="E10" i="8" s="1"/>
  <c r="E3" i="7"/>
  <c r="W45" i="1"/>
  <c r="C65" i="4"/>
  <c r="C58" i="4"/>
  <c r="B167" i="2" s="1"/>
  <c r="B180" i="2" s="1"/>
  <c r="T28" i="9"/>
  <c r="E28" i="9"/>
  <c r="U60" i="9" l="1"/>
  <c r="U64" i="9" s="1"/>
  <c r="E10" i="7"/>
  <c r="D36" i="9"/>
  <c r="S36" i="9"/>
  <c r="D10" i="3"/>
  <c r="V28" i="1"/>
  <c r="S94" i="9"/>
  <c r="D94" i="9"/>
  <c r="Q26" i="9"/>
  <c r="B26" i="9"/>
  <c r="B3" i="7"/>
  <c r="B60" i="8"/>
  <c r="T45" i="1"/>
  <c r="F29" i="9"/>
  <c r="U29" i="9"/>
  <c r="X29" i="1"/>
  <c r="C26" i="9"/>
  <c r="R26" i="9"/>
  <c r="C3" i="7"/>
  <c r="C10" i="7" s="1"/>
  <c r="C60" i="8"/>
  <c r="U45" i="1"/>
  <c r="E59" i="9"/>
  <c r="E80" i="9" s="1"/>
  <c r="T59" i="9"/>
  <c r="T80" i="9" s="1"/>
  <c r="E47" i="8"/>
  <c r="F10" i="7"/>
  <c r="D69" i="4"/>
  <c r="C184" i="2"/>
  <c r="C187" i="2" s="1"/>
  <c r="B89" i="9"/>
  <c r="Q89" i="9"/>
  <c r="B29" i="8"/>
  <c r="U95" i="9"/>
  <c r="F95" i="9"/>
  <c r="C89" i="9"/>
  <c r="R89" i="9"/>
  <c r="C29" i="8"/>
  <c r="C67" i="4"/>
  <c r="T27" i="1"/>
  <c r="C50" i="4"/>
  <c r="C51" i="4" s="1"/>
  <c r="C68" i="4" s="1"/>
  <c r="E36" i="9"/>
  <c r="T36" i="9"/>
  <c r="E10" i="3"/>
  <c r="W28" i="1"/>
  <c r="F55" i="8"/>
  <c r="F67" i="8"/>
  <c r="C35" i="9"/>
  <c r="C50" i="9" s="1"/>
  <c r="R35" i="9"/>
  <c r="R50" i="9" s="1"/>
  <c r="C9" i="3"/>
  <c r="U35" i="1"/>
  <c r="F60" i="9"/>
  <c r="G6" i="3"/>
  <c r="S79" i="9"/>
  <c r="D62" i="8"/>
  <c r="D10" i="8" s="1"/>
  <c r="S28" i="9"/>
  <c r="D28" i="9"/>
  <c r="E94" i="9"/>
  <c r="T94" i="9"/>
  <c r="E188" i="2"/>
  <c r="V17" i="6"/>
  <c r="F68" i="8"/>
  <c r="G3" i="6"/>
  <c r="Q58" i="9"/>
  <c r="B58" i="9"/>
  <c r="B79" i="9" s="1"/>
  <c r="B35" i="9"/>
  <c r="B50" i="9" s="1"/>
  <c r="Q35" i="9"/>
  <c r="Q50" i="9" s="1"/>
  <c r="T35" i="1"/>
  <c r="B49" i="9"/>
  <c r="M49" i="9" s="1"/>
  <c r="D10" i="7"/>
  <c r="E69" i="4"/>
  <c r="D184" i="2"/>
  <c r="D187" i="2" s="1"/>
  <c r="C58" i="9"/>
  <c r="C79" i="9" s="1"/>
  <c r="R58" i="9"/>
  <c r="C188" i="2"/>
  <c r="C28" i="9"/>
  <c r="R28" i="9"/>
  <c r="T79" i="9"/>
  <c r="AD50" i="9" l="1"/>
  <c r="M50" i="9"/>
  <c r="H50" i="9" s="1"/>
  <c r="H35" i="9" s="1"/>
  <c r="T60" i="9"/>
  <c r="C201" i="2"/>
  <c r="L213" i="2" s="1"/>
  <c r="L211" i="2"/>
  <c r="R79" i="9"/>
  <c r="Q79" i="9"/>
  <c r="R49" i="9"/>
  <c r="V91" i="9"/>
  <c r="G91" i="9"/>
  <c r="G7" i="3"/>
  <c r="T95" i="9"/>
  <c r="E95" i="9"/>
  <c r="B28" i="9"/>
  <c r="Q28" i="9"/>
  <c r="R59" i="9"/>
  <c r="R80" i="9" s="1"/>
  <c r="C59" i="9"/>
  <c r="C80" i="9" s="1"/>
  <c r="C47" i="8"/>
  <c r="C62" i="8"/>
  <c r="C10" i="8" s="1"/>
  <c r="F30" i="9"/>
  <c r="U30" i="9"/>
  <c r="V16" i="6"/>
  <c r="F4" i="7"/>
  <c r="F3" i="3"/>
  <c r="X46" i="1"/>
  <c r="X36" i="1"/>
  <c r="D95" i="9"/>
  <c r="S95" i="9"/>
  <c r="W13" i="6"/>
  <c r="G33" i="6"/>
  <c r="G36" i="6" s="1"/>
  <c r="G6" i="7" s="1"/>
  <c r="Q49" i="9"/>
  <c r="AD49" i="9" s="1"/>
  <c r="R94" i="9"/>
  <c r="C94" i="9"/>
  <c r="F69" i="8"/>
  <c r="C69" i="4"/>
  <c r="B184" i="2"/>
  <c r="B187" i="2" s="1"/>
  <c r="B62" i="8"/>
  <c r="B10" i="8" s="1"/>
  <c r="D59" i="9"/>
  <c r="D80" i="9" s="1"/>
  <c r="S59" i="9"/>
  <c r="D47" i="8"/>
  <c r="D188" i="2"/>
  <c r="Q36" i="9"/>
  <c r="B36" i="9"/>
  <c r="T28" i="1"/>
  <c r="T29" i="1" s="1"/>
  <c r="N211" i="2"/>
  <c r="E201" i="2"/>
  <c r="N213" i="2" s="1"/>
  <c r="F64" i="9"/>
  <c r="T64" i="9"/>
  <c r="AC50" i="9"/>
  <c r="M79" i="9"/>
  <c r="W79" i="9" s="1"/>
  <c r="C36" i="9"/>
  <c r="R36" i="9"/>
  <c r="C10" i="3"/>
  <c r="U28" i="1"/>
  <c r="E29" i="9"/>
  <c r="T29" i="9"/>
  <c r="W29" i="1"/>
  <c r="U81" i="9"/>
  <c r="U82" i="9"/>
  <c r="E55" i="8"/>
  <c r="E67" i="8"/>
  <c r="D29" i="9"/>
  <c r="S29" i="9"/>
  <c r="V29" i="1"/>
  <c r="AD79" i="9" l="1"/>
  <c r="L50" i="9"/>
  <c r="L35" i="9" s="1"/>
  <c r="L94" i="9" s="1"/>
  <c r="J50" i="9"/>
  <c r="J35" i="9" s="1"/>
  <c r="J94" i="9" s="1"/>
  <c r="K50" i="9"/>
  <c r="K35" i="9" s="1"/>
  <c r="K94" i="9" s="1"/>
  <c r="I50" i="9"/>
  <c r="I35" i="9" s="1"/>
  <c r="I94" i="9" s="1"/>
  <c r="B30" i="9"/>
  <c r="Q30" i="9"/>
  <c r="B4" i="7"/>
  <c r="B3" i="3"/>
  <c r="T46" i="1"/>
  <c r="T36" i="1"/>
  <c r="R29" i="9"/>
  <c r="C29" i="9"/>
  <c r="U29" i="1"/>
  <c r="T81" i="9"/>
  <c r="T82" i="9"/>
  <c r="E68" i="8"/>
  <c r="E69" i="8" s="1"/>
  <c r="U17" i="6"/>
  <c r="H13" i="7"/>
  <c r="H94" i="9"/>
  <c r="H36" i="9"/>
  <c r="F88" i="9"/>
  <c r="U88" i="9"/>
  <c r="F28" i="8"/>
  <c r="F32" i="8" s="1"/>
  <c r="M80" i="9"/>
  <c r="W80" i="9" s="1"/>
  <c r="R60" i="9"/>
  <c r="E30" i="9"/>
  <c r="T30" i="9"/>
  <c r="E4" i="7"/>
  <c r="U16" i="6"/>
  <c r="E3" i="3"/>
  <c r="W46" i="1"/>
  <c r="W36" i="1"/>
  <c r="R95" i="9"/>
  <c r="C95" i="9"/>
  <c r="E60" i="9"/>
  <c r="F6" i="3"/>
  <c r="M211" i="2"/>
  <c r="E6" i="3" s="1"/>
  <c r="D201" i="2"/>
  <c r="M213" i="2" s="1"/>
  <c r="E3" i="6" s="1"/>
  <c r="L36" i="9"/>
  <c r="F3" i="6"/>
  <c r="AC79" i="9"/>
  <c r="AB50" i="9"/>
  <c r="AB35" i="9" s="1"/>
  <c r="X50" i="9"/>
  <c r="X35" i="9" s="1"/>
  <c r="AA50" i="9"/>
  <c r="AA35" i="9" s="1"/>
  <c r="Z50" i="9"/>
  <c r="Z35" i="9" s="1"/>
  <c r="Y50" i="9"/>
  <c r="Y35" i="9" s="1"/>
  <c r="B29" i="9"/>
  <c r="Q29" i="9"/>
  <c r="D67" i="8"/>
  <c r="D55" i="8"/>
  <c r="B59" i="9"/>
  <c r="B80" i="9" s="1"/>
  <c r="Q59" i="9"/>
  <c r="B47" i="8"/>
  <c r="B188" i="2"/>
  <c r="J36" i="9"/>
  <c r="U37" i="9"/>
  <c r="F37" i="9"/>
  <c r="X38" i="1"/>
  <c r="X47" i="1"/>
  <c r="F11" i="7"/>
  <c r="G11" i="7"/>
  <c r="G92" i="9"/>
  <c r="V92" i="9"/>
  <c r="G11" i="3"/>
  <c r="C60" i="9"/>
  <c r="F81" i="9"/>
  <c r="F82" i="9"/>
  <c r="S30" i="9"/>
  <c r="D4" i="7"/>
  <c r="T16" i="6"/>
  <c r="D3" i="3"/>
  <c r="D3" i="6"/>
  <c r="D30" i="9"/>
  <c r="V36" i="1"/>
  <c r="V46" i="1"/>
  <c r="S80" i="9"/>
  <c r="S60" i="9"/>
  <c r="AC49" i="9"/>
  <c r="K36" i="9"/>
  <c r="C55" i="8"/>
  <c r="C67" i="8"/>
  <c r="C68" i="8"/>
  <c r="S17" i="6"/>
  <c r="I36" i="9" l="1"/>
  <c r="I29" i="9" s="1"/>
  <c r="I30" i="9" s="1"/>
  <c r="AC80" i="9"/>
  <c r="C69" i="8"/>
  <c r="F34" i="8"/>
  <c r="F5" i="8" s="1"/>
  <c r="O12" i="8"/>
  <c r="O14" i="8" s="1"/>
  <c r="S88" i="9"/>
  <c r="D88" i="9"/>
  <c r="D28" i="8"/>
  <c r="D32" i="8" s="1"/>
  <c r="K95" i="9"/>
  <c r="K29" i="9"/>
  <c r="K30" i="9" s="1"/>
  <c r="S64" i="9"/>
  <c r="D37" i="9"/>
  <c r="S37" i="9"/>
  <c r="V47" i="1"/>
  <c r="V38" i="1"/>
  <c r="C64" i="9"/>
  <c r="J95" i="9"/>
  <c r="J29" i="9"/>
  <c r="J30" i="9" s="1"/>
  <c r="Q80" i="9"/>
  <c r="Q60" i="9"/>
  <c r="Z94" i="9"/>
  <c r="Z36" i="9"/>
  <c r="E91" i="9"/>
  <c r="T91" i="9"/>
  <c r="T37" i="9"/>
  <c r="E37" i="9"/>
  <c r="W38" i="1"/>
  <c r="W47" i="1"/>
  <c r="B88" i="9"/>
  <c r="Q88" i="9"/>
  <c r="B28" i="8"/>
  <c r="B32" i="8" s="1"/>
  <c r="G96" i="9"/>
  <c r="V96" i="9"/>
  <c r="AA94" i="9"/>
  <c r="AA36" i="9"/>
  <c r="T17" i="6"/>
  <c r="D68" i="8"/>
  <c r="D69" i="8" s="1"/>
  <c r="E64" i="9"/>
  <c r="E11" i="7"/>
  <c r="R64" i="9"/>
  <c r="Z49" i="9"/>
  <c r="Z25" i="9" s="1"/>
  <c r="Y49" i="9"/>
  <c r="Y25" i="9" s="1"/>
  <c r="AB49" i="9"/>
  <c r="AB25" i="9" s="1"/>
  <c r="X49" i="9"/>
  <c r="X25" i="9" s="1"/>
  <c r="AA49" i="9"/>
  <c r="AA25" i="9" s="1"/>
  <c r="T13" i="6"/>
  <c r="D33" i="6"/>
  <c r="I95" i="9"/>
  <c r="B201" i="2"/>
  <c r="K213" i="2" s="1"/>
  <c r="C3" i="6" s="1"/>
  <c r="K211" i="2"/>
  <c r="X94" i="9"/>
  <c r="X36" i="9"/>
  <c r="F33" i="6"/>
  <c r="F36" i="6" s="1"/>
  <c r="F6" i="7" s="1"/>
  <c r="V13" i="6"/>
  <c r="D60" i="9"/>
  <c r="D6" i="3"/>
  <c r="E88" i="9"/>
  <c r="T88" i="9"/>
  <c r="E28" i="8"/>
  <c r="E32" i="8" s="1"/>
  <c r="E7" i="3"/>
  <c r="B37" i="9"/>
  <c r="Q37" i="9"/>
  <c r="T38" i="1"/>
  <c r="T47" i="1"/>
  <c r="U39" i="9"/>
  <c r="F39" i="9"/>
  <c r="F5" i="7"/>
  <c r="V8" i="6"/>
  <c r="O171" i="2"/>
  <c r="O172" i="2" s="1"/>
  <c r="O174" i="2" s="1"/>
  <c r="X48" i="1"/>
  <c r="B55" i="8"/>
  <c r="B67" i="8"/>
  <c r="Y94" i="9"/>
  <c r="Y36" i="9"/>
  <c r="AB36" i="9"/>
  <c r="AB94" i="9"/>
  <c r="L95" i="9"/>
  <c r="L29" i="9"/>
  <c r="L30" i="9" s="1"/>
  <c r="U91" i="9"/>
  <c r="F91" i="9"/>
  <c r="E33" i="6"/>
  <c r="E36" i="6" s="1"/>
  <c r="E6" i="7" s="1"/>
  <c r="U13" i="6"/>
  <c r="F7" i="3"/>
  <c r="H95" i="9"/>
  <c r="H29" i="9"/>
  <c r="C30" i="9"/>
  <c r="R30" i="9"/>
  <c r="C4" i="7"/>
  <c r="C11" i="7" s="1"/>
  <c r="S16" i="6"/>
  <c r="C3" i="3"/>
  <c r="U36" i="1"/>
  <c r="U46" i="1"/>
  <c r="E34" i="8" l="1"/>
  <c r="E5" i="8" s="1"/>
  <c r="N12" i="8"/>
  <c r="N14" i="8" s="1"/>
  <c r="B34" i="8"/>
  <c r="B5" i="8" s="1"/>
  <c r="K12" i="8"/>
  <c r="K14" i="8" s="1"/>
  <c r="D34" i="8"/>
  <c r="D5" i="8" s="1"/>
  <c r="M12" i="8"/>
  <c r="M14" i="8" s="1"/>
  <c r="C88" i="9"/>
  <c r="R88" i="9"/>
  <c r="C28" i="8"/>
  <c r="C32" i="8" s="1"/>
  <c r="C33" i="6"/>
  <c r="C36" i="6" s="1"/>
  <c r="C6" i="7" s="1"/>
  <c r="S13" i="6"/>
  <c r="D91" i="9"/>
  <c r="S91" i="9"/>
  <c r="X95" i="9"/>
  <c r="X29" i="9"/>
  <c r="D7" i="11"/>
  <c r="D9" i="11" s="1"/>
  <c r="D11" i="11" s="1"/>
  <c r="I88" i="9"/>
  <c r="I92" i="9" s="1"/>
  <c r="I37" i="9"/>
  <c r="AA89" i="9"/>
  <c r="AA91" i="9"/>
  <c r="AA26" i="9"/>
  <c r="Z89" i="9"/>
  <c r="Z26" i="9"/>
  <c r="Z91" i="9"/>
  <c r="E7" i="11"/>
  <c r="E9" i="11" s="1"/>
  <c r="E11" i="11" s="1"/>
  <c r="J88" i="9"/>
  <c r="J92" i="9" s="1"/>
  <c r="J37" i="9"/>
  <c r="D39" i="9"/>
  <c r="S39" i="9"/>
  <c r="T8" i="6"/>
  <c r="D5" i="7"/>
  <c r="M171" i="2"/>
  <c r="M172" i="2" s="1"/>
  <c r="M174" i="2" s="1"/>
  <c r="V48" i="1"/>
  <c r="D7" i="3"/>
  <c r="Y95" i="9"/>
  <c r="Y29" i="9"/>
  <c r="G12" i="7"/>
  <c r="Q39" i="9"/>
  <c r="B39" i="9"/>
  <c r="B5" i="7"/>
  <c r="S8" i="6"/>
  <c r="K171" i="2"/>
  <c r="K172" i="2" s="1"/>
  <c r="K174" i="2" s="1"/>
  <c r="T48" i="1"/>
  <c r="D64" i="9"/>
  <c r="X89" i="9"/>
  <c r="X91" i="9"/>
  <c r="X26" i="9"/>
  <c r="E81" i="9"/>
  <c r="E82" i="9"/>
  <c r="D11" i="7"/>
  <c r="S81" i="9"/>
  <c r="S82" i="9"/>
  <c r="U92" i="9"/>
  <c r="F92" i="9"/>
  <c r="F11" i="3"/>
  <c r="AB95" i="9"/>
  <c r="AB29" i="9"/>
  <c r="G7" i="11"/>
  <c r="G9" i="11" s="1"/>
  <c r="F12" i="11" s="1"/>
  <c r="F13" i="11" s="1"/>
  <c r="L88" i="9"/>
  <c r="L92" i="9" s="1"/>
  <c r="L37" i="9"/>
  <c r="T92" i="9"/>
  <c r="E92" i="9"/>
  <c r="E11" i="3"/>
  <c r="R37" i="9"/>
  <c r="C37" i="9"/>
  <c r="U38" i="1"/>
  <c r="U47" i="1"/>
  <c r="B60" i="9"/>
  <c r="C6" i="3"/>
  <c r="D36" i="6"/>
  <c r="D6" i="7" s="1"/>
  <c r="AB89" i="9"/>
  <c r="AB26" i="9"/>
  <c r="AB91" i="9"/>
  <c r="R82" i="9"/>
  <c r="R81" i="9"/>
  <c r="E39" i="9"/>
  <c r="E5" i="7"/>
  <c r="T39" i="9"/>
  <c r="U8" i="6"/>
  <c r="N171" i="2"/>
  <c r="N172" i="2" s="1"/>
  <c r="N174" i="2" s="1"/>
  <c r="W48" i="1"/>
  <c r="Q64" i="9"/>
  <c r="F7" i="11"/>
  <c r="F9" i="11" s="1"/>
  <c r="F11" i="11" s="1"/>
  <c r="K88" i="9"/>
  <c r="K92" i="9" s="1"/>
  <c r="K37" i="9"/>
  <c r="O214" i="2"/>
  <c r="O197" i="2"/>
  <c r="O216" i="2" s="1"/>
  <c r="O218" i="2" s="1"/>
  <c r="F13" i="7"/>
  <c r="G13" i="7"/>
  <c r="R17" i="6"/>
  <c r="B68" i="8"/>
  <c r="B69" i="8" s="1"/>
  <c r="Y89" i="9"/>
  <c r="Y91" i="9"/>
  <c r="Y26" i="9"/>
  <c r="AA95" i="9"/>
  <c r="AA29" i="9"/>
  <c r="Z95" i="9"/>
  <c r="Z29" i="9"/>
  <c r="C82" i="9"/>
  <c r="C81" i="9"/>
  <c r="D13" i="7" l="1"/>
  <c r="E12" i="7"/>
  <c r="C34" i="8"/>
  <c r="C5" i="8" s="1"/>
  <c r="L12" i="8"/>
  <c r="L14" i="8" s="1"/>
  <c r="R91" i="9"/>
  <c r="C91" i="9"/>
  <c r="E13" i="7"/>
  <c r="D92" i="9"/>
  <c r="S92" i="9"/>
  <c r="D11" i="3"/>
  <c r="F26" i="11"/>
  <c r="F29" i="11" s="1"/>
  <c r="K96" i="9"/>
  <c r="Y27" i="9"/>
  <c r="Y30" i="9" s="1"/>
  <c r="AB27" i="9"/>
  <c r="AB30" i="9" s="1"/>
  <c r="B64" i="9"/>
  <c r="K214" i="2"/>
  <c r="K197" i="2"/>
  <c r="K216" i="2" s="1"/>
  <c r="K218" i="2" s="1"/>
  <c r="E26" i="11"/>
  <c r="E29" i="11" s="1"/>
  <c r="J96" i="9"/>
  <c r="Z27" i="9"/>
  <c r="Z30" i="9" s="1"/>
  <c r="C7" i="3"/>
  <c r="F65" i="9"/>
  <c r="U65" i="9"/>
  <c r="F46" i="6"/>
  <c r="F48" i="8"/>
  <c r="V9" i="6"/>
  <c r="G12" i="3"/>
  <c r="G4" i="6"/>
  <c r="N197" i="2"/>
  <c r="N216" i="2" s="1"/>
  <c r="N218" i="2" s="1"/>
  <c r="N214" i="2"/>
  <c r="T96" i="9"/>
  <c r="E96" i="9"/>
  <c r="G26" i="11"/>
  <c r="F30" i="11" s="1"/>
  <c r="F31" i="11" s="1"/>
  <c r="L96" i="9"/>
  <c r="D81" i="9"/>
  <c r="D82" i="9"/>
  <c r="M197" i="2"/>
  <c r="M216" i="2" s="1"/>
  <c r="M218" i="2" s="1"/>
  <c r="M214" i="2"/>
  <c r="Q81" i="9"/>
  <c r="Q82" i="9"/>
  <c r="AC82" i="9" s="1"/>
  <c r="R39" i="9"/>
  <c r="C39" i="9"/>
  <c r="C5" i="7"/>
  <c r="C12" i="7" s="1"/>
  <c r="L171" i="2"/>
  <c r="L172" i="2" s="1"/>
  <c r="L174" i="2" s="1"/>
  <c r="U48" i="1"/>
  <c r="U96" i="9"/>
  <c r="F96" i="9"/>
  <c r="X27" i="9"/>
  <c r="X30" i="9" s="1"/>
  <c r="F12" i="7"/>
  <c r="AA27" i="9"/>
  <c r="AA30" i="9" s="1"/>
  <c r="D26" i="11"/>
  <c r="D29" i="11" s="1"/>
  <c r="I96" i="9"/>
  <c r="K7" i="11" l="1"/>
  <c r="K9" i="11" s="1"/>
  <c r="K11" i="11" s="1"/>
  <c r="X88" i="9"/>
  <c r="X92" i="9" s="1"/>
  <c r="X37" i="9"/>
  <c r="O7" i="11"/>
  <c r="O9" i="11" s="1"/>
  <c r="N12" i="11" s="1"/>
  <c r="N13" i="11" s="1"/>
  <c r="AB37" i="9"/>
  <c r="AB88" i="9"/>
  <c r="AB92" i="9" s="1"/>
  <c r="N7" i="11"/>
  <c r="N9" i="11" s="1"/>
  <c r="N11" i="11" s="1"/>
  <c r="AA88" i="9"/>
  <c r="AA92" i="9" s="1"/>
  <c r="AA37" i="9"/>
  <c r="AC81" i="9"/>
  <c r="W5" i="6"/>
  <c r="G26" i="6"/>
  <c r="G29" i="6" s="1"/>
  <c r="M81" i="9"/>
  <c r="L7" i="11"/>
  <c r="L9" i="11" s="1"/>
  <c r="L11" i="11" s="1"/>
  <c r="Y88" i="9"/>
  <c r="Y92" i="9" s="1"/>
  <c r="Y37" i="9"/>
  <c r="D12" i="7"/>
  <c r="L214" i="2"/>
  <c r="D4" i="6" s="1"/>
  <c r="L197" i="2"/>
  <c r="L216" i="2" s="1"/>
  <c r="L218" i="2" s="1"/>
  <c r="G97" i="9"/>
  <c r="V97" i="9"/>
  <c r="G14" i="3"/>
  <c r="U70" i="9"/>
  <c r="C92" i="9"/>
  <c r="R92" i="9"/>
  <c r="C11" i="3"/>
  <c r="D96" i="9"/>
  <c r="S96" i="9"/>
  <c r="D65" i="9"/>
  <c r="S65" i="9"/>
  <c r="D48" i="8"/>
  <c r="D46" i="6"/>
  <c r="T9" i="6"/>
  <c r="E12" i="3"/>
  <c r="F70" i="9"/>
  <c r="M7" i="11"/>
  <c r="M9" i="11" s="1"/>
  <c r="M11" i="11" s="1"/>
  <c r="Z88" i="9"/>
  <c r="Z92" i="9" s="1"/>
  <c r="Z37" i="9"/>
  <c r="B65" i="9"/>
  <c r="Q65" i="9"/>
  <c r="B46" i="6"/>
  <c r="B48" i="8"/>
  <c r="R9" i="6"/>
  <c r="C12" i="3"/>
  <c r="T65" i="9"/>
  <c r="U9" i="6"/>
  <c r="E65" i="9"/>
  <c r="E46" i="6"/>
  <c r="E48" i="8"/>
  <c r="F12" i="3"/>
  <c r="E4" i="6"/>
  <c r="F4" i="6"/>
  <c r="F54" i="8"/>
  <c r="F56" i="8" s="1"/>
  <c r="F9" i="8" s="1"/>
  <c r="F49" i="8"/>
  <c r="F8" i="8" s="1"/>
  <c r="O5" i="8" s="1"/>
  <c r="B81" i="9"/>
  <c r="B82" i="9"/>
  <c r="F26" i="6" l="1"/>
  <c r="F29" i="6" s="1"/>
  <c r="V5" i="6"/>
  <c r="D70" i="9"/>
  <c r="G99" i="9"/>
  <c r="G103" i="9" s="1"/>
  <c r="G104" i="9" s="1"/>
  <c r="V99" i="9"/>
  <c r="V102" i="9" s="1"/>
  <c r="V103" i="9" s="1"/>
  <c r="G17" i="3"/>
  <c r="G18" i="3" s="1"/>
  <c r="G22" i="3" s="1"/>
  <c r="O26" i="11"/>
  <c r="N30" i="11" s="1"/>
  <c r="N31" i="11" s="1"/>
  <c r="AB96" i="9"/>
  <c r="X65" i="9"/>
  <c r="E26" i="6"/>
  <c r="E29" i="6" s="1"/>
  <c r="U5" i="6"/>
  <c r="E70" i="9"/>
  <c r="C97" i="9"/>
  <c r="R97" i="9"/>
  <c r="Q70" i="9"/>
  <c r="N26" i="11"/>
  <c r="N29" i="11" s="1"/>
  <c r="AA96" i="9"/>
  <c r="K26" i="11"/>
  <c r="K29" i="11" s="1"/>
  <c r="X96" i="9"/>
  <c r="M82" i="9"/>
  <c r="U97" i="9"/>
  <c r="F97" i="9"/>
  <c r="F14" i="3"/>
  <c r="T5" i="6"/>
  <c r="D26" i="6"/>
  <c r="D54" i="8"/>
  <c r="D56" i="8" s="1"/>
  <c r="D9" i="8" s="1"/>
  <c r="D49" i="8"/>
  <c r="D8" i="8" s="1"/>
  <c r="M5" i="8" s="1"/>
  <c r="R96" i="9"/>
  <c r="C96" i="9"/>
  <c r="C14" i="3"/>
  <c r="C65" i="9"/>
  <c r="R65" i="9"/>
  <c r="C46" i="6"/>
  <c r="C48" i="8"/>
  <c r="S9" i="6"/>
  <c r="D12" i="3"/>
  <c r="C4" i="6"/>
  <c r="L26" i="11"/>
  <c r="L29" i="11" s="1"/>
  <c r="Y96" i="9"/>
  <c r="B70" i="9"/>
  <c r="E54" i="8"/>
  <c r="E56" i="8" s="1"/>
  <c r="E9" i="8" s="1"/>
  <c r="E49" i="8"/>
  <c r="E8" i="8" s="1"/>
  <c r="N5" i="8" s="1"/>
  <c r="T70" i="9"/>
  <c r="B54" i="8"/>
  <c r="B56" i="8" s="1"/>
  <c r="B9" i="8" s="1"/>
  <c r="B49" i="8"/>
  <c r="B8" i="8" s="1"/>
  <c r="K5" i="8" s="1"/>
  <c r="M26" i="11"/>
  <c r="M29" i="11" s="1"/>
  <c r="Z96" i="9"/>
  <c r="T97" i="9"/>
  <c r="E97" i="9"/>
  <c r="E14" i="3"/>
  <c r="S70" i="9"/>
  <c r="J14" i="11"/>
  <c r="J15" i="11" s="1"/>
  <c r="J17" i="11" s="1"/>
  <c r="E18" i="12" s="1"/>
  <c r="T99" i="9" l="1"/>
  <c r="T102" i="9" s="1"/>
  <c r="T103" i="9" s="1"/>
  <c r="E99" i="9"/>
  <c r="E103" i="9" s="1"/>
  <c r="E104" i="9" s="1"/>
  <c r="E17" i="3"/>
  <c r="E18" i="3" s="1"/>
  <c r="E22" i="3" s="1"/>
  <c r="C54" i="8"/>
  <c r="C56" i="8" s="1"/>
  <c r="C9" i="8" s="1"/>
  <c r="C49" i="8"/>
  <c r="C8" i="8" s="1"/>
  <c r="L5" i="8" s="1"/>
  <c r="C99" i="9"/>
  <c r="C103" i="9" s="1"/>
  <c r="C104" i="9" s="1"/>
  <c r="R99" i="9"/>
  <c r="R102" i="9" s="1"/>
  <c r="R103" i="9" s="1"/>
  <c r="C17" i="3"/>
  <c r="C18" i="3" s="1"/>
  <c r="C22" i="3" s="1"/>
  <c r="C26" i="6"/>
  <c r="C29" i="6" s="1"/>
  <c r="S5" i="6"/>
  <c r="D29" i="6"/>
  <c r="J32" i="11"/>
  <c r="J34" i="11" s="1"/>
  <c r="X97" i="9"/>
  <c r="X99" i="9" s="1"/>
  <c r="X102" i="9" s="1"/>
  <c r="X103" i="9" s="1"/>
  <c r="Y65" i="9"/>
  <c r="X66" i="9"/>
  <c r="S97" i="9"/>
  <c r="D97" i="9"/>
  <c r="D14" i="3"/>
  <c r="R70" i="9"/>
  <c r="C70" i="9"/>
  <c r="F99" i="9"/>
  <c r="F103" i="9" s="1"/>
  <c r="F104" i="9" s="1"/>
  <c r="U99" i="9"/>
  <c r="U102" i="9" s="1"/>
  <c r="U103" i="9" s="1"/>
  <c r="F17" i="3"/>
  <c r="F18" i="3" s="1"/>
  <c r="F22" i="3" s="1"/>
  <c r="S99" i="9" l="1"/>
  <c r="S102" i="9" s="1"/>
  <c r="S103" i="9" s="1"/>
  <c r="D99" i="9"/>
  <c r="D103" i="9" s="1"/>
  <c r="D104" i="9" s="1"/>
  <c r="D17" i="3"/>
  <c r="D18" i="3" s="1"/>
  <c r="D22" i="3" s="1"/>
  <c r="Z65" i="9"/>
  <c r="Y97" i="9"/>
  <c r="Y99" i="9" s="1"/>
  <c r="Y102" i="9" s="1"/>
  <c r="Y66" i="9"/>
  <c r="Y101" i="9"/>
  <c r="Y103" i="9" l="1"/>
  <c r="Z97" i="9"/>
  <c r="Z99" i="9" s="1"/>
  <c r="Z102" i="9" s="1"/>
  <c r="AA65" i="9"/>
  <c r="Z66" i="9"/>
  <c r="Z101" i="9"/>
  <c r="X104" i="9"/>
  <c r="Z103" i="9" l="1"/>
  <c r="AA101" i="9"/>
  <c r="AA97" i="9"/>
  <c r="AA99" i="9" s="1"/>
  <c r="AA102" i="9" s="1"/>
  <c r="AB65" i="9"/>
  <c r="AA66" i="9"/>
  <c r="Y104" i="9"/>
  <c r="AA103" i="9" l="1"/>
  <c r="AB97" i="9"/>
  <c r="AB99" i="9" s="1"/>
  <c r="AB102" i="9" s="1"/>
  <c r="AB66" i="9"/>
  <c r="AB101" i="9"/>
  <c r="Z104" i="9"/>
  <c r="AB103" i="9" l="1"/>
  <c r="AA104" i="9"/>
  <c r="H21" i="9" l="1"/>
  <c r="H22" i="9"/>
  <c r="H26" i="9" s="1"/>
  <c r="H27" i="9" l="1"/>
  <c r="H30" i="9" s="1"/>
  <c r="H37" i="9" l="1"/>
  <c r="C7" i="11"/>
  <c r="C9" i="11" s="1"/>
  <c r="C11" i="11" s="1"/>
  <c r="B14" i="11" s="1"/>
  <c r="B15" i="11" s="1"/>
  <c r="B17" i="11" s="1"/>
  <c r="H88" i="9"/>
  <c r="H92" i="9" s="1"/>
  <c r="C26" i="11" l="1"/>
  <c r="C29" i="11" s="1"/>
  <c r="B32" i="11" s="1"/>
  <c r="B34" i="11" s="1"/>
  <c r="H96" i="9"/>
  <c r="E7" i="12"/>
  <c r="H65" i="9"/>
  <c r="H66" i="9" l="1"/>
  <c r="I65" i="9"/>
  <c r="H97" i="9"/>
  <c r="H99" i="9" s="1"/>
  <c r="H103" i="9" s="1"/>
  <c r="H104" i="9" s="1"/>
  <c r="I66" i="9" l="1"/>
  <c r="J65" i="9"/>
  <c r="I99" i="9"/>
  <c r="I103" i="9" s="1"/>
  <c r="I102" i="9"/>
  <c r="H105" i="9" s="1"/>
  <c r="I104" i="9" l="1"/>
  <c r="J102" i="9"/>
  <c r="J97" i="9"/>
  <c r="J99" i="9" s="1"/>
  <c r="J103" i="9" s="1"/>
  <c r="J66" i="9"/>
  <c r="K65" i="9"/>
  <c r="I105" i="9" l="1"/>
  <c r="K97" i="9"/>
  <c r="K99" i="9" s="1"/>
  <c r="K103" i="9" s="1"/>
  <c r="K66" i="9"/>
  <c r="L65" i="9"/>
  <c r="K102" i="9"/>
  <c r="J104" i="9"/>
  <c r="K104" i="9" l="1"/>
  <c r="L66" i="9"/>
  <c r="L97" i="9"/>
  <c r="L99" i="9" s="1"/>
  <c r="L103" i="9" s="1"/>
  <c r="J105" i="9"/>
  <c r="L102" i="9"/>
  <c r="L104" i="9" l="1"/>
  <c r="K105" i="9"/>
</calcChain>
</file>

<file path=xl/sharedStrings.xml><?xml version="1.0" encoding="utf-8"?>
<sst xmlns="http://schemas.openxmlformats.org/spreadsheetml/2006/main" count="1437" uniqueCount="644">
  <si>
    <t>Consolidated income statement in NOK 1000</t>
  </si>
  <si>
    <t>Reformulated: Consolidated income statement in NOK 1000</t>
  </si>
  <si>
    <t>Adjusted and reformulated: Consolidated income statement in NOK 1000</t>
  </si>
  <si>
    <t>Passenger revenue (O)</t>
  </si>
  <si>
    <t>Ancillary passenger revenue (O)</t>
  </si>
  <si>
    <t>Freight (O)</t>
  </si>
  <si>
    <t>Other revenue (O)</t>
  </si>
  <si>
    <t xml:space="preserve">Revenue </t>
  </si>
  <si>
    <t>Other income (O)</t>
  </si>
  <si>
    <t>= Total operating revenue (O)</t>
  </si>
  <si>
    <t>Sales and distribution expense (O)</t>
  </si>
  <si>
    <t>Profit (loss) from associated companies (O)</t>
  </si>
  <si>
    <t>Aviation fuel (O)</t>
  </si>
  <si>
    <t>Operating income (O)</t>
  </si>
  <si>
    <r>
      <rPr>
        <sz val="12"/>
        <color theme="1"/>
        <rFont val="Calibri"/>
        <family val="2"/>
      </rPr>
      <t>Aircraft leases</t>
    </r>
    <r>
      <rPr>
        <i/>
        <sz val="12"/>
        <color theme="1"/>
        <rFont val="Calibri"/>
        <family val="2"/>
      </rPr>
      <t xml:space="preserve"> (included here until 2018) (O)</t>
    </r>
  </si>
  <si>
    <t>Airport and ATC charges (O)</t>
  </si>
  <si>
    <t>Handling charges (O)</t>
  </si>
  <si>
    <t>Technical maintenance expenses (O)</t>
  </si>
  <si>
    <t>Other aircraft expenses (O)</t>
  </si>
  <si>
    <t>= Operational expenses (O)</t>
  </si>
  <si>
    <t>Personnel expenses (O)</t>
  </si>
  <si>
    <t>Depreciation and amortization (O)*</t>
  </si>
  <si>
    <t>Other operating expenses (O)</t>
  </si>
  <si>
    <t>Impairment (O)*</t>
  </si>
  <si>
    <t>Other losses/(gains) - net (O)</t>
  </si>
  <si>
    <t>Operating expenses (O)</t>
  </si>
  <si>
    <t>EBITDA</t>
  </si>
  <si>
    <t xml:space="preserve">= Total opex. Excl. Lease and depr. </t>
  </si>
  <si>
    <t>EBITDAR</t>
  </si>
  <si>
    <r>
      <rPr>
        <sz val="12"/>
        <color theme="1"/>
        <rFont val="Calibri"/>
        <family val="2"/>
      </rPr>
      <t xml:space="preserve">Aircraft lease, depreciation and amortization </t>
    </r>
    <r>
      <rPr>
        <i/>
        <sz val="12"/>
        <color theme="1"/>
        <rFont val="Calibri"/>
        <family val="2"/>
      </rPr>
      <t>(from 2019)</t>
    </r>
    <r>
      <rPr>
        <sz val="12"/>
        <color theme="1"/>
        <rFont val="Calibri"/>
        <family val="2"/>
      </rPr>
      <t xml:space="preserve"> (O)</t>
    </r>
  </si>
  <si>
    <t>Aircraft lease, depreciation and amortization (adjusted) (O)</t>
  </si>
  <si>
    <t xml:space="preserve">Impairment assets held for sale (Q4 2020) </t>
  </si>
  <si>
    <r>
      <rPr>
        <sz val="12"/>
        <color theme="1"/>
        <rFont val="Calibri"/>
        <family val="2"/>
      </rPr>
      <t xml:space="preserve">Aircraft lease, depreciation and amortization </t>
    </r>
    <r>
      <rPr>
        <i/>
        <sz val="12"/>
        <color theme="1"/>
        <rFont val="Calibri"/>
        <family val="2"/>
      </rPr>
      <t>(from 2018)</t>
    </r>
    <r>
      <rPr>
        <sz val="12"/>
        <color theme="1"/>
        <rFont val="Calibri"/>
        <family val="2"/>
      </rPr>
      <t xml:space="preserve"> (O)</t>
    </r>
  </si>
  <si>
    <t>EBIT</t>
  </si>
  <si>
    <t>= EBIT (operating profit) (O)</t>
  </si>
  <si>
    <t>Interest income (F)</t>
  </si>
  <si>
    <t>Adjusted additional tax expences</t>
  </si>
  <si>
    <t>interest expense (F)</t>
  </si>
  <si>
    <t xml:space="preserve">Tax shield </t>
  </si>
  <si>
    <t>Other financial income (expense) (F)</t>
  </si>
  <si>
    <t>NOPAT</t>
  </si>
  <si>
    <t xml:space="preserve">= Net financial items </t>
  </si>
  <si>
    <t xml:space="preserve">Profit (loss) before tax (EBT) </t>
  </si>
  <si>
    <t xml:space="preserve">Income tax expense (income) (O + F) </t>
  </si>
  <si>
    <t>Net financial income/expenses</t>
  </si>
  <si>
    <t>Adjusted additional income expences</t>
  </si>
  <si>
    <t xml:space="preserve">Net profit (loss) </t>
  </si>
  <si>
    <t>Profit (loss) from continued operations</t>
  </si>
  <si>
    <t xml:space="preserve">Profit (loss) for the period </t>
  </si>
  <si>
    <t>Reformulated income statement in TNOK</t>
  </si>
  <si>
    <t>Reformulated and adjusted income statement in TNOK</t>
  </si>
  <si>
    <t>Operating income</t>
  </si>
  <si>
    <t>Operating expenses</t>
  </si>
  <si>
    <t xml:space="preserve">Effective tax rate </t>
  </si>
  <si>
    <t>Marginal tax rate (from the Norvg government)</t>
  </si>
  <si>
    <t>CONSOLIDATED FINANCIAL STATEMENT: Balance sheet in NOK 1000</t>
  </si>
  <si>
    <t>ASSETS</t>
  </si>
  <si>
    <t xml:space="preserve">EQUITY AND LIABILITIES </t>
  </si>
  <si>
    <t>Intangible assets (O)</t>
  </si>
  <si>
    <t>Share capital (E)</t>
  </si>
  <si>
    <t>Deferred tax asset (O)</t>
  </si>
  <si>
    <t>Share premium (E)</t>
  </si>
  <si>
    <t>Aircraft, parts and installations on leased aircraft (O)</t>
  </si>
  <si>
    <t>Other paid-in-equity (E)</t>
  </si>
  <si>
    <t>Right-of-use aircraft, parts and installations (O)</t>
  </si>
  <si>
    <t>Other reserves (E)</t>
  </si>
  <si>
    <t>Equipment and fixtures (O)</t>
  </si>
  <si>
    <t>Retained earnings (E)</t>
  </si>
  <si>
    <t>Right-of-use equipment (O)</t>
  </si>
  <si>
    <t xml:space="preserve">Shareholders' equity </t>
  </si>
  <si>
    <t>Buildings (O)</t>
  </si>
  <si>
    <t>Non-controlling interest (E)</t>
  </si>
  <si>
    <t>Right-of-use buildings (O)</t>
  </si>
  <si>
    <t>TOTAL EQUITY (E)</t>
  </si>
  <si>
    <t xml:space="preserve">Financial lease assets (O) </t>
  </si>
  <si>
    <t>Derivative financial instruments (F)</t>
  </si>
  <si>
    <t>Pension obligation (F)</t>
  </si>
  <si>
    <t>Financial assets available for sale (F)</t>
  </si>
  <si>
    <t>Provision for periodic maintenance (O)</t>
  </si>
  <si>
    <t>Investment in associates (O)</t>
  </si>
  <si>
    <t>Other non-current liabilities (O)</t>
  </si>
  <si>
    <t>Prepayment to aircraft manufacturers (O)</t>
  </si>
  <si>
    <t>Deferred tax (O)</t>
  </si>
  <si>
    <t>Other receivables (O)</t>
  </si>
  <si>
    <t>Borrowings (F)</t>
  </si>
  <si>
    <t>Total non-current assets</t>
  </si>
  <si>
    <t>Lease liabilities (O)</t>
  </si>
  <si>
    <t>Derivative financial intstruments (F)</t>
  </si>
  <si>
    <t>Asset held for sale (F)</t>
  </si>
  <si>
    <t>Total non-current liabilities</t>
  </si>
  <si>
    <t>Inventory (O)</t>
  </si>
  <si>
    <t>Trade and other receivables (O)</t>
  </si>
  <si>
    <t>Trade and other payables (O)</t>
  </si>
  <si>
    <t>Investments in financial assets (F)</t>
  </si>
  <si>
    <t>Air traffic settlement liabilities (O)</t>
  </si>
  <si>
    <t>Cash and cash equivalent (F)</t>
  </si>
  <si>
    <t xml:space="preserve">TOT current assets </t>
  </si>
  <si>
    <t>Tax payable (O)</t>
  </si>
  <si>
    <t>Other current liabilities (Q4 2020) (O)</t>
  </si>
  <si>
    <t xml:space="preserve">TOTAL ASSETS </t>
  </si>
  <si>
    <t>Liabilities included in disposal group classified as held for sale (Q4 2020) (F)</t>
  </si>
  <si>
    <t xml:space="preserve">Total current liabilities </t>
  </si>
  <si>
    <t xml:space="preserve">TOT LIABILITIES </t>
  </si>
  <si>
    <t xml:space="preserve">TOTAL EQUITY AND LIABILITIES </t>
  </si>
  <si>
    <t>Norwegian ASA balance sheet, TA format</t>
  </si>
  <si>
    <t>ONCA</t>
  </si>
  <si>
    <t>ONCL</t>
  </si>
  <si>
    <t>OCA</t>
  </si>
  <si>
    <t>NCIBD</t>
  </si>
  <si>
    <t>FNCA</t>
  </si>
  <si>
    <t>CIBD</t>
  </si>
  <si>
    <t>IBD</t>
  </si>
  <si>
    <t>FCA</t>
  </si>
  <si>
    <t>FA</t>
  </si>
  <si>
    <t>TA(ONCA+OCA+FA)</t>
  </si>
  <si>
    <t>OCL</t>
  </si>
  <si>
    <t>E+ONCL+ NCIBD+IBD</t>
  </si>
  <si>
    <t>Norwegian ASA balance sheet, CE format</t>
  </si>
  <si>
    <t>NONCA (ONCA-ONCL)</t>
  </si>
  <si>
    <t>E+IBD</t>
  </si>
  <si>
    <t>NOWC (OCA-OCL)</t>
  </si>
  <si>
    <t>NOA (NONCA+NOWC)</t>
  </si>
  <si>
    <t>CE (NOA+FA)</t>
  </si>
  <si>
    <t>Norwegian ASA balance sheet, NOA format</t>
  </si>
  <si>
    <t>NIBD</t>
  </si>
  <si>
    <t>E+NIBD</t>
  </si>
  <si>
    <t>Norwegian ASA balance sheet, NOA format adjusted</t>
  </si>
  <si>
    <t>Right-of-use aircraft, parts and installations adjustments(O)</t>
  </si>
  <si>
    <t>Changes in retained earnings due to adjustments</t>
  </si>
  <si>
    <t>Additions in deferred tax due to adjustment</t>
  </si>
  <si>
    <t>Additional lease liabilities due to adjustments (O)</t>
  </si>
  <si>
    <t>Reformulated balance sheet, key figures</t>
  </si>
  <si>
    <t>Reformulated and adjusted balance sheet, key figures</t>
  </si>
  <si>
    <t>NONCA</t>
  </si>
  <si>
    <t>NOWC</t>
  </si>
  <si>
    <t>NOA</t>
  </si>
  <si>
    <t>Equity</t>
  </si>
  <si>
    <t>Equity+NIBD</t>
  </si>
  <si>
    <t>Cash Flow analysis, adjusted numbers</t>
  </si>
  <si>
    <t>+Depreciation</t>
  </si>
  <si>
    <t>-/+ Changes in NOWC</t>
  </si>
  <si>
    <t>-/+ Changes in NONCA</t>
  </si>
  <si>
    <t>Free cash flow to the firm (FCFF)</t>
  </si>
  <si>
    <t>+/- Changes in NIBD without cash</t>
  </si>
  <si>
    <t>Net finance</t>
  </si>
  <si>
    <t>+/- tax shield from NFE</t>
  </si>
  <si>
    <t>Free CF to equity holders</t>
  </si>
  <si>
    <t>+/- Changes in Equity</t>
  </si>
  <si>
    <t>Income from discontinuing operations</t>
  </si>
  <si>
    <t>Cash surplus</t>
  </si>
  <si>
    <t>Cash 01.01.</t>
  </si>
  <si>
    <t>= Cash 31.12</t>
  </si>
  <si>
    <t>Real cash holdings, for comparison</t>
  </si>
  <si>
    <t>Diff</t>
  </si>
  <si>
    <t>Comparing profits to OA</t>
  </si>
  <si>
    <t xml:space="preserve">Profit </t>
  </si>
  <si>
    <t xml:space="preserve">OA </t>
  </si>
  <si>
    <t>IFRS 16: ADJUSTMENTS</t>
  </si>
  <si>
    <t>Minimum future rental payments in NOK 1000</t>
  </si>
  <si>
    <t xml:space="preserve">Within 1 year </t>
  </si>
  <si>
    <t>Between 1-5 years</t>
  </si>
  <si>
    <t xml:space="preserve">After 5 years </t>
  </si>
  <si>
    <t>Annual rental payments</t>
  </si>
  <si>
    <t>Discount rate (average rd)</t>
  </si>
  <si>
    <t>Total</t>
  </si>
  <si>
    <t>PV of annual rental payments</t>
  </si>
  <si>
    <t>Present value</t>
  </si>
  <si>
    <t xml:space="preserve">Changes in income statement </t>
  </si>
  <si>
    <t xml:space="preserve">Effect </t>
  </si>
  <si>
    <t>Cost of sales</t>
  </si>
  <si>
    <t xml:space="preserve">Aircraft leases </t>
  </si>
  <si>
    <t xml:space="preserve">Reduction </t>
  </si>
  <si>
    <t xml:space="preserve">Depreciation and amortization </t>
  </si>
  <si>
    <t xml:space="preserve">Increase </t>
  </si>
  <si>
    <t xml:space="preserve">Interest expense </t>
  </si>
  <si>
    <t xml:space="preserve">Income tax expense </t>
  </si>
  <si>
    <t>Changes in net profit</t>
  </si>
  <si>
    <t xml:space="preserve">Changes in balance sheet </t>
  </si>
  <si>
    <t xml:space="preserve">Beginning capitalization </t>
  </si>
  <si>
    <t xml:space="preserve">New leases </t>
  </si>
  <si>
    <t xml:space="preserve">Annual depreciation </t>
  </si>
  <si>
    <t xml:space="preserve">= Non-current tangible assets </t>
  </si>
  <si>
    <t xml:space="preserve">Beginning debt </t>
  </si>
  <si>
    <t xml:space="preserve">Debt repayement </t>
  </si>
  <si>
    <t>= Non-current operational liabilities</t>
  </si>
  <si>
    <t>=Changes in NONCA</t>
  </si>
  <si>
    <t xml:space="preserve">Deferred tax liability </t>
  </si>
  <si>
    <t xml:space="preserve">Shareholders equity </t>
  </si>
  <si>
    <t>PALEPU STEPS</t>
  </si>
  <si>
    <t>2: value of changes in liabilities/assets</t>
  </si>
  <si>
    <t>Last year's PV of future rental payments within one year</t>
  </si>
  <si>
    <t>Interest rate</t>
  </si>
  <si>
    <t>Last year's anticipated value of current year</t>
  </si>
  <si>
    <t>Actual total value current year</t>
  </si>
  <si>
    <t>Last year's reported lease expense within one year</t>
  </si>
  <si>
    <t>Actual reported lease expense</t>
  </si>
  <si>
    <t>Difference (increase in non-current tangible assets + non-current debt</t>
  </si>
  <si>
    <t>4:apportion between interest expense and repayment debt</t>
  </si>
  <si>
    <t xml:space="preserve">Interest rate </t>
  </si>
  <si>
    <t xml:space="preserve">Beginning lease liability </t>
  </si>
  <si>
    <t>Increase in leased liability</t>
  </si>
  <si>
    <t xml:space="preserve">= Interest expense of the year </t>
  </si>
  <si>
    <t xml:space="preserve">= Non-current Debt repayment </t>
  </si>
  <si>
    <t>5: Reflecting change in leased assetd and depreciation expense</t>
  </si>
  <si>
    <t>Depreciation rate (consistent with sum-of-the years' digits approach)</t>
  </si>
  <si>
    <t xml:space="preserve">Increase in leased liability </t>
  </si>
  <si>
    <t xml:space="preserve">= Depreciation expense </t>
  </si>
  <si>
    <t>6: Changes in tax expense</t>
  </si>
  <si>
    <t xml:space="preserve">Depreciation expense </t>
  </si>
  <si>
    <t xml:space="preserve">= Expenses under finance lease method </t>
  </si>
  <si>
    <t xml:space="preserve">Reported expenses (operating lease method) </t>
  </si>
  <si>
    <t xml:space="preserve">Tax rate </t>
  </si>
  <si>
    <t>= Changes in tax expense</t>
  </si>
  <si>
    <t>Calculation of beta</t>
  </si>
  <si>
    <t>OSEBX.OL</t>
  </si>
  <si>
    <t>NAS</t>
  </si>
  <si>
    <t>BETA varies each year</t>
  </si>
  <si>
    <t>BETA</t>
  </si>
  <si>
    <t>Date</t>
  </si>
  <si>
    <t>Price</t>
  </si>
  <si>
    <t>RM</t>
  </si>
  <si>
    <t>Re</t>
  </si>
  <si>
    <t>Dec 20</t>
  </si>
  <si>
    <t>2014-2019</t>
  </si>
  <si>
    <t>Nov 20</t>
  </si>
  <si>
    <t>Oct 20</t>
  </si>
  <si>
    <t>Sep 20</t>
  </si>
  <si>
    <t>Aug 20</t>
  </si>
  <si>
    <t>Jul 20</t>
  </si>
  <si>
    <t>Jun 20</t>
  </si>
  <si>
    <t>May 20</t>
  </si>
  <si>
    <t>Apr 20</t>
  </si>
  <si>
    <t>Mar 20</t>
  </si>
  <si>
    <t>Feb 20</t>
  </si>
  <si>
    <t>Jan 20</t>
  </si>
  <si>
    <t>Dec 19</t>
  </si>
  <si>
    <t>Nov 19</t>
  </si>
  <si>
    <t>Oct 19</t>
  </si>
  <si>
    <t>Sep 19</t>
  </si>
  <si>
    <t>Aug 19</t>
  </si>
  <si>
    <t>Jul 19</t>
  </si>
  <si>
    <t>Jun 19</t>
  </si>
  <si>
    <t>May 19</t>
  </si>
  <si>
    <t>Apr 19</t>
  </si>
  <si>
    <t>Mar 19</t>
  </si>
  <si>
    <t>Feb 19</t>
  </si>
  <si>
    <t>Jan 19</t>
  </si>
  <si>
    <t>Dec 18</t>
  </si>
  <si>
    <t>Nov 18</t>
  </si>
  <si>
    <t>Oct 18</t>
  </si>
  <si>
    <t>Sep 18</t>
  </si>
  <si>
    <t>Aug 18</t>
  </si>
  <si>
    <t>Jul 18</t>
  </si>
  <si>
    <t>Jun 18</t>
  </si>
  <si>
    <t>May 18</t>
  </si>
  <si>
    <t>Apr 18</t>
  </si>
  <si>
    <t>Mar 18</t>
  </si>
  <si>
    <t>Feb 18</t>
  </si>
  <si>
    <t>Jan 18</t>
  </si>
  <si>
    <t>Dec 17</t>
  </si>
  <si>
    <t>Nov 17</t>
  </si>
  <si>
    <t>Oct 17</t>
  </si>
  <si>
    <t>Sep 17</t>
  </si>
  <si>
    <t>Aug 17</t>
  </si>
  <si>
    <t>Jul 17</t>
  </si>
  <si>
    <t>Jun 17</t>
  </si>
  <si>
    <t>May 17</t>
  </si>
  <si>
    <t>Apr 17</t>
  </si>
  <si>
    <t>Mar 17</t>
  </si>
  <si>
    <t>Feb 17</t>
  </si>
  <si>
    <t>Jan 17</t>
  </si>
  <si>
    <t>Dec 16</t>
  </si>
  <si>
    <t>Nov 16</t>
  </si>
  <si>
    <t>Oct 16</t>
  </si>
  <si>
    <t>Sep 16</t>
  </si>
  <si>
    <t>Aug 16</t>
  </si>
  <si>
    <t>Jul 16</t>
  </si>
  <si>
    <t>Jun 16</t>
  </si>
  <si>
    <t>May 16</t>
  </si>
  <si>
    <t>Apr 16</t>
  </si>
  <si>
    <t>Mar 16</t>
  </si>
  <si>
    <t>Feb 16</t>
  </si>
  <si>
    <t>Jan 16</t>
  </si>
  <si>
    <t>Dec 15</t>
  </si>
  <si>
    <t>Nov 15</t>
  </si>
  <si>
    <t>Oct 15</t>
  </si>
  <si>
    <t>Sep 15</t>
  </si>
  <si>
    <t>Aug 15</t>
  </si>
  <si>
    <t>Jul 15</t>
  </si>
  <si>
    <t>Jun 15</t>
  </si>
  <si>
    <t>May 15</t>
  </si>
  <si>
    <t>Apr 15</t>
  </si>
  <si>
    <t>Mar 15</t>
  </si>
  <si>
    <t>Feb 15</t>
  </si>
  <si>
    <t>Jan 15</t>
  </si>
  <si>
    <t>Dec 14</t>
  </si>
  <si>
    <t>Nov 14</t>
  </si>
  <si>
    <t>Oct 14</t>
  </si>
  <si>
    <t>Sep 14</t>
  </si>
  <si>
    <t>Aug 14</t>
  </si>
  <si>
    <t>Jul 14</t>
  </si>
  <si>
    <t>Jun 14</t>
  </si>
  <si>
    <t>May 14</t>
  </si>
  <si>
    <t>Apr 14</t>
  </si>
  <si>
    <t>Mar 14</t>
  </si>
  <si>
    <t>Feb 14</t>
  </si>
  <si>
    <t>Jan 14</t>
  </si>
  <si>
    <t>Dec 13</t>
  </si>
  <si>
    <t>Nov 13</t>
  </si>
  <si>
    <t>Oct 13</t>
  </si>
  <si>
    <t>Sep 13</t>
  </si>
  <si>
    <t>Aug 13</t>
  </si>
  <si>
    <t>Jul 13</t>
  </si>
  <si>
    <t>Jun 13</t>
  </si>
  <si>
    <t>May 13</t>
  </si>
  <si>
    <t>Apr 13</t>
  </si>
  <si>
    <t>Mar 13</t>
  </si>
  <si>
    <t>Feb 13</t>
  </si>
  <si>
    <t>Jan 13</t>
  </si>
  <si>
    <t>Profitability</t>
  </si>
  <si>
    <t xml:space="preserve">Tables used in thesis </t>
  </si>
  <si>
    <t>ROIC</t>
  </si>
  <si>
    <t>ROE</t>
  </si>
  <si>
    <t>Using only  2019 equity due to 2020 being negative</t>
  </si>
  <si>
    <t xml:space="preserve">ROE </t>
  </si>
  <si>
    <t>WACC</t>
  </si>
  <si>
    <t xml:space="preserve">Income </t>
  </si>
  <si>
    <t>Calculation of WACC</t>
  </si>
  <si>
    <t xml:space="preserve">Equity </t>
  </si>
  <si>
    <t>Beta</t>
  </si>
  <si>
    <t>Risk free rate</t>
  </si>
  <si>
    <t>Rm</t>
  </si>
  <si>
    <t xml:space="preserve">ROIC </t>
  </si>
  <si>
    <t>=Rf+B*Rm</t>
  </si>
  <si>
    <t xml:space="preserve">WACC </t>
  </si>
  <si>
    <t>Rd</t>
  </si>
  <si>
    <t>From annual reports</t>
  </si>
  <si>
    <t>Tax rate</t>
  </si>
  <si>
    <t>Nopat</t>
  </si>
  <si>
    <t>MVE</t>
  </si>
  <si>
    <t>MVE+NIBD</t>
  </si>
  <si>
    <t>Calculated WACC</t>
  </si>
  <si>
    <t>IF WACC&gt;RE, --&gt; RE</t>
  </si>
  <si>
    <t>RI</t>
  </si>
  <si>
    <t xml:space="preserve">- Re </t>
  </si>
  <si>
    <t>* Avg BVE</t>
  </si>
  <si>
    <t>2020 from 2019</t>
  </si>
  <si>
    <t xml:space="preserve">= RI </t>
  </si>
  <si>
    <t>EVA</t>
  </si>
  <si>
    <t xml:space="preserve">- WACC </t>
  </si>
  <si>
    <t>*NOA</t>
  </si>
  <si>
    <t xml:space="preserve">= EVA </t>
  </si>
  <si>
    <t>Number of shares 31.12</t>
  </si>
  <si>
    <t>Closing price 31.12</t>
  </si>
  <si>
    <t>MVE in TNOK</t>
  </si>
  <si>
    <t>BVE in TNOK</t>
  </si>
  <si>
    <t>Key numbers</t>
  </si>
  <si>
    <t>Profit of the year</t>
  </si>
  <si>
    <t>Historical growth in key numbers</t>
  </si>
  <si>
    <t xml:space="preserve">Norwegian ASA </t>
  </si>
  <si>
    <t>Liquidity ratios</t>
  </si>
  <si>
    <t xml:space="preserve">Financial ratio </t>
  </si>
  <si>
    <t xml:space="preserve">Current ratio </t>
  </si>
  <si>
    <t xml:space="preserve">Operating Cash-Flow ratio </t>
  </si>
  <si>
    <t xml:space="preserve">Working capital turnover </t>
  </si>
  <si>
    <t xml:space="preserve">SAS </t>
  </si>
  <si>
    <t>N/A</t>
  </si>
  <si>
    <t>Solvency ratios</t>
  </si>
  <si>
    <t xml:space="preserve">Lufthansa </t>
  </si>
  <si>
    <t>Solvency ratio</t>
  </si>
  <si>
    <t>Interest Coverage Ratio</t>
  </si>
  <si>
    <t>Operating Cash-Flow ratio</t>
  </si>
  <si>
    <t>Operating Cash Flow</t>
  </si>
  <si>
    <t>Operating current liabilities</t>
  </si>
  <si>
    <t xml:space="preserve">LIQUIDITY </t>
  </si>
  <si>
    <t xml:space="preserve">Current assets </t>
  </si>
  <si>
    <t xml:space="preserve">Operating current liabilities </t>
  </si>
  <si>
    <t>= Current ratio</t>
  </si>
  <si>
    <t xml:space="preserve">NOPAT </t>
  </si>
  <si>
    <t xml:space="preserve">+ Depreciation expense </t>
  </si>
  <si>
    <t xml:space="preserve">-+ changes in NOWC </t>
  </si>
  <si>
    <t xml:space="preserve">+/- Net income from disc. Operations </t>
  </si>
  <si>
    <t xml:space="preserve">Net revenue </t>
  </si>
  <si>
    <t xml:space="preserve">Average working capital </t>
  </si>
  <si>
    <t xml:space="preserve">= Working capital turnover </t>
  </si>
  <si>
    <t xml:space="preserve">SOLVENCY </t>
  </si>
  <si>
    <t xml:space="preserve">Total liabilities </t>
  </si>
  <si>
    <t>= Ratio</t>
  </si>
  <si>
    <t xml:space="preserve">Solvency ratio </t>
  </si>
  <si>
    <t xml:space="preserve">= Ratio </t>
  </si>
  <si>
    <t xml:space="preserve">Interest Coverage Ratio </t>
  </si>
  <si>
    <t xml:space="preserve">EBIT </t>
  </si>
  <si>
    <t xml:space="preserve">Net financial expense </t>
  </si>
  <si>
    <t xml:space="preserve">Interest Coverage ratio </t>
  </si>
  <si>
    <t xml:space="preserve">Debt-to-asset ratio </t>
  </si>
  <si>
    <t xml:space="preserve">Total liabiltieis </t>
  </si>
  <si>
    <t>Total assets</t>
  </si>
  <si>
    <t xml:space="preserve">Total-debt-to-total-assets </t>
  </si>
  <si>
    <t xml:space="preserve">Norwegian ASA pre COVID-19 </t>
  </si>
  <si>
    <t xml:space="preserve">Norwegian ASA 2020 </t>
  </si>
  <si>
    <t>Income statement</t>
  </si>
  <si>
    <t>Historical figures</t>
  </si>
  <si>
    <t>Forecast horizon</t>
  </si>
  <si>
    <t>TNOK</t>
  </si>
  <si>
    <t>Selected ratios</t>
  </si>
  <si>
    <t>Historical average</t>
  </si>
  <si>
    <t>Average without 2020</t>
  </si>
  <si>
    <t xml:space="preserve">Revenue growth </t>
  </si>
  <si>
    <t>Other income/revenue</t>
  </si>
  <si>
    <t>EBITDA/operating income</t>
  </si>
  <si>
    <t xml:space="preserve">EBITDA/operating income </t>
  </si>
  <si>
    <t>Expenses/operating income</t>
  </si>
  <si>
    <t>Depr/ ONCA</t>
  </si>
  <si>
    <t xml:space="preserve">Net finance/NIBD w/o cash </t>
  </si>
  <si>
    <t>Tax percentage</t>
  </si>
  <si>
    <t>Balance sheet, key figures</t>
  </si>
  <si>
    <t>Cash</t>
  </si>
  <si>
    <t>FA w/o cash</t>
  </si>
  <si>
    <t xml:space="preserve">NIBD wo/cash </t>
  </si>
  <si>
    <t>Balance sheet</t>
  </si>
  <si>
    <t>OCA/Operating income</t>
  </si>
  <si>
    <t>OCL/operating income</t>
  </si>
  <si>
    <t>ONCA/ Operating income</t>
  </si>
  <si>
    <t>ONCL/Operating income</t>
  </si>
  <si>
    <t>IBD/NOA</t>
  </si>
  <si>
    <t>FA w/o cash/NOA</t>
  </si>
  <si>
    <t>Cash flow</t>
  </si>
  <si>
    <t xml:space="preserve">diff </t>
  </si>
  <si>
    <t>Pre COVID-19 Valuation</t>
  </si>
  <si>
    <t>2020 valuation</t>
  </si>
  <si>
    <t>EVA-model</t>
  </si>
  <si>
    <t>Explicit forecasting period</t>
  </si>
  <si>
    <t>Summary of key data</t>
  </si>
  <si>
    <t>2024 (Terminal)</t>
  </si>
  <si>
    <t>2025(Terminal)</t>
  </si>
  <si>
    <t>Period</t>
  </si>
  <si>
    <t xml:space="preserve">NOA </t>
  </si>
  <si>
    <t>Cost of capital</t>
  </si>
  <si>
    <t>Discount factor</t>
  </si>
  <si>
    <t>PV of EVAs in Explic at 31.12.2019</t>
  </si>
  <si>
    <t>PV of EVAs in Explic at 31.12.2020</t>
  </si>
  <si>
    <t>PV of EVAS in terminal at 31.12.2024</t>
  </si>
  <si>
    <t>PV of EVAS in terminal at 31.12.2025</t>
  </si>
  <si>
    <t>PV of EVAs in terminal per 31.12.2019</t>
  </si>
  <si>
    <t>PV of EVAs in terminal per 31.12.2020</t>
  </si>
  <si>
    <t>PV of all EVAs per 31.12.2019</t>
  </si>
  <si>
    <t>PV of all EVAs per 31.12.2020</t>
  </si>
  <si>
    <t>EV per 31.12.2019</t>
  </si>
  <si>
    <t>EV per 31.12.2020</t>
  </si>
  <si>
    <t>NIBD per 31.12.2019</t>
  </si>
  <si>
    <t>NIBD per 31.12.2020</t>
  </si>
  <si>
    <t>MVE per 31.12.2019</t>
  </si>
  <si>
    <t>MVE per 31.12.2020</t>
  </si>
  <si>
    <t>FCFF-model</t>
  </si>
  <si>
    <t>FCFF</t>
  </si>
  <si>
    <t>Discount rate</t>
  </si>
  <si>
    <t>Present value of FCFF in explicit</t>
  </si>
  <si>
    <t>PV of terminal per 31.12.6</t>
  </si>
  <si>
    <t>PV of terminal per 31.12.0</t>
  </si>
  <si>
    <t>EV per 31.12.0</t>
  </si>
  <si>
    <t>NIBD per 31.12.0</t>
  </si>
  <si>
    <t>MVE per 31.12.0</t>
  </si>
  <si>
    <t>Bloomberg market cap</t>
  </si>
  <si>
    <t>31.12.2020/01.01.2021</t>
  </si>
  <si>
    <t>NORWEGIAN</t>
  </si>
  <si>
    <t>3,4558 BNOK</t>
  </si>
  <si>
    <t>2,4088 BNOK</t>
  </si>
  <si>
    <t>7,7489 BNOK</t>
  </si>
  <si>
    <t>Sensitivity analysis : pre-COVID</t>
  </si>
  <si>
    <t xml:space="preserve">Changes in revenue growth </t>
  </si>
  <si>
    <t>Changes in EBITDA growth</t>
  </si>
  <si>
    <t>Sensitivity analysis : 2020</t>
  </si>
  <si>
    <t>Income statement: SAS</t>
  </si>
  <si>
    <t xml:space="preserve">Reformulated income statement: SAS </t>
  </si>
  <si>
    <t xml:space="preserve">Income statement Lufthansa </t>
  </si>
  <si>
    <t xml:space="preserve">Reformulated income statement: Lufthansa </t>
  </si>
  <si>
    <t>In millions</t>
  </si>
  <si>
    <t>Revenue</t>
  </si>
  <si>
    <t xml:space="preserve">Traffic revenue </t>
  </si>
  <si>
    <t xml:space="preserve">Personnel expenses </t>
  </si>
  <si>
    <t xml:space="preserve">Income from shares in affiliated companies </t>
  </si>
  <si>
    <t xml:space="preserve">Other revenue </t>
  </si>
  <si>
    <t xml:space="preserve">Jet-fuel costs </t>
  </si>
  <si>
    <t xml:space="preserve">Income from sale of aircraft and other non-current assets </t>
  </si>
  <si>
    <t xml:space="preserve">Total revenue </t>
  </si>
  <si>
    <t xml:space="preserve">Other operating income </t>
  </si>
  <si>
    <t xml:space="preserve">Air traffic charges </t>
  </si>
  <si>
    <t xml:space="preserve">Total operating income </t>
  </si>
  <si>
    <t xml:space="preserve">Changes in inventories and work performed by entity and capitalised </t>
  </si>
  <si>
    <t xml:space="preserve">Other external expenses </t>
  </si>
  <si>
    <t xml:space="preserve">Result of equity investments accounted for using the equity method </t>
  </si>
  <si>
    <t xml:space="preserve">Depreciation, amortization and impairment </t>
  </si>
  <si>
    <t xml:space="preserve">Result of other equity investments </t>
  </si>
  <si>
    <t xml:space="preserve">Cost of materials and services </t>
  </si>
  <si>
    <t xml:space="preserve">Profit/loss attributable to non-controlling interests </t>
  </si>
  <si>
    <t xml:space="preserve">Staff costs </t>
  </si>
  <si>
    <t>Total operating income</t>
  </si>
  <si>
    <t xml:space="preserve">= Operating income </t>
  </si>
  <si>
    <t>Total operating expenses</t>
  </si>
  <si>
    <t xml:space="preserve">Depreciation, amortisation and impairment </t>
  </si>
  <si>
    <t>= EBITDA</t>
  </si>
  <si>
    <t xml:space="preserve">Other operating expenses </t>
  </si>
  <si>
    <t xml:space="preserve">Financial income </t>
  </si>
  <si>
    <t xml:space="preserve">= Profit/loss from operating activities </t>
  </si>
  <si>
    <t xml:space="preserve">Financial expenses </t>
  </si>
  <si>
    <t>= EBIT</t>
  </si>
  <si>
    <t xml:space="preserve">=Income before tax </t>
  </si>
  <si>
    <t>Tax</t>
  </si>
  <si>
    <t xml:space="preserve">Total operating expense </t>
  </si>
  <si>
    <t xml:space="preserve">Tax-shield </t>
  </si>
  <si>
    <t xml:space="preserve">= EBITDA </t>
  </si>
  <si>
    <t xml:space="preserve">= NOPAT </t>
  </si>
  <si>
    <t xml:space="preserve">Interest income </t>
  </si>
  <si>
    <t xml:space="preserve">Net income for the year </t>
  </si>
  <si>
    <t xml:space="preserve">Interest expenses </t>
  </si>
  <si>
    <t xml:space="preserve">=EBIT </t>
  </si>
  <si>
    <t xml:space="preserve">Other financial items </t>
  </si>
  <si>
    <t xml:space="preserve">Income taxes </t>
  </si>
  <si>
    <t xml:space="preserve">Net financial income/expense </t>
  </si>
  <si>
    <t xml:space="preserve">Financial result </t>
  </si>
  <si>
    <t xml:space="preserve">= Profit/loss before income taxes </t>
  </si>
  <si>
    <t xml:space="preserve"> = NOPAT </t>
  </si>
  <si>
    <t>1sek = 1,04NOK 31.12.2019 og 01.01.2020</t>
  </si>
  <si>
    <t>Net income for the year</t>
  </si>
  <si>
    <t xml:space="preserve">Profit/loss after income taxes </t>
  </si>
  <si>
    <t xml:space="preserve">Marginal tax rate in Sweden </t>
  </si>
  <si>
    <t xml:space="preserve"> = Net profit/loss attributable to shareholders of Deutsche Lufthansa AG </t>
  </si>
  <si>
    <t xml:space="preserve">Net profit/loss attributable to shareholders of Deutsche Lufthansa AG </t>
  </si>
  <si>
    <t>Balancesheet SAS</t>
  </si>
  <si>
    <t xml:space="preserve">MVE = Price pr. Share *  outstanding shares </t>
  </si>
  <si>
    <t xml:space="preserve">Corporate tax rate </t>
  </si>
  <si>
    <t xml:space="preserve">Price per share </t>
  </si>
  <si>
    <t>Assets</t>
  </si>
  <si>
    <t xml:space="preserve">Number of outstanding shares </t>
  </si>
  <si>
    <t xml:space="preserve">Cash and Cash equivavlents </t>
  </si>
  <si>
    <t xml:space="preserve">MVE (in millions) </t>
  </si>
  <si>
    <t>Balancesheet Lufthansa</t>
  </si>
  <si>
    <t xml:space="preserve">Assets </t>
  </si>
  <si>
    <t xml:space="preserve">outstanding shares </t>
  </si>
  <si>
    <t>Total Equity</t>
  </si>
  <si>
    <t>EV=MVE+Total debt - C</t>
  </si>
  <si>
    <t xml:space="preserve">Liabilities </t>
  </si>
  <si>
    <t>+Tot debt</t>
  </si>
  <si>
    <t xml:space="preserve">Non-current liabilities </t>
  </si>
  <si>
    <t xml:space="preserve">- cash </t>
  </si>
  <si>
    <t xml:space="preserve">Current liabilities </t>
  </si>
  <si>
    <t xml:space="preserve">=EV (in millions) </t>
  </si>
  <si>
    <t>=EV</t>
  </si>
  <si>
    <t xml:space="preserve">Financial ratio - SAS </t>
  </si>
  <si>
    <t xml:space="preserve">Financial ratios - Lufthansa </t>
  </si>
  <si>
    <t xml:space="preserve">= Financial ratio </t>
  </si>
  <si>
    <t>Relative valuation using estimated EBIT and EBITDA from bloomberg</t>
  </si>
  <si>
    <t>SAS</t>
  </si>
  <si>
    <t/>
  </si>
  <si>
    <t>D/E</t>
  </si>
  <si>
    <t xml:space="preserve">Key numbers </t>
  </si>
  <si>
    <t xml:space="preserve">Peers and Norwegian </t>
  </si>
  <si>
    <t>EV</t>
  </si>
  <si>
    <t xml:space="preserve">EBITDA </t>
  </si>
  <si>
    <t xml:space="preserve">Cash </t>
  </si>
  <si>
    <t xml:space="preserve">Total debt </t>
  </si>
  <si>
    <t xml:space="preserve">Relative valuation: Enterprise </t>
  </si>
  <si>
    <t xml:space="preserve">Average </t>
  </si>
  <si>
    <t>Relative valuation using price to book</t>
  </si>
  <si>
    <t xml:space="preserve">EV/ EBITDA </t>
  </si>
  <si>
    <t xml:space="preserve">MVE </t>
  </si>
  <si>
    <t xml:space="preserve">EV/EBIT </t>
  </si>
  <si>
    <t xml:space="preserve">BVE </t>
  </si>
  <si>
    <t>MVE/BVE</t>
  </si>
  <si>
    <t>MVE Norwegian ASA using enterprise value multiples</t>
  </si>
  <si>
    <t>Average each year</t>
  </si>
  <si>
    <t>Result from EV/EBITDA</t>
  </si>
  <si>
    <t>Result from EV/EBIT</t>
  </si>
  <si>
    <t>MVE Norwegian ASA using equity multiples</t>
  </si>
  <si>
    <t>Average MVE</t>
  </si>
  <si>
    <t>BVE</t>
  </si>
  <si>
    <t>Average MVE/BVE from peers</t>
  </si>
  <si>
    <t>Relative valuation summary</t>
  </si>
  <si>
    <t xml:space="preserve">MVE from: </t>
  </si>
  <si>
    <t xml:space="preserve">Enterprise value multiples </t>
  </si>
  <si>
    <t xml:space="preserve">Equity multiples </t>
  </si>
  <si>
    <t>In thousands</t>
  </si>
  <si>
    <t xml:space="preserve">Bloomberg BEST EBITDA </t>
  </si>
  <si>
    <t>6,7327 B</t>
  </si>
  <si>
    <t>-3,6290 B</t>
  </si>
  <si>
    <t>Everything in local currency (same as reported balance sheets)</t>
  </si>
  <si>
    <t>8,5115 B</t>
  </si>
  <si>
    <t>906,5 M</t>
  </si>
  <si>
    <t>LUFTHANSA</t>
  </si>
  <si>
    <t>4,637 B</t>
  </si>
  <si>
    <t>-2,8034 B</t>
  </si>
  <si>
    <t>Bloomberg BEST EBIT</t>
  </si>
  <si>
    <t>714 M</t>
  </si>
  <si>
    <t>-8,9235 B</t>
  </si>
  <si>
    <t>2,6367 B</t>
  </si>
  <si>
    <t>-4,3850 B</t>
  </si>
  <si>
    <t>2,0285 B</t>
  </si>
  <si>
    <t>-5,9579 B</t>
  </si>
  <si>
    <t>Accounting item in TNOK</t>
  </si>
  <si>
    <t xml:space="preserve">Book Values </t>
  </si>
  <si>
    <t xml:space="preserve">Estimated proceeds from liquidiation </t>
  </si>
  <si>
    <t>Tangible assets (including leases)</t>
  </si>
  <si>
    <t>Intangible assets</t>
  </si>
  <si>
    <t>Financial assets</t>
  </si>
  <si>
    <t>Financial assets held for sale</t>
  </si>
  <si>
    <t>Inventories</t>
  </si>
  <si>
    <t>Accounts receivable</t>
  </si>
  <si>
    <t>Deferred tax asset and investments in associates</t>
  </si>
  <si>
    <t xml:space="preserve">Total assets </t>
  </si>
  <si>
    <t>REIMBURSED LIABILITIES</t>
  </si>
  <si>
    <t>Financial liabilities</t>
  </si>
  <si>
    <t>Accounts payable</t>
  </si>
  <si>
    <t>Total reimbursed liabilities</t>
  </si>
  <si>
    <t>Total value after liquidation</t>
  </si>
  <si>
    <t>Calculation tangible assets</t>
  </si>
  <si>
    <t>Aircraft type</t>
  </si>
  <si>
    <t>Number of owned</t>
  </si>
  <si>
    <t>Price used aircraft in $</t>
  </si>
  <si>
    <t>Price used aircraft in TNOK</t>
  </si>
  <si>
    <t>Value of Norwegian's aircraft</t>
  </si>
  <si>
    <t>Average new price in $</t>
  </si>
  <si>
    <t>New price in TNOK</t>
  </si>
  <si>
    <t>737-700: 89,1 mill dollar</t>
  </si>
  <si>
    <t>B737</t>
  </si>
  <si>
    <t>737-800: 106,1 mill dollar</t>
  </si>
  <si>
    <t>B737 MAX8</t>
  </si>
  <si>
    <t xml:space="preserve">787-8: 248,3 mill dollar </t>
  </si>
  <si>
    <t>B787-8/B787-9</t>
  </si>
  <si>
    <t xml:space="preserve">787-9: 292,5 mill dollar </t>
  </si>
  <si>
    <t>TOTAL</t>
  </si>
  <si>
    <t>NOK/USD</t>
  </si>
  <si>
    <t>Calculation intangible assets and inventories</t>
  </si>
  <si>
    <t>Type of asset</t>
  </si>
  <si>
    <t>Book value</t>
  </si>
  <si>
    <t>INTANGIBLE ASSETS</t>
  </si>
  <si>
    <t>Software</t>
  </si>
  <si>
    <t>Goodwill</t>
  </si>
  <si>
    <t>Other</t>
  </si>
  <si>
    <t>INVENTORIES</t>
  </si>
  <si>
    <t>Consumables</t>
  </si>
  <si>
    <t xml:space="preserve">Calculation </t>
  </si>
  <si>
    <t>Fluctuating profits, table 2.1</t>
  </si>
  <si>
    <t>Year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</si>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</sst>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-* #,##0.00_-;\-* #,##0.00_-;_-* &quot;-&quot;??_-;_-@"/>
    <numFmt numFmtId="165" formatCode="_-* #,##0_-;\-* #,##0_-;_-* &quot;-&quot;??_-;_-@"/>
    <numFmt numFmtId="166" formatCode="0.000\ %"/>
    <numFmt numFmtId="167" formatCode="0.0"/>
    <numFmt numFmtId="168" formatCode="#,##0.0000"/>
    <numFmt numFmtId="169" formatCode="0.0000\ %"/>
    <numFmt numFmtId="170" formatCode="0.0\ %"/>
    <numFmt numFmtId="171" formatCode="_-* #,##0.0000_-;\-* #,##0.0000_-;_-* &quot;-&quot;??_-;_-@"/>
    <numFmt numFmtId="172" formatCode="_-* #,##0.0_-;\-* #,##0.0_-;_-* &quot;-&quot;??_-;_-@_-"/>
    <numFmt numFmtId="173" formatCode="_-* #,##0.00000000000_-;\-* #,##0.00000000000_-;_-* &quot;-&quot;??_-;_-@"/>
    <numFmt numFmtId="174" formatCode="_-* #,##0.0000000_-;\-* #,##0.0000000_-;_-* &quot;-&quot;??_-;_-@"/>
  </numFmts>
  <fonts count="43" x14ac:knownFonts="1">
    <font>
      <sz val="12"/>
      <color theme="1"/>
      <name val="Arial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name val="Arial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sz val="12"/>
      <color rgb="FFAEABAB"/>
      <name val="Calibri"/>
      <family val="2"/>
    </font>
    <font>
      <b/>
      <sz val="12"/>
      <color rgb="FFAEABAB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i/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u/>
      <sz val="12"/>
      <color theme="1"/>
      <name val="Calibri"/>
      <family val="2"/>
    </font>
    <font>
      <sz val="12"/>
      <color rgb="FF999999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0"/>
      <name val="Calibri"/>
      <family val="2"/>
    </font>
    <font>
      <sz val="12"/>
      <color rgb="FF7F7F7F"/>
      <name val="Calibri"/>
      <family val="2"/>
    </font>
    <font>
      <i/>
      <sz val="12"/>
      <color rgb="FFFF0000"/>
      <name val="Calibri"/>
      <family val="2"/>
    </font>
    <font>
      <b/>
      <sz val="16"/>
      <color theme="0"/>
      <name val="Calibri"/>
      <family val="2"/>
    </font>
    <font>
      <sz val="18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rgb="FF2F5496"/>
      <name val="Calibri"/>
      <family val="2"/>
    </font>
    <font>
      <b/>
      <sz val="12"/>
      <color theme="1"/>
      <name val="Arial"/>
      <family val="2"/>
    </font>
    <font>
      <i/>
      <sz val="12"/>
      <color rgb="FF3A3838"/>
      <name val="Calibri"/>
      <family val="2"/>
    </font>
    <font>
      <b/>
      <sz val="12"/>
      <color theme="7"/>
      <name val="Calibri"/>
      <family val="2"/>
    </font>
    <font>
      <b/>
      <sz val="12"/>
      <color rgb="FF92D050"/>
      <name val="Calibri"/>
      <family val="2"/>
    </font>
    <font>
      <sz val="12"/>
      <color theme="7"/>
      <name val="Calibri"/>
      <family val="2"/>
    </font>
    <font>
      <sz val="12"/>
      <color rgb="FF92D050"/>
      <name val="Calibri"/>
      <family val="2"/>
    </font>
    <font>
      <sz val="12"/>
      <color rgb="FFC00000"/>
      <name val="Calibri"/>
      <family val="2"/>
    </font>
    <font>
      <i/>
      <sz val="12"/>
      <color theme="4"/>
      <name val="Calibri"/>
      <family val="2"/>
    </font>
    <font>
      <b/>
      <i/>
      <sz val="12"/>
      <color rgb="FFFF0000"/>
      <name val="Calibri"/>
      <family val="2"/>
    </font>
    <font>
      <sz val="12"/>
      <color theme="1"/>
      <name val="Arial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Calibri"/>
      <family val="2"/>
    </font>
    <font>
      <i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A4C2F4"/>
        <bgColor rgb="FFA4C2F4"/>
      </patternFill>
    </fill>
    <fill>
      <patternFill patternType="solid">
        <fgColor rgb="FF8EAADB"/>
        <bgColor rgb="FF8EAADB"/>
      </patternFill>
    </fill>
    <fill>
      <patternFill patternType="solid">
        <fgColor rgb="FFF7CAAC"/>
        <bgColor rgb="FFF7CAAC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FFD965"/>
        <bgColor rgb="FFFFD965"/>
      </patternFill>
    </fill>
    <fill>
      <patternFill patternType="solid">
        <fgColor rgb="FFA8D08D"/>
        <bgColor rgb="FFA8D08D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rgb="FF8EAADB"/>
      </patternFill>
    </fill>
  </fills>
  <borders count="2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9" fillId="0" borderId="0" applyFont="0" applyFill="0" applyBorder="0" applyAlignment="0" applyProtection="0"/>
  </cellStyleXfs>
  <cellXfs count="291">
    <xf numFmtId="0" fontId="0" fillId="0" borderId="0" xfId="0" applyFont="1" applyAlignment="1"/>
    <xf numFmtId="0" fontId="1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/>
    <xf numFmtId="164" fontId="6" fillId="0" borderId="0" xfId="0" applyNumberFormat="1" applyFont="1"/>
    <xf numFmtId="0" fontId="1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4" fontId="1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10" fontId="1" fillId="0" borderId="0" xfId="0" applyNumberFormat="1" applyFont="1"/>
    <xf numFmtId="9" fontId="1" fillId="0" borderId="0" xfId="0" applyNumberFormat="1" applyFont="1"/>
    <xf numFmtId="164" fontId="1" fillId="0" borderId="0" xfId="0" applyNumberFormat="1" applyFont="1" applyAlignment="1">
      <alignment vertical="center"/>
    </xf>
    <xf numFmtId="164" fontId="10" fillId="0" borderId="0" xfId="0" applyNumberFormat="1" applyFont="1"/>
    <xf numFmtId="164" fontId="5" fillId="0" borderId="0" xfId="0" applyNumberFormat="1" applyFont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8" fillId="0" borderId="0" xfId="0" applyFont="1"/>
    <xf numFmtId="0" fontId="1" fillId="0" borderId="0" xfId="0" quotePrefix="1" applyFont="1"/>
    <xf numFmtId="0" fontId="8" fillId="0" borderId="0" xfId="0" quotePrefix="1" applyFont="1"/>
    <xf numFmtId="0" fontId="12" fillId="0" borderId="0" xfId="0" applyFont="1"/>
    <xf numFmtId="3" fontId="1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4" fontId="6" fillId="0" borderId="0" xfId="0" applyNumberFormat="1" applyFont="1"/>
    <xf numFmtId="0" fontId="16" fillId="0" borderId="0" xfId="0" applyFont="1"/>
    <xf numFmtId="4" fontId="5" fillId="0" borderId="0" xfId="0" applyNumberFormat="1" applyFont="1"/>
    <xf numFmtId="0" fontId="5" fillId="0" borderId="0" xfId="0" quotePrefix="1" applyFont="1"/>
    <xf numFmtId="4" fontId="15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2" fontId="1" fillId="0" borderId="0" xfId="0" applyNumberFormat="1" applyFont="1"/>
    <xf numFmtId="169" fontId="1" fillId="0" borderId="0" xfId="0" applyNumberFormat="1" applyFont="1"/>
    <xf numFmtId="169" fontId="5" fillId="0" borderId="0" xfId="0" applyNumberFormat="1" applyFont="1"/>
    <xf numFmtId="170" fontId="1" fillId="0" borderId="0" xfId="0" applyNumberFormat="1" applyFont="1"/>
    <xf numFmtId="165" fontId="1" fillId="0" borderId="0" xfId="0" applyNumberFormat="1" applyFont="1"/>
    <xf numFmtId="171" fontId="1" fillId="0" borderId="0" xfId="0" applyNumberFormat="1" applyFont="1"/>
    <xf numFmtId="0" fontId="18" fillId="0" borderId="0" xfId="0" applyFont="1" applyAlignment="1">
      <alignment horizontal="left"/>
    </xf>
    <xf numFmtId="164" fontId="18" fillId="0" borderId="0" xfId="0" applyNumberFormat="1" applyFont="1"/>
    <xf numFmtId="0" fontId="15" fillId="0" borderId="0" xfId="0" applyFont="1" applyAlignment="1">
      <alignment horizontal="right"/>
    </xf>
    <xf numFmtId="164" fontId="15" fillId="0" borderId="0" xfId="0" applyNumberFormat="1" applyFont="1"/>
    <xf numFmtId="0" fontId="1" fillId="0" borderId="5" xfId="0" applyFont="1" applyBorder="1"/>
    <xf numFmtId="164" fontId="5" fillId="0" borderId="6" xfId="0" applyNumberFormat="1" applyFont="1" applyBorder="1"/>
    <xf numFmtId="0" fontId="24" fillId="0" borderId="6" xfId="0" applyFont="1" applyBorder="1"/>
    <xf numFmtId="0" fontId="1" fillId="0" borderId="11" xfId="0" applyFont="1" applyBorder="1"/>
    <xf numFmtId="170" fontId="16" fillId="0" borderId="10" xfId="0" applyNumberFormat="1" applyFont="1" applyBorder="1"/>
    <xf numFmtId="3" fontId="1" fillId="0" borderId="0" xfId="0" applyNumberFormat="1" applyFont="1"/>
    <xf numFmtId="3" fontId="1" fillId="0" borderId="5" xfId="0" applyNumberFormat="1" applyFont="1" applyBorder="1"/>
    <xf numFmtId="3" fontId="25" fillId="0" borderId="0" xfId="0" applyNumberFormat="1" applyFont="1" applyAlignment="1">
      <alignment horizontal="right"/>
    </xf>
    <xf numFmtId="170" fontId="16" fillId="0" borderId="12" xfId="0" applyNumberFormat="1" applyFont="1" applyBorder="1"/>
    <xf numFmtId="0" fontId="18" fillId="0" borderId="0" xfId="0" applyFont="1"/>
    <xf numFmtId="164" fontId="1" fillId="0" borderId="5" xfId="0" applyNumberFormat="1" applyFont="1" applyBorder="1"/>
    <xf numFmtId="0" fontId="5" fillId="4" borderId="13" xfId="0" applyFont="1" applyFill="1" applyBorder="1"/>
    <xf numFmtId="164" fontId="5" fillId="4" borderId="4" xfId="0" applyNumberFormat="1" applyFont="1" applyFill="1" applyBorder="1"/>
    <xf numFmtId="164" fontId="5" fillId="4" borderId="14" xfId="0" applyNumberFormat="1" applyFont="1" applyFill="1" applyBorder="1"/>
    <xf numFmtId="0" fontId="5" fillId="4" borderId="13" xfId="0" quotePrefix="1" applyFont="1" applyFill="1" applyBorder="1"/>
    <xf numFmtId="3" fontId="5" fillId="4" borderId="14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5" fillId="4" borderId="17" xfId="0" applyFont="1" applyFill="1" applyBorder="1"/>
    <xf numFmtId="0" fontId="5" fillId="4" borderId="18" xfId="0" applyFont="1" applyFill="1" applyBorder="1"/>
    <xf numFmtId="164" fontId="27" fillId="0" borderId="0" xfId="0" applyNumberFormat="1" applyFont="1"/>
    <xf numFmtId="164" fontId="19" fillId="0" borderId="0" xfId="0" applyNumberFormat="1" applyFont="1"/>
    <xf numFmtId="2" fontId="1" fillId="0" borderId="5" xfId="0" applyNumberFormat="1" applyFont="1" applyBorder="1"/>
    <xf numFmtId="0" fontId="33" fillId="0" borderId="0" xfId="0" applyFont="1"/>
    <xf numFmtId="2" fontId="15" fillId="0" borderId="0" xfId="0" applyNumberFormat="1" applyFont="1"/>
    <xf numFmtId="0" fontId="35" fillId="0" borderId="0" xfId="0" applyFont="1" applyAlignment="1"/>
    <xf numFmtId="4" fontId="36" fillId="2" borderId="0" xfId="0" applyNumberFormat="1" applyFont="1" applyFill="1"/>
    <xf numFmtId="164" fontId="36" fillId="2" borderId="0" xfId="0" applyNumberFormat="1" applyFont="1" applyFill="1"/>
    <xf numFmtId="4" fontId="4" fillId="2" borderId="0" xfId="0" applyNumberFormat="1" applyFont="1" applyFill="1"/>
    <xf numFmtId="4" fontId="1" fillId="0" borderId="0" xfId="0" applyNumberFormat="1" applyFont="1" applyAlignment="1"/>
    <xf numFmtId="0" fontId="2" fillId="2" borderId="3" xfId="0" applyFont="1" applyFill="1" applyBorder="1" applyAlignment="1"/>
    <xf numFmtId="43" fontId="1" fillId="0" borderId="0" xfId="0" applyNumberFormat="1" applyFont="1"/>
    <xf numFmtId="2" fontId="5" fillId="0" borderId="19" xfId="0" applyNumberFormat="1" applyFont="1" applyBorder="1"/>
    <xf numFmtId="9" fontId="5" fillId="0" borderId="0" xfId="0" applyNumberFormat="1" applyFont="1"/>
    <xf numFmtId="0" fontId="5" fillId="0" borderId="20" xfId="0" applyFont="1" applyBorder="1"/>
    <xf numFmtId="9" fontId="5" fillId="0" borderId="20" xfId="0" applyNumberFormat="1" applyFont="1" applyBorder="1"/>
    <xf numFmtId="164" fontId="5" fillId="0" borderId="20" xfId="0" applyNumberFormat="1" applyFont="1" applyBorder="1"/>
    <xf numFmtId="165" fontId="5" fillId="0" borderId="20" xfId="0" applyNumberFormat="1" applyFont="1" applyBorder="1"/>
    <xf numFmtId="0" fontId="37" fillId="0" borderId="0" xfId="0" applyFont="1" applyAlignment="1"/>
    <xf numFmtId="43" fontId="1" fillId="0" borderId="0" xfId="1" applyFont="1"/>
    <xf numFmtId="0" fontId="35" fillId="0" borderId="0" xfId="0" quotePrefix="1" applyFont="1" applyAlignment="1"/>
    <xf numFmtId="0" fontId="40" fillId="11" borderId="0" xfId="0" applyFont="1" applyFill="1" applyAlignment="1"/>
    <xf numFmtId="0" fontId="38" fillId="11" borderId="0" xfId="0" applyFont="1" applyFill="1" applyAlignment="1"/>
    <xf numFmtId="14" fontId="38" fillId="11" borderId="0" xfId="0" applyNumberFormat="1" applyFont="1" applyFill="1" applyAlignment="1"/>
    <xf numFmtId="0" fontId="2" fillId="11" borderId="0" xfId="0" applyFont="1" applyFill="1"/>
    <xf numFmtId="0" fontId="1" fillId="0" borderId="0" xfId="0" applyFont="1" applyAlignment="1"/>
    <xf numFmtId="0" fontId="36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/>
    <xf numFmtId="4" fontId="41" fillId="0" borderId="0" xfId="0" applyNumberFormat="1" applyFont="1" applyAlignment="1"/>
    <xf numFmtId="0" fontId="42" fillId="0" borderId="0" xfId="0" applyFont="1" applyAlignment="1"/>
    <xf numFmtId="43" fontId="36" fillId="2" borderId="0" xfId="0" applyNumberFormat="1" applyFont="1" applyFill="1"/>
    <xf numFmtId="172" fontId="35" fillId="0" borderId="0" xfId="1" applyNumberFormat="1" applyFont="1" applyAlignment="1"/>
    <xf numFmtId="172" fontId="35" fillId="0" borderId="0" xfId="1" quotePrefix="1" applyNumberFormat="1" applyFont="1" applyAlignment="1"/>
    <xf numFmtId="0" fontId="1" fillId="0" borderId="0" xfId="0" applyFont="1" applyFill="1" applyAlignment="1"/>
    <xf numFmtId="43" fontId="1" fillId="0" borderId="0" xfId="0" applyNumberFormat="1" applyFont="1" applyFill="1" applyAlignment="1"/>
    <xf numFmtId="0" fontId="1" fillId="0" borderId="0" xfId="0" applyFont="1" applyFill="1"/>
    <xf numFmtId="4" fontId="1" fillId="12" borderId="0" xfId="0" applyNumberFormat="1" applyFont="1" applyFill="1"/>
    <xf numFmtId="4" fontId="1" fillId="12" borderId="0" xfId="0" applyNumberFormat="1" applyFont="1" applyFill="1" applyAlignment="1"/>
    <xf numFmtId="43" fontId="1" fillId="0" borderId="0" xfId="1" applyNumberFormat="1" applyFont="1"/>
    <xf numFmtId="43" fontId="1" fillId="0" borderId="5" xfId="1" applyNumberFormat="1" applyFont="1" applyBorder="1"/>
    <xf numFmtId="43" fontId="1" fillId="0" borderId="0" xfId="1" applyFont="1" applyAlignment="1"/>
    <xf numFmtId="0" fontId="2" fillId="13" borderId="16" xfId="0" applyFont="1" applyFill="1" applyBorder="1"/>
    <xf numFmtId="164" fontId="34" fillId="0" borderId="3" xfId="0" applyNumberFormat="1" applyFont="1" applyFill="1" applyBorder="1"/>
    <xf numFmtId="43" fontId="0" fillId="0" borderId="0" xfId="1" applyFont="1" applyAlignment="1"/>
    <xf numFmtId="0" fontId="5" fillId="0" borderId="19" xfId="0" applyFont="1" applyBorder="1"/>
    <xf numFmtId="164" fontId="5" fillId="0" borderId="19" xfId="0" applyNumberFormat="1" applyFont="1" applyFill="1" applyBorder="1"/>
    <xf numFmtId="164" fontId="16" fillId="0" borderId="3" xfId="0" applyNumberFormat="1" applyFont="1" applyFill="1" applyBorder="1"/>
    <xf numFmtId="0" fontId="5" fillId="0" borderId="21" xfId="0" applyFont="1" applyBorder="1"/>
    <xf numFmtId="169" fontId="5" fillId="0" borderId="21" xfId="0" applyNumberFormat="1" applyFont="1" applyBorder="1"/>
    <xf numFmtId="0" fontId="5" fillId="0" borderId="3" xfId="0" applyFont="1" applyBorder="1"/>
    <xf numFmtId="10" fontId="1" fillId="0" borderId="3" xfId="0" applyNumberFormat="1" applyFont="1" applyBorder="1"/>
    <xf numFmtId="170" fontId="1" fillId="0" borderId="3" xfId="0" applyNumberFormat="1" applyFont="1" applyBorder="1"/>
    <xf numFmtId="49" fontId="1" fillId="0" borderId="0" xfId="0" applyNumberFormat="1" applyFont="1"/>
    <xf numFmtId="164" fontId="1" fillId="0" borderId="0" xfId="0" applyNumberFormat="1" applyFont="1" applyFill="1"/>
    <xf numFmtId="173" fontId="1" fillId="0" borderId="0" xfId="0" applyNumberFormat="1" applyFont="1" applyFill="1"/>
    <xf numFmtId="164" fontId="5" fillId="0" borderId="4" xfId="0" applyNumberFormat="1" applyFont="1" applyFill="1" applyBorder="1"/>
    <xf numFmtId="164" fontId="5" fillId="0" borderId="0" xfId="0" applyNumberFormat="1" applyFont="1" applyFill="1"/>
    <xf numFmtId="164" fontId="18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74" fontId="1" fillId="0" borderId="0" xfId="0" applyNumberFormat="1" applyFont="1"/>
    <xf numFmtId="0" fontId="0" fillId="0" borderId="0" xfId="0" applyFont="1" applyAlignment="1"/>
    <xf numFmtId="0" fontId="5" fillId="0" borderId="0" xfId="0" applyFont="1"/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3" xfId="0" applyFont="1" applyFill="1" applyBorder="1"/>
    <xf numFmtId="0" fontId="2" fillId="2" borderId="3" xfId="0" applyFont="1" applyFill="1" applyBorder="1"/>
    <xf numFmtId="0" fontId="5" fillId="0" borderId="15" xfId="0" quotePrefix="1" applyFont="1" applyBorder="1"/>
    <xf numFmtId="164" fontId="5" fillId="0" borderId="15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5" fillId="0" borderId="15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5" xfId="0" applyFont="1" applyBorder="1"/>
    <xf numFmtId="4" fontId="8" fillId="3" borderId="3" xfId="0" applyNumberFormat="1" applyFont="1" applyFill="1" applyBorder="1" applyAlignment="1">
      <alignment horizontal="right"/>
    </xf>
    <xf numFmtId="4" fontId="8" fillId="3" borderId="3" xfId="0" applyNumberFormat="1" applyFont="1" applyFill="1" applyBorder="1"/>
    <xf numFmtId="164" fontId="8" fillId="3" borderId="3" xfId="0" applyNumberFormat="1" applyFont="1" applyFill="1" applyBorder="1"/>
    <xf numFmtId="4" fontId="8" fillId="3" borderId="3" xfId="0" applyNumberFormat="1" applyFont="1" applyFill="1" applyBorder="1" applyAlignment="1">
      <alignment horizontal="left"/>
    </xf>
    <xf numFmtId="0" fontId="8" fillId="3" borderId="3" xfId="0" applyFont="1" applyFill="1" applyBorder="1"/>
    <xf numFmtId="4" fontId="6" fillId="3" borderId="3" xfId="0" applyNumberFormat="1" applyFont="1" applyFill="1" applyBorder="1"/>
    <xf numFmtId="0" fontId="6" fillId="3" borderId="3" xfId="0" applyFont="1" applyFill="1" applyBorder="1"/>
    <xf numFmtId="0" fontId="1" fillId="0" borderId="3" xfId="0" applyFont="1" applyFill="1" applyBorder="1"/>
    <xf numFmtId="164" fontId="1" fillId="0" borderId="3" xfId="0" applyNumberFormat="1" applyFont="1" applyFill="1" applyBorder="1"/>
    <xf numFmtId="0" fontId="9" fillId="2" borderId="3" xfId="0" applyFont="1" applyFill="1" applyBorder="1"/>
    <xf numFmtId="0" fontId="5" fillId="0" borderId="2" xfId="0" applyFont="1" applyBorder="1" applyAlignment="1">
      <alignment horizontal="right"/>
    </xf>
    <xf numFmtId="0" fontId="1" fillId="3" borderId="3" xfId="0" applyFont="1" applyFill="1" applyBorder="1"/>
    <xf numFmtId="4" fontId="1" fillId="3" borderId="3" xfId="0" applyNumberFormat="1" applyFont="1" applyFill="1" applyBorder="1"/>
    <xf numFmtId="164" fontId="1" fillId="3" borderId="3" xfId="0" applyNumberFormat="1" applyFont="1" applyFill="1" applyBorder="1"/>
    <xf numFmtId="0" fontId="1" fillId="4" borderId="3" xfId="0" applyFont="1" applyFill="1" applyBorder="1" applyAlignment="1">
      <alignment horizontal="right"/>
    </xf>
    <xf numFmtId="164" fontId="1" fillId="4" borderId="3" xfId="0" applyNumberFormat="1" applyFont="1" applyFill="1" applyBorder="1"/>
    <xf numFmtId="0" fontId="11" fillId="0" borderId="1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8" fillId="0" borderId="15" xfId="0" quotePrefix="1" applyFont="1" applyBorder="1"/>
    <xf numFmtId="0" fontId="1" fillId="0" borderId="9" xfId="0" quotePrefix="1" applyFont="1" applyBorder="1"/>
    <xf numFmtId="0" fontId="11" fillId="0" borderId="13" xfId="0" quotePrefix="1" applyFont="1" applyBorder="1"/>
    <xf numFmtId="0" fontId="5" fillId="5" borderId="3" xfId="0" applyFont="1" applyFill="1" applyBorder="1"/>
    <xf numFmtId="164" fontId="5" fillId="5" borderId="3" xfId="0" applyNumberFormat="1" applyFont="1" applyFill="1" applyBorder="1"/>
    <xf numFmtId="0" fontId="13" fillId="5" borderId="3" xfId="0" applyFont="1" applyFill="1" applyBorder="1"/>
    <xf numFmtId="164" fontId="13" fillId="5" borderId="3" xfId="0" applyNumberFormat="1" applyFont="1" applyFill="1" applyBorder="1"/>
    <xf numFmtId="10" fontId="2" fillId="2" borderId="3" xfId="0" applyNumberFormat="1" applyFont="1" applyFill="1" applyBorder="1"/>
    <xf numFmtId="165" fontId="2" fillId="2" borderId="3" xfId="0" applyNumberFormat="1" applyFont="1" applyFill="1" applyBorder="1"/>
    <xf numFmtId="164" fontId="2" fillId="2" borderId="3" xfId="0" applyNumberFormat="1" applyFont="1" applyFill="1" applyBorder="1"/>
    <xf numFmtId="0" fontId="16" fillId="0" borderId="15" xfId="0" applyFont="1" applyBorder="1"/>
    <xf numFmtId="4" fontId="5" fillId="0" borderId="15" xfId="0" applyNumberFormat="1" applyFont="1" applyBorder="1"/>
    <xf numFmtId="0" fontId="1" fillId="0" borderId="15" xfId="0" quotePrefix="1" applyFont="1" applyBorder="1"/>
    <xf numFmtId="4" fontId="1" fillId="0" borderId="15" xfId="0" applyNumberFormat="1" applyFont="1" applyBorder="1"/>
    <xf numFmtId="10" fontId="1" fillId="0" borderId="3" xfId="0" applyNumberFormat="1" applyFont="1" applyFill="1" applyBorder="1"/>
    <xf numFmtId="0" fontId="1" fillId="5" borderId="3" xfId="0" applyFont="1" applyFill="1" applyBorder="1"/>
    <xf numFmtId="49" fontId="2" fillId="2" borderId="3" xfId="0" applyNumberFormat="1" applyFont="1" applyFill="1" applyBorder="1"/>
    <xf numFmtId="0" fontId="17" fillId="7" borderId="3" xfId="0" applyFont="1" applyFill="1" applyBorder="1"/>
    <xf numFmtId="0" fontId="1" fillId="0" borderId="15" xfId="0" applyFont="1" applyBorder="1"/>
    <xf numFmtId="2" fontId="1" fillId="0" borderId="15" xfId="0" applyNumberFormat="1" applyFont="1" applyBorder="1"/>
    <xf numFmtId="0" fontId="2" fillId="8" borderId="3" xfId="0" applyFont="1" applyFill="1" applyBorder="1"/>
    <xf numFmtId="2" fontId="5" fillId="0" borderId="15" xfId="0" applyNumberFormat="1" applyFont="1" applyBorder="1"/>
    <xf numFmtId="164" fontId="1" fillId="0" borderId="15" xfId="0" applyNumberFormat="1" applyFont="1" applyBorder="1"/>
    <xf numFmtId="164" fontId="1" fillId="5" borderId="3" xfId="0" applyNumberFormat="1" applyFont="1" applyFill="1" applyBorder="1"/>
    <xf numFmtId="0" fontId="2" fillId="2" borderId="8" xfId="0" applyFont="1" applyFill="1" applyBorder="1"/>
    <xf numFmtId="0" fontId="1" fillId="2" borderId="5" xfId="0" applyFont="1" applyFill="1" applyBorder="1"/>
    <xf numFmtId="0" fontId="9" fillId="2" borderId="5" xfId="0" applyFont="1" applyFill="1" applyBorder="1"/>
    <xf numFmtId="0" fontId="2" fillId="2" borderId="5" xfId="0" applyFont="1" applyFill="1" applyBorder="1"/>
    <xf numFmtId="164" fontId="1" fillId="0" borderId="4" xfId="0" applyNumberFormat="1" applyFont="1" applyBorder="1"/>
    <xf numFmtId="4" fontId="8" fillId="0" borderId="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64" fontId="1" fillId="0" borderId="15" xfId="0" applyNumberFormat="1" applyFont="1" applyFill="1" applyBorder="1"/>
    <xf numFmtId="4" fontId="8" fillId="0" borderId="3" xfId="0" applyNumberFormat="1" applyFont="1" applyFill="1" applyBorder="1" applyAlignment="1">
      <alignment horizontal="left"/>
    </xf>
    <xf numFmtId="164" fontId="5" fillId="0" borderId="3" xfId="0" applyNumberFormat="1" applyFont="1" applyFill="1" applyBorder="1"/>
    <xf numFmtId="0" fontId="2" fillId="2" borderId="8" xfId="0" applyFont="1" applyFill="1" applyBorder="1" applyAlignment="1">
      <alignment horizontal="center"/>
    </xf>
    <xf numFmtId="164" fontId="1" fillId="0" borderId="9" xfId="0" applyNumberFormat="1" applyFont="1" applyFill="1" applyBorder="1"/>
    <xf numFmtId="0" fontId="20" fillId="2" borderId="9" xfId="0" applyFont="1" applyFill="1" applyBorder="1" applyAlignment="1">
      <alignment wrapText="1"/>
    </xf>
    <xf numFmtId="0" fontId="21" fillId="2" borderId="9" xfId="0" applyFont="1" applyFill="1" applyBorder="1" applyAlignment="1">
      <alignment wrapText="1"/>
    </xf>
    <xf numFmtId="0" fontId="22" fillId="2" borderId="9" xfId="0" applyFont="1" applyFill="1" applyBorder="1" applyAlignment="1">
      <alignment horizontal="left" wrapText="1" readingOrder="1"/>
    </xf>
    <xf numFmtId="0" fontId="23" fillId="0" borderId="4" xfId="0" applyFont="1" applyBorder="1" applyAlignment="1">
      <alignment horizontal="left" wrapText="1" readingOrder="1"/>
    </xf>
    <xf numFmtId="0" fontId="23" fillId="0" borderId="4" xfId="0" applyFont="1" applyBorder="1" applyAlignment="1">
      <alignment horizontal="center" wrapText="1" readingOrder="1"/>
    </xf>
    <xf numFmtId="0" fontId="23" fillId="0" borderId="15" xfId="0" applyFont="1" applyBorder="1" applyAlignment="1">
      <alignment horizontal="center" wrapText="1" readingOrder="1"/>
    </xf>
    <xf numFmtId="170" fontId="16" fillId="0" borderId="4" xfId="0" applyNumberFormat="1" applyFont="1" applyBorder="1"/>
    <xf numFmtId="170" fontId="16" fillId="0" borderId="14" xfId="0" applyNumberFormat="1" applyFont="1" applyBorder="1"/>
    <xf numFmtId="3" fontId="1" fillId="0" borderId="9" xfId="0" applyNumberFormat="1" applyFont="1" applyBorder="1"/>
    <xf numFmtId="3" fontId="1" fillId="0" borderId="18" xfId="0" applyNumberFormat="1" applyFont="1" applyBorder="1"/>
    <xf numFmtId="0" fontId="15" fillId="9" borderId="3" xfId="0" applyFont="1" applyFill="1" applyBorder="1"/>
    <xf numFmtId="0" fontId="5" fillId="9" borderId="3" xfId="0" applyFont="1" applyFill="1" applyBorder="1"/>
    <xf numFmtId="0" fontId="5" fillId="10" borderId="3" xfId="0" applyFont="1" applyFill="1" applyBorder="1"/>
    <xf numFmtId="0" fontId="15" fillId="0" borderId="15" xfId="0" applyFont="1" applyBorder="1"/>
    <xf numFmtId="164" fontId="15" fillId="0" borderId="15" xfId="0" applyNumberFormat="1" applyFont="1" applyBorder="1"/>
    <xf numFmtId="0" fontId="15" fillId="0" borderId="15" xfId="0" quotePrefix="1" applyFont="1" applyBorder="1"/>
    <xf numFmtId="0" fontId="1" fillId="0" borderId="4" xfId="0" applyFont="1" applyBorder="1"/>
    <xf numFmtId="0" fontId="5" fillId="4" borderId="7" xfId="0" applyFont="1" applyFill="1" applyBorder="1"/>
    <xf numFmtId="14" fontId="5" fillId="4" borderId="15" xfId="0" applyNumberFormat="1" applyFont="1" applyFill="1" applyBorder="1"/>
    <xf numFmtId="14" fontId="5" fillId="4" borderId="8" xfId="0" applyNumberFormat="1" applyFont="1" applyFill="1" applyBorder="1"/>
    <xf numFmtId="0" fontId="1" fillId="0" borderId="16" xfId="0" applyFont="1" applyBorder="1"/>
    <xf numFmtId="3" fontId="5" fillId="4" borderId="15" xfId="0" applyNumberFormat="1" applyFont="1" applyFill="1" applyBorder="1"/>
    <xf numFmtId="0" fontId="5" fillId="4" borderId="8" xfId="0" applyFont="1" applyFill="1" applyBorder="1"/>
    <xf numFmtId="0" fontId="1" fillId="0" borderId="16" xfId="0" quotePrefix="1" applyFont="1" applyBorder="1"/>
    <xf numFmtId="0" fontId="5" fillId="4" borderId="15" xfId="0" applyFont="1" applyFill="1" applyBorder="1"/>
    <xf numFmtId="0" fontId="26" fillId="9" borderId="3" xfId="0" applyFont="1" applyFill="1" applyBorder="1"/>
    <xf numFmtId="0" fontId="26" fillId="10" borderId="3" xfId="0" applyFont="1" applyFill="1" applyBorder="1"/>
    <xf numFmtId="0" fontId="26" fillId="0" borderId="15" xfId="0" quotePrefix="1" applyFont="1" applyBorder="1"/>
    <xf numFmtId="2" fontId="26" fillId="0" borderId="15" xfId="0" applyNumberFormat="1" applyFont="1" applyBorder="1"/>
    <xf numFmtId="0" fontId="5" fillId="13" borderId="3" xfId="0" applyFont="1" applyFill="1" applyBorder="1"/>
    <xf numFmtId="0" fontId="5" fillId="4" borderId="7" xfId="0" quotePrefix="1" applyFont="1" applyFill="1" applyBorder="1"/>
    <xf numFmtId="0" fontId="2" fillId="13" borderId="3" xfId="0" applyFont="1" applyFill="1" applyBorder="1"/>
    <xf numFmtId="0" fontId="2" fillId="13" borderId="5" xfId="0" applyFont="1" applyFill="1" applyBorder="1"/>
    <xf numFmtId="0" fontId="5" fillId="4" borderId="9" xfId="0" applyFont="1" applyFill="1" applyBorder="1"/>
    <xf numFmtId="0" fontId="30" fillId="0" borderId="16" xfId="0" applyFont="1" applyBorder="1"/>
    <xf numFmtId="43" fontId="1" fillId="0" borderId="16" xfId="1" applyNumberFormat="1" applyFont="1" applyBorder="1"/>
    <xf numFmtId="0" fontId="31" fillId="0" borderId="16" xfId="0" applyFont="1" applyBorder="1"/>
    <xf numFmtId="0" fontId="32" fillId="0" borderId="17" xfId="0" applyFont="1" applyBorder="1"/>
    <xf numFmtId="167" fontId="1" fillId="0" borderId="9" xfId="0" applyNumberFormat="1" applyFont="1" applyBorder="1"/>
    <xf numFmtId="164" fontId="1" fillId="0" borderId="16" xfId="0" applyNumberFormat="1" applyFont="1" applyBorder="1"/>
    <xf numFmtId="2" fontId="1" fillId="0" borderId="16" xfId="0" applyNumberFormat="1" applyFont="1" applyBorder="1"/>
    <xf numFmtId="0" fontId="1" fillId="0" borderId="18" xfId="0" applyFont="1" applyBorder="1"/>
    <xf numFmtId="164" fontId="1" fillId="0" borderId="9" xfId="0" applyNumberFormat="1" applyFont="1" applyBorder="1"/>
    <xf numFmtId="164" fontId="5" fillId="0" borderId="15" xfId="0" applyNumberFormat="1" applyFont="1" applyFill="1" applyBorder="1"/>
    <xf numFmtId="0" fontId="36" fillId="2" borderId="3" xfId="0" applyFont="1" applyFill="1" applyBorder="1" applyAlignment="1"/>
    <xf numFmtId="0" fontId="36" fillId="2" borderId="3" xfId="0" applyFont="1" applyFill="1" applyBorder="1" applyAlignment="1">
      <alignment horizontal="center"/>
    </xf>
    <xf numFmtId="4" fontId="1" fillId="0" borderId="15" xfId="0" applyNumberFormat="1" applyFont="1" applyBorder="1" applyAlignment="1"/>
    <xf numFmtId="4" fontId="1" fillId="12" borderId="15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3" fillId="0" borderId="3" xfId="0" applyFont="1" applyBorder="1" applyAlignment="1"/>
    <xf numFmtId="0" fontId="2" fillId="2" borderId="3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/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6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/>
    <xf numFmtId="0" fontId="9" fillId="6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9" xfId="0" applyFont="1" applyBorder="1" applyAlignment="1"/>
    <xf numFmtId="0" fontId="2" fillId="2" borderId="16" xfId="0" applyFont="1" applyFill="1" applyBorder="1" applyAlignment="1">
      <alignment horizontal="center"/>
    </xf>
    <xf numFmtId="0" fontId="3" fillId="0" borderId="5" xfId="0" applyFont="1" applyBorder="1" applyAlignment="1"/>
    <xf numFmtId="0" fontId="2" fillId="2" borderId="7" xfId="0" applyFont="1" applyFill="1" applyBorder="1" applyAlignment="1">
      <alignment horizontal="center"/>
    </xf>
    <xf numFmtId="0" fontId="3" fillId="0" borderId="15" xfId="0" applyFont="1" applyBorder="1" applyAlignment="1"/>
    <xf numFmtId="0" fontId="3" fillId="0" borderId="8" xfId="0" applyFont="1" applyBorder="1" applyAlignment="1"/>
    <xf numFmtId="0" fontId="2" fillId="2" borderId="15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 wrapText="1" readingOrder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3" fillId="0" borderId="12" xfId="0" applyFont="1" applyBorder="1" applyAlignment="1"/>
    <xf numFmtId="0" fontId="3" fillId="0" borderId="17" xfId="0" applyFont="1" applyBorder="1" applyAlignment="1"/>
    <xf numFmtId="0" fontId="5" fillId="0" borderId="15" xfId="0" applyFont="1" applyBorder="1" applyAlignment="1">
      <alignment horizontal="center"/>
    </xf>
    <xf numFmtId="0" fontId="3" fillId="0" borderId="18" xfId="0" applyFont="1" applyBorder="1" applyAlignment="1"/>
    <xf numFmtId="0" fontId="5" fillId="10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29" fillId="13" borderId="3" xfId="0" applyFont="1" applyFill="1" applyBorder="1" applyAlignment="1">
      <alignment horizontal="center"/>
    </xf>
    <xf numFmtId="0" fontId="3" fillId="11" borderId="3" xfId="0" applyFont="1" applyFill="1" applyBorder="1" applyAlignment="1"/>
    <xf numFmtId="0" fontId="5" fillId="4" borderId="15" xfId="0" applyFont="1" applyFill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13" borderId="3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0" fontId="3" fillId="11" borderId="5" xfId="0" applyFont="1" applyFill="1" applyBorder="1" applyAlignment="1"/>
    <xf numFmtId="0" fontId="40" fillId="11" borderId="3" xfId="0" applyFont="1" applyFill="1" applyBorder="1" applyAlignment="1"/>
    <xf numFmtId="0" fontId="0" fillId="0" borderId="0" xfId="0" applyFont="1" applyAlignment="1">
      <alignment horizontal="center"/>
    </xf>
    <xf numFmtId="0" fontId="29" fillId="13" borderId="16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41" fillId="0" borderId="3" xfId="0" applyFont="1" applyBorder="1" applyAlignment="1"/>
    <xf numFmtId="0" fontId="38" fillId="11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>
                <a:solidFill>
                  <a:schemeClr val="tx1"/>
                </a:solidFill>
              </a:rPr>
              <a:t>ROE vs 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Profitability!$Q$5</c:f>
              <c:strCache>
                <c:ptCount val="1"/>
                <c:pt idx="0">
                  <c:v>ROE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Profitability!$R$4:$X$4</c:f>
              <c:numCache>
                <c:formatCode>@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Profitability!$R$5:$X$5</c:f>
              <c:numCache>
                <c:formatCode>0.00%</c:formatCode>
                <c:ptCount val="7"/>
                <c:pt idx="1">
                  <c:v>-0.8593378365707981</c:v>
                </c:pt>
                <c:pt idx="2">
                  <c:v>-1.2304243426470167</c:v>
                </c:pt>
                <c:pt idx="3">
                  <c:v>-4.3613890815160756</c:v>
                </c:pt>
                <c:pt idx="4">
                  <c:v>-14.29215266242025</c:v>
                </c:pt>
                <c:pt idx="5">
                  <c:v>-0.76743924904413086</c:v>
                </c:pt>
                <c:pt idx="6">
                  <c:v>-5.5855657106838956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D9-D742-906F-70947742B530}"/>
            </c:ext>
          </c:extLst>
        </c:ser>
        <c:ser>
          <c:idx val="1"/>
          <c:order val="1"/>
          <c:tx>
            <c:strRef>
              <c:f>Profitability!$Q$6</c:f>
              <c:strCache>
                <c:ptCount val="1"/>
                <c:pt idx="0">
                  <c:v>Re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Profitability!$R$4:$X$4</c:f>
              <c:numCache>
                <c:formatCode>@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Profitability!$R$6:$X$6</c:f>
              <c:numCache>
                <c:formatCode>0.00%</c:formatCode>
                <c:ptCount val="7"/>
                <c:pt idx="0">
                  <c:v>0.11559224384724098</c:v>
                </c:pt>
                <c:pt idx="1">
                  <c:v>0.10609224384724097</c:v>
                </c:pt>
                <c:pt idx="2">
                  <c:v>0.10369224384724099</c:v>
                </c:pt>
                <c:pt idx="3">
                  <c:v>0.11665321590330363</c:v>
                </c:pt>
                <c:pt idx="4">
                  <c:v>0.1124792345325952</c:v>
                </c:pt>
                <c:pt idx="5">
                  <c:v>0.11350972056062653</c:v>
                </c:pt>
                <c:pt idx="6">
                  <c:v>0.1946148507847669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9-D742-906F-70947742B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050320"/>
        <c:axId val="2029776448"/>
      </c:lineChart>
      <c:catAx>
        <c:axId val="20290503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29776448"/>
        <c:crosses val="autoZero"/>
        <c:auto val="1"/>
        <c:lblAlgn val="ctr"/>
        <c:lblOffset val="100"/>
        <c:noMultiLvlLbl val="0"/>
      </c:catAx>
      <c:valAx>
        <c:axId val="202977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2905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nb-NO">
                <a:solidFill>
                  <a:schemeClr val="tx1"/>
                </a:solidFill>
              </a:rPr>
              <a:t>ROIC</a:t>
            </a:r>
            <a:r>
              <a:rPr lang="nb-NO" baseline="0">
                <a:solidFill>
                  <a:schemeClr val="tx1"/>
                </a:solidFill>
              </a:rPr>
              <a:t> vs WACC</a:t>
            </a:r>
            <a:endParaRPr lang="nb-NO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Profitability!$Z$5</c:f>
              <c:strCache>
                <c:ptCount val="1"/>
                <c:pt idx="0">
                  <c:v>ROIC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Profitability!$AA$4:$AG$4</c:f>
              <c:numCache>
                <c:formatCode>@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Profitability!$AA$5:$AG$5</c:f>
              <c:numCache>
                <c:formatCode>0.00%</c:formatCode>
                <c:ptCount val="7"/>
                <c:pt idx="1">
                  <c:v>-8.9706611255025506E-3</c:v>
                </c:pt>
                <c:pt idx="2">
                  <c:v>-6.4371063191250378E-3</c:v>
                </c:pt>
                <c:pt idx="3">
                  <c:v>-7.9964876954141603E-2</c:v>
                </c:pt>
                <c:pt idx="4">
                  <c:v>-0.10782271555209473</c:v>
                </c:pt>
                <c:pt idx="5">
                  <c:v>1.2628033810088042E-2</c:v>
                </c:pt>
                <c:pt idx="6">
                  <c:v>-0.42448252581560336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E-584C-8167-BC36B21F342B}"/>
            </c:ext>
          </c:extLst>
        </c:ser>
        <c:ser>
          <c:idx val="1"/>
          <c:order val="1"/>
          <c:tx>
            <c:strRef>
              <c:f>Profitability!$Z$6</c:f>
              <c:strCache>
                <c:ptCount val="1"/>
                <c:pt idx="0">
                  <c:v>WACC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Profitability!$AA$4:$AG$4</c:f>
              <c:numCache>
                <c:formatCode>@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Profitability!$AA$6:$AG$6</c:f>
              <c:numCache>
                <c:formatCode>0.00%</c:formatCode>
                <c:ptCount val="7"/>
                <c:pt idx="0">
                  <c:v>7.0122572414464568E-2</c:v>
                </c:pt>
                <c:pt idx="1">
                  <c:v>5.9774170013729408E-2</c:v>
                </c:pt>
                <c:pt idx="2">
                  <c:v>5.7344159051447539E-2</c:v>
                </c:pt>
                <c:pt idx="3">
                  <c:v>5.6844772776343949E-2</c:v>
                </c:pt>
                <c:pt idx="4">
                  <c:v>5.368510677761372E-2</c:v>
                </c:pt>
                <c:pt idx="5">
                  <c:v>8.6134938627224489E-2</c:v>
                </c:pt>
                <c:pt idx="6">
                  <c:v>0.11379435828786388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E-584C-8167-BC36B21F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731680"/>
        <c:axId val="2025988896"/>
      </c:lineChart>
      <c:catAx>
        <c:axId val="195973168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25988896"/>
        <c:crosses val="autoZero"/>
        <c:auto val="1"/>
        <c:lblAlgn val="ctr"/>
        <c:lblOffset val="100"/>
        <c:noMultiLvlLbl val="0"/>
      </c:catAx>
      <c:valAx>
        <c:axId val="202598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5973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'Extra tables'!$A$4</c:f>
              <c:strCache>
                <c:ptCount val="1"/>
                <c:pt idx="0">
                  <c:v>Net profit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'Extra tables'!$B$3:$P$3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'Extra tables'!$B$4:$P$4</c:f>
              <c:numCache>
                <c:formatCode>General</c:formatCode>
                <c:ptCount val="15"/>
                <c:pt idx="0">
                  <c:v>28</c:v>
                </c:pt>
                <c:pt idx="1">
                  <c:v>-22</c:v>
                </c:pt>
                <c:pt idx="2">
                  <c:v>84.6</c:v>
                </c:pt>
                <c:pt idx="3">
                  <c:v>3.9</c:v>
                </c:pt>
                <c:pt idx="4">
                  <c:v>446.3</c:v>
                </c:pt>
                <c:pt idx="5">
                  <c:v>170.9</c:v>
                </c:pt>
                <c:pt idx="6">
                  <c:v>122.1</c:v>
                </c:pt>
                <c:pt idx="7">
                  <c:v>456.7</c:v>
                </c:pt>
                <c:pt idx="8">
                  <c:v>321.60000000000002</c:v>
                </c:pt>
                <c:pt idx="9">
                  <c:v>-1069.8</c:v>
                </c:pt>
                <c:pt idx="10">
                  <c:v>246.2</c:v>
                </c:pt>
                <c:pt idx="11">
                  <c:v>1135</c:v>
                </c:pt>
                <c:pt idx="12">
                  <c:v>-1793.7</c:v>
                </c:pt>
                <c:pt idx="13">
                  <c:v>-1454.1</c:v>
                </c:pt>
                <c:pt idx="14">
                  <c:v>-1609.1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D-9E40-ADC1-D3E4382F30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46915007"/>
        <c:axId val="1046785119"/>
      </c:lineChart>
      <c:catAx>
        <c:axId val="1046915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6785119"/>
        <c:crosses val="autoZero"/>
        <c:auto val="1"/>
        <c:lblAlgn val="ctr"/>
        <c:lblOffset val="100"/>
        <c:noMultiLvlLbl val="0"/>
      </c:catAx>
      <c:valAx>
        <c:axId val="104678511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4691500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alpha val="87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25401</xdr:colOff>
      <xdr:row>114</xdr:row>
      <xdr:rowOff>50800</xdr:rowOff>
    </xdr:from>
    <xdr:ext cx="3873500" cy="22098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5401" y="21767800"/>
          <a:ext cx="3873500" cy="22098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https://www.investing.com/equities/norwegian-air-shuttle-asa-historical-data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https://www.investing.com/indices/oslo-obx-historical-data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76</xdr:row>
      <xdr:rowOff>38101</xdr:rowOff>
    </xdr:from>
    <xdr:ext cx="5267325" cy="2133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0" y="13263034"/>
          <a:ext cx="5267325" cy="21336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Risikofri rente gjennomsnitt (10-årig statsoblig) https://www.norges-bank.no/tema/Statistikk/Rentestatistikk/Statsobligasjoner-Rente-Arsgjennomsnitt-av-daglige-noteringer/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Market risk prem in norway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https://www.statista.com/statistics/664851/average-market-risk-premium-norway-europe/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twoCellAnchor>
    <xdr:from>
      <xdr:col>15</xdr:col>
      <xdr:colOff>524933</xdr:colOff>
      <xdr:row>23</xdr:row>
      <xdr:rowOff>8466</xdr:rowOff>
    </xdr:from>
    <xdr:to>
      <xdr:col>21</xdr:col>
      <xdr:colOff>1016000</xdr:colOff>
      <xdr:row>44</xdr:row>
      <xdr:rowOff>152400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721DDB8-4434-674D-B1D4-7900C73563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118534</xdr:colOff>
      <xdr:row>23</xdr:row>
      <xdr:rowOff>177798</xdr:rowOff>
    </xdr:from>
    <xdr:to>
      <xdr:col>29</xdr:col>
      <xdr:colOff>220136</xdr:colOff>
      <xdr:row>44</xdr:row>
      <xdr:rowOff>67733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A5D3060D-1544-DF42-8A3C-FDD3D0E40F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5</xdr:row>
      <xdr:rowOff>114300</xdr:rowOff>
    </xdr:from>
    <xdr:to>
      <xdr:col>14</xdr:col>
      <xdr:colOff>241300</xdr:colOff>
      <xdr:row>22</xdr:row>
      <xdr:rowOff>38100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973C2EE-AC6B-0141-896F-B0C88319A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abSelected="1" zoomScale="64" workbookViewId="0"/>
  </sheetViews>
  <sheetFormatPr defaultColWidth="11.3125" defaultRowHeight="15" customHeight="1" x14ac:dyDescent="0.35"/>
  <cols>
    <col min="1" max="1" width="46.6875" customWidth="1"/>
    <col min="2" max="2" width="15.6875" customWidth="1"/>
    <col min="3" max="7" width="15" customWidth="1"/>
    <col min="8" max="8" width="15.3125" customWidth="1"/>
    <col min="9" max="9" width="7.4375" customWidth="1"/>
    <col min="10" max="10" width="47.5625" bestFit="1" customWidth="1"/>
    <col min="11" max="17" width="13" customWidth="1"/>
    <col min="18" max="18" width="6.5625" customWidth="1"/>
    <col min="19" max="19" width="29.125" customWidth="1"/>
    <col min="20" max="26" width="13" customWidth="1"/>
  </cols>
  <sheetData>
    <row r="1" spans="1:26" ht="15.75" customHeight="1" x14ac:dyDescent="0.45">
      <c r="A1" s="136"/>
      <c r="B1" s="136"/>
      <c r="C1" s="250" t="s">
        <v>0</v>
      </c>
      <c r="D1" s="249"/>
      <c r="E1" s="249"/>
      <c r="F1" s="249"/>
      <c r="G1" s="249"/>
      <c r="H1" s="249"/>
      <c r="I1" s="1"/>
      <c r="J1" s="136"/>
      <c r="K1" s="136"/>
      <c r="L1" s="248" t="s">
        <v>1</v>
      </c>
      <c r="M1" s="249"/>
      <c r="N1" s="249"/>
      <c r="O1" s="249"/>
      <c r="P1" s="249"/>
      <c r="Q1" s="249"/>
      <c r="R1" s="2"/>
      <c r="S1" s="136"/>
      <c r="T1" s="136"/>
      <c r="U1" s="248" t="s">
        <v>2</v>
      </c>
      <c r="V1" s="249"/>
      <c r="W1" s="249"/>
      <c r="X1" s="249"/>
      <c r="Y1" s="249"/>
      <c r="Z1" s="249"/>
    </row>
    <row r="2" spans="1:26" ht="15.75" customHeight="1" x14ac:dyDescent="0.45">
      <c r="A2" s="137"/>
      <c r="B2" s="137">
        <v>2014</v>
      </c>
      <c r="C2" s="137">
        <v>2015</v>
      </c>
      <c r="D2" s="137">
        <v>2016</v>
      </c>
      <c r="E2" s="137">
        <v>2017</v>
      </c>
      <c r="F2" s="137">
        <v>2018</v>
      </c>
      <c r="G2" s="137">
        <v>2019</v>
      </c>
      <c r="H2" s="137">
        <v>2020</v>
      </c>
      <c r="I2" s="1"/>
      <c r="J2" s="137"/>
      <c r="K2" s="137">
        <v>2014</v>
      </c>
      <c r="L2" s="137">
        <v>2015</v>
      </c>
      <c r="M2" s="137">
        <v>2016</v>
      </c>
      <c r="N2" s="137">
        <v>2017</v>
      </c>
      <c r="O2" s="137">
        <v>2018</v>
      </c>
      <c r="P2" s="137">
        <v>2019</v>
      </c>
      <c r="Q2" s="137">
        <v>2020</v>
      </c>
      <c r="R2" s="132"/>
      <c r="S2" s="137"/>
      <c r="T2" s="137">
        <v>2014</v>
      </c>
      <c r="U2" s="137">
        <v>2015</v>
      </c>
      <c r="V2" s="137">
        <v>2016</v>
      </c>
      <c r="W2" s="137">
        <v>2017</v>
      </c>
      <c r="X2" s="137">
        <v>2018</v>
      </c>
      <c r="Y2" s="137">
        <v>2019</v>
      </c>
      <c r="Z2" s="137">
        <v>2020</v>
      </c>
    </row>
    <row r="3" spans="1:26" ht="15.75" customHeight="1" x14ac:dyDescent="0.45">
      <c r="A3" s="1" t="s">
        <v>3</v>
      </c>
      <c r="B3" s="3">
        <v>16254622</v>
      </c>
      <c r="C3" s="3">
        <v>18505762</v>
      </c>
      <c r="D3" s="3">
        <v>21095595</v>
      </c>
      <c r="E3" s="3">
        <v>24719086</v>
      </c>
      <c r="F3" s="3">
        <v>32560100</v>
      </c>
      <c r="G3" s="3">
        <v>35216300</v>
      </c>
      <c r="H3" s="3">
        <v>6455300</v>
      </c>
      <c r="I3" s="1"/>
      <c r="J3" s="1" t="s">
        <v>3</v>
      </c>
      <c r="K3" s="3">
        <v>16254622</v>
      </c>
      <c r="L3" s="3">
        <v>18505762</v>
      </c>
      <c r="M3" s="3">
        <v>21095595</v>
      </c>
      <c r="N3" s="3">
        <v>24719086</v>
      </c>
      <c r="O3" s="3">
        <v>32560100</v>
      </c>
      <c r="P3" s="3">
        <v>35216300</v>
      </c>
      <c r="Q3" s="3">
        <v>6455300</v>
      </c>
      <c r="R3" s="1"/>
      <c r="S3" s="1" t="s">
        <v>3</v>
      </c>
      <c r="T3" s="3">
        <f t="shared" ref="T3:Z3" si="0">K3</f>
        <v>16254622</v>
      </c>
      <c r="U3" s="3">
        <f t="shared" si="0"/>
        <v>18505762</v>
      </c>
      <c r="V3" s="3">
        <f t="shared" si="0"/>
        <v>21095595</v>
      </c>
      <c r="W3" s="3">
        <f t="shared" si="0"/>
        <v>24719086</v>
      </c>
      <c r="X3" s="3">
        <f t="shared" si="0"/>
        <v>32560100</v>
      </c>
      <c r="Y3" s="3">
        <f t="shared" si="0"/>
        <v>35216300</v>
      </c>
      <c r="Z3" s="3">
        <f t="shared" si="0"/>
        <v>6455300</v>
      </c>
    </row>
    <row r="4" spans="1:26" ht="15.75" customHeight="1" x14ac:dyDescent="0.45">
      <c r="A4" s="1" t="s">
        <v>4</v>
      </c>
      <c r="B4" s="3">
        <v>2727439</v>
      </c>
      <c r="C4" s="3">
        <v>3275289</v>
      </c>
      <c r="D4" s="3">
        <v>3928978</v>
      </c>
      <c r="E4" s="3">
        <v>4822516</v>
      </c>
      <c r="F4" s="3">
        <v>6266600</v>
      </c>
      <c r="G4" s="3">
        <v>6651500</v>
      </c>
      <c r="H4" s="3">
        <v>1535100</v>
      </c>
      <c r="I4" s="1"/>
      <c r="J4" s="1" t="s">
        <v>4</v>
      </c>
      <c r="K4" s="3">
        <v>2727439</v>
      </c>
      <c r="L4" s="3">
        <v>3275289</v>
      </c>
      <c r="M4" s="3">
        <v>3928978</v>
      </c>
      <c r="N4" s="3">
        <v>4822516</v>
      </c>
      <c r="O4" s="3">
        <v>6266600</v>
      </c>
      <c r="P4" s="3">
        <v>6651500</v>
      </c>
      <c r="Q4" s="3">
        <v>1535100</v>
      </c>
      <c r="R4" s="1"/>
      <c r="S4" s="1" t="s">
        <v>4</v>
      </c>
      <c r="T4" s="3">
        <f t="shared" ref="T4:Z4" si="1">K4</f>
        <v>2727439</v>
      </c>
      <c r="U4" s="3">
        <f t="shared" si="1"/>
        <v>3275289</v>
      </c>
      <c r="V4" s="3">
        <f t="shared" si="1"/>
        <v>3928978</v>
      </c>
      <c r="W4" s="3">
        <f t="shared" si="1"/>
        <v>4822516</v>
      </c>
      <c r="X4" s="3">
        <f t="shared" si="1"/>
        <v>6266600</v>
      </c>
      <c r="Y4" s="3">
        <f t="shared" si="1"/>
        <v>6651500</v>
      </c>
      <c r="Z4" s="3">
        <f t="shared" si="1"/>
        <v>1535100</v>
      </c>
    </row>
    <row r="5" spans="1:26" ht="15.75" customHeight="1" x14ac:dyDescent="0.45">
      <c r="A5" s="1" t="s">
        <v>5</v>
      </c>
      <c r="B5" s="3"/>
      <c r="C5" s="3"/>
      <c r="D5" s="3"/>
      <c r="E5" s="3"/>
      <c r="F5" s="3">
        <v>743300</v>
      </c>
      <c r="G5" s="3">
        <v>755100</v>
      </c>
      <c r="H5" s="3">
        <f>158.8*1000</f>
        <v>158800</v>
      </c>
      <c r="I5" s="1"/>
      <c r="J5" s="1" t="s">
        <v>5</v>
      </c>
      <c r="K5" s="3"/>
      <c r="L5" s="3"/>
      <c r="M5" s="3"/>
      <c r="N5" s="3"/>
      <c r="O5" s="3">
        <v>743300</v>
      </c>
      <c r="P5" s="3">
        <v>755100</v>
      </c>
      <c r="Q5" s="3">
        <v>0</v>
      </c>
      <c r="R5" s="1"/>
      <c r="S5" s="1" t="s">
        <v>5</v>
      </c>
      <c r="T5" s="3">
        <f t="shared" ref="T5:Z5" si="2">K5</f>
        <v>0</v>
      </c>
      <c r="U5" s="3">
        <f t="shared" si="2"/>
        <v>0</v>
      </c>
      <c r="V5" s="3">
        <f t="shared" si="2"/>
        <v>0</v>
      </c>
      <c r="W5" s="3">
        <f t="shared" si="2"/>
        <v>0</v>
      </c>
      <c r="X5" s="3">
        <f t="shared" si="2"/>
        <v>743300</v>
      </c>
      <c r="Y5" s="3">
        <f t="shared" si="2"/>
        <v>755100</v>
      </c>
      <c r="Z5" s="3">
        <f t="shared" si="2"/>
        <v>0</v>
      </c>
    </row>
    <row r="6" spans="1:26" ht="15.75" customHeight="1" x14ac:dyDescent="0.45">
      <c r="A6" s="1" t="s">
        <v>6</v>
      </c>
      <c r="B6" s="3">
        <v>557978</v>
      </c>
      <c r="C6" s="3">
        <v>702493</v>
      </c>
      <c r="D6" s="3">
        <v>925981</v>
      </c>
      <c r="E6" s="3">
        <v>1406661</v>
      </c>
      <c r="F6" s="3">
        <v>695600</v>
      </c>
      <c r="G6" s="3">
        <v>899000</v>
      </c>
      <c r="H6" s="3">
        <f>946.4*1000</f>
        <v>946400</v>
      </c>
      <c r="I6" s="1"/>
      <c r="J6" s="138" t="s">
        <v>7</v>
      </c>
      <c r="K6" s="139">
        <f t="shared" ref="K6:Q6" si="3">K3+K4+K5</f>
        <v>18982061</v>
      </c>
      <c r="L6" s="139">
        <f t="shared" si="3"/>
        <v>21781051</v>
      </c>
      <c r="M6" s="139">
        <f t="shared" si="3"/>
        <v>25024573</v>
      </c>
      <c r="N6" s="139">
        <f t="shared" si="3"/>
        <v>29541602</v>
      </c>
      <c r="O6" s="139">
        <f t="shared" si="3"/>
        <v>39570000</v>
      </c>
      <c r="P6" s="139">
        <f t="shared" si="3"/>
        <v>42622900</v>
      </c>
      <c r="Q6" s="139">
        <f t="shared" si="3"/>
        <v>7990400</v>
      </c>
      <c r="R6" s="1"/>
      <c r="S6" s="138" t="s">
        <v>7</v>
      </c>
      <c r="T6" s="139">
        <f t="shared" ref="T6:Z6" si="4">T3+T4+T5</f>
        <v>18982061</v>
      </c>
      <c r="U6" s="139">
        <f t="shared" si="4"/>
        <v>21781051</v>
      </c>
      <c r="V6" s="139">
        <f t="shared" si="4"/>
        <v>25024573</v>
      </c>
      <c r="W6" s="139">
        <f t="shared" si="4"/>
        <v>29541602</v>
      </c>
      <c r="X6" s="139">
        <f t="shared" si="4"/>
        <v>39570000</v>
      </c>
      <c r="Y6" s="139">
        <f t="shared" si="4"/>
        <v>42622900</v>
      </c>
      <c r="Z6" s="139">
        <f t="shared" si="4"/>
        <v>7990400</v>
      </c>
    </row>
    <row r="7" spans="1:26" ht="15.75" customHeight="1" x14ac:dyDescent="0.45">
      <c r="A7" s="1" t="s">
        <v>8</v>
      </c>
      <c r="B7" s="3"/>
      <c r="C7" s="3">
        <v>7603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1"/>
      <c r="J7" s="1" t="s">
        <v>6</v>
      </c>
      <c r="K7" s="3">
        <v>557978</v>
      </c>
      <c r="L7" s="3">
        <v>702493</v>
      </c>
      <c r="M7" s="3">
        <v>925981</v>
      </c>
      <c r="N7" s="3">
        <v>1406661</v>
      </c>
      <c r="O7" s="3">
        <v>695600</v>
      </c>
      <c r="P7" s="3">
        <v>899000</v>
      </c>
      <c r="Q7" s="3">
        <v>1105300</v>
      </c>
      <c r="R7" s="1"/>
      <c r="S7" s="1" t="s">
        <v>6</v>
      </c>
      <c r="T7" s="3">
        <v>557978</v>
      </c>
      <c r="U7" s="3">
        <v>702493</v>
      </c>
      <c r="V7" s="3">
        <v>925981</v>
      </c>
      <c r="W7" s="3">
        <v>1406661</v>
      </c>
      <c r="X7" s="3">
        <v>695600</v>
      </c>
      <c r="Y7" s="3">
        <v>899000</v>
      </c>
      <c r="Z7" s="3">
        <v>1105300</v>
      </c>
    </row>
    <row r="8" spans="1:26" ht="15.75" customHeight="1" x14ac:dyDescent="0.45">
      <c r="A8" s="138" t="s">
        <v>9</v>
      </c>
      <c r="B8" s="139">
        <f t="shared" ref="B8:C8" si="5">SUM(B3:B7)</f>
        <v>19540039</v>
      </c>
      <c r="C8" s="139">
        <f t="shared" si="5"/>
        <v>22491147</v>
      </c>
      <c r="D8" s="139">
        <f t="shared" ref="D8:H8" si="6">SUM(D3:D6)</f>
        <v>25950554</v>
      </c>
      <c r="E8" s="139">
        <f t="shared" si="6"/>
        <v>30948263</v>
      </c>
      <c r="F8" s="139">
        <f t="shared" si="6"/>
        <v>40265600</v>
      </c>
      <c r="G8" s="139">
        <f t="shared" si="6"/>
        <v>43521900</v>
      </c>
      <c r="H8" s="139">
        <f t="shared" si="6"/>
        <v>9095600</v>
      </c>
      <c r="I8" s="1"/>
      <c r="J8" s="1" t="s">
        <v>8</v>
      </c>
      <c r="K8" s="3"/>
      <c r="L8" s="3">
        <v>7603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/>
      <c r="S8" s="1" t="s">
        <v>8</v>
      </c>
      <c r="T8" s="3"/>
      <c r="U8" s="3">
        <v>7603</v>
      </c>
      <c r="V8" s="3">
        <v>0</v>
      </c>
      <c r="W8" s="3">
        <v>0</v>
      </c>
      <c r="X8" s="3">
        <v>0</v>
      </c>
      <c r="Y8" s="3">
        <v>0</v>
      </c>
      <c r="Z8" s="3">
        <v>0</v>
      </c>
    </row>
    <row r="9" spans="1:26" ht="15.75" customHeight="1" x14ac:dyDescent="0.45">
      <c r="A9" s="1" t="s">
        <v>10</v>
      </c>
      <c r="B9" s="4">
        <v>469111</v>
      </c>
      <c r="C9" s="4">
        <v>612286</v>
      </c>
      <c r="D9" s="4">
        <v>758698</v>
      </c>
      <c r="E9" s="4">
        <v>946074</v>
      </c>
      <c r="F9" s="3">
        <f>878.5*1000</f>
        <v>878500</v>
      </c>
      <c r="G9" s="3"/>
      <c r="H9" s="3">
        <v>0</v>
      </c>
      <c r="I9" s="1"/>
      <c r="J9" s="1" t="s">
        <v>11</v>
      </c>
      <c r="K9" s="3">
        <f t="shared" ref="K9:Q9" si="7">B31</f>
        <v>57631</v>
      </c>
      <c r="L9" s="3">
        <f t="shared" si="7"/>
        <v>103441</v>
      </c>
      <c r="M9" s="3">
        <f t="shared" si="7"/>
        <v>212801</v>
      </c>
      <c r="N9" s="3">
        <f t="shared" si="7"/>
        <v>291944</v>
      </c>
      <c r="O9" s="3">
        <f t="shared" si="7"/>
        <v>128500</v>
      </c>
      <c r="P9" s="3">
        <f t="shared" si="7"/>
        <v>-13600</v>
      </c>
      <c r="Q9" s="3">
        <f t="shared" si="7"/>
        <v>-7800</v>
      </c>
      <c r="R9" s="1"/>
      <c r="S9" s="1" t="s">
        <v>11</v>
      </c>
      <c r="T9" s="3">
        <f t="shared" ref="T9:Z9" si="8">K9</f>
        <v>57631</v>
      </c>
      <c r="U9" s="3">
        <f t="shared" si="8"/>
        <v>103441</v>
      </c>
      <c r="V9" s="3">
        <f t="shared" si="8"/>
        <v>212801</v>
      </c>
      <c r="W9" s="3">
        <f t="shared" si="8"/>
        <v>291944</v>
      </c>
      <c r="X9" s="3">
        <f t="shared" si="8"/>
        <v>128500</v>
      </c>
      <c r="Y9" s="3">
        <f t="shared" si="8"/>
        <v>-13600</v>
      </c>
      <c r="Z9" s="3">
        <f t="shared" si="8"/>
        <v>-7800</v>
      </c>
    </row>
    <row r="10" spans="1:26" ht="15.75" customHeight="1" x14ac:dyDescent="0.45">
      <c r="A10" s="1" t="s">
        <v>12</v>
      </c>
      <c r="B10" s="4">
        <v>6321053</v>
      </c>
      <c r="C10" s="4">
        <v>5184475</v>
      </c>
      <c r="D10" s="4">
        <v>5052906</v>
      </c>
      <c r="E10" s="4">
        <v>7339171</v>
      </c>
      <c r="F10" s="3">
        <v>12562200</v>
      </c>
      <c r="G10" s="3">
        <v>12607100</v>
      </c>
      <c r="H10" s="3">
        <v>2006700</v>
      </c>
      <c r="I10" s="1"/>
      <c r="J10" s="140" t="s">
        <v>13</v>
      </c>
      <c r="K10" s="141">
        <f t="shared" ref="K10:Q10" si="9">K6+K7+K8+K9</f>
        <v>19597670</v>
      </c>
      <c r="L10" s="141">
        <f t="shared" si="9"/>
        <v>22594588</v>
      </c>
      <c r="M10" s="141">
        <f t="shared" si="9"/>
        <v>26163355</v>
      </c>
      <c r="N10" s="141">
        <f t="shared" si="9"/>
        <v>31240207</v>
      </c>
      <c r="O10" s="141">
        <f t="shared" si="9"/>
        <v>40394100</v>
      </c>
      <c r="P10" s="141">
        <f t="shared" si="9"/>
        <v>43508300</v>
      </c>
      <c r="Q10" s="141">
        <f t="shared" si="9"/>
        <v>9087900</v>
      </c>
      <c r="R10" s="1"/>
      <c r="S10" s="140" t="s">
        <v>13</v>
      </c>
      <c r="T10" s="139">
        <f t="shared" ref="T10:Z10" si="10">T6+T7+T8+T9</f>
        <v>19597670</v>
      </c>
      <c r="U10" s="139">
        <f t="shared" si="10"/>
        <v>22594588</v>
      </c>
      <c r="V10" s="139">
        <f t="shared" si="10"/>
        <v>26163355</v>
      </c>
      <c r="W10" s="139">
        <f t="shared" si="10"/>
        <v>31240207</v>
      </c>
      <c r="X10" s="139">
        <f t="shared" si="10"/>
        <v>40394100</v>
      </c>
      <c r="Y10" s="139">
        <f t="shared" si="10"/>
        <v>43508300</v>
      </c>
      <c r="Z10" s="139">
        <f t="shared" si="10"/>
        <v>9087900</v>
      </c>
    </row>
    <row r="11" spans="1:26" ht="15.75" customHeight="1" x14ac:dyDescent="0.45">
      <c r="A11" s="1" t="s">
        <v>14</v>
      </c>
      <c r="B11" s="4">
        <v>1845940</v>
      </c>
      <c r="C11" s="4">
        <v>2213251</v>
      </c>
      <c r="D11" s="4">
        <v>2841859</v>
      </c>
      <c r="E11" s="4">
        <v>3889680</v>
      </c>
      <c r="F11" s="3">
        <f>4354.1*1000</f>
        <v>4354100</v>
      </c>
      <c r="G11" s="3"/>
      <c r="H11" s="3">
        <v>0</v>
      </c>
      <c r="I11" s="1"/>
      <c r="J11" s="5" t="s">
        <v>10</v>
      </c>
      <c r="K11" s="3">
        <f t="shared" ref="K11:Q11" si="11">-B9</f>
        <v>-469111</v>
      </c>
      <c r="L11" s="3">
        <f t="shared" si="11"/>
        <v>-612286</v>
      </c>
      <c r="M11" s="3">
        <f t="shared" si="11"/>
        <v>-758698</v>
      </c>
      <c r="N11" s="3">
        <f t="shared" si="11"/>
        <v>-946074</v>
      </c>
      <c r="O11" s="3">
        <f t="shared" si="11"/>
        <v>-878500</v>
      </c>
      <c r="P11" s="3">
        <f t="shared" si="11"/>
        <v>0</v>
      </c>
      <c r="Q11" s="3">
        <f t="shared" si="11"/>
        <v>0</v>
      </c>
      <c r="R11" s="1"/>
      <c r="S11" s="5" t="s">
        <v>10</v>
      </c>
      <c r="T11" s="3">
        <f t="shared" ref="T11:Z11" si="12">K11</f>
        <v>-469111</v>
      </c>
      <c r="U11" s="3">
        <f t="shared" si="12"/>
        <v>-612286</v>
      </c>
      <c r="V11" s="3">
        <f t="shared" si="12"/>
        <v>-758698</v>
      </c>
      <c r="W11" s="3">
        <f t="shared" si="12"/>
        <v>-946074</v>
      </c>
      <c r="X11" s="3">
        <f t="shared" si="12"/>
        <v>-878500</v>
      </c>
      <c r="Y11" s="3">
        <f t="shared" si="12"/>
        <v>0</v>
      </c>
      <c r="Z11" s="3">
        <f t="shared" si="12"/>
        <v>0</v>
      </c>
    </row>
    <row r="12" spans="1:26" ht="15.75" customHeight="1" x14ac:dyDescent="0.45">
      <c r="A12" s="1" t="s">
        <v>15</v>
      </c>
      <c r="B12" s="4">
        <v>2723910</v>
      </c>
      <c r="C12" s="4">
        <v>2949313</v>
      </c>
      <c r="D12" s="4">
        <v>3303841</v>
      </c>
      <c r="E12" s="4">
        <v>3760075</v>
      </c>
      <c r="F12" s="3">
        <v>4373000</v>
      </c>
      <c r="G12" s="3">
        <v>4140300</v>
      </c>
      <c r="H12" s="3">
        <v>772500</v>
      </c>
      <c r="I12" s="1"/>
      <c r="J12" s="5" t="s">
        <v>12</v>
      </c>
      <c r="K12" s="3">
        <f t="shared" ref="K12:Q12" si="13">-B10</f>
        <v>-6321053</v>
      </c>
      <c r="L12" s="3">
        <f t="shared" si="13"/>
        <v>-5184475</v>
      </c>
      <c r="M12" s="3">
        <f t="shared" si="13"/>
        <v>-5052906</v>
      </c>
      <c r="N12" s="3">
        <f t="shared" si="13"/>
        <v>-7339171</v>
      </c>
      <c r="O12" s="3">
        <f t="shared" si="13"/>
        <v>-12562200</v>
      </c>
      <c r="P12" s="3">
        <f t="shared" si="13"/>
        <v>-12607100</v>
      </c>
      <c r="Q12" s="3">
        <f t="shared" si="13"/>
        <v>-2006700</v>
      </c>
      <c r="R12" s="1"/>
      <c r="S12" s="5" t="s">
        <v>12</v>
      </c>
      <c r="T12" s="3">
        <f t="shared" ref="T12:Z12" si="14">K12</f>
        <v>-6321053</v>
      </c>
      <c r="U12" s="3">
        <f t="shared" si="14"/>
        <v>-5184475</v>
      </c>
      <c r="V12" s="3">
        <f t="shared" si="14"/>
        <v>-5052906</v>
      </c>
      <c r="W12" s="3">
        <f t="shared" si="14"/>
        <v>-7339171</v>
      </c>
      <c r="X12" s="3">
        <f t="shared" si="14"/>
        <v>-12562200</v>
      </c>
      <c r="Y12" s="3">
        <f t="shared" si="14"/>
        <v>-12607100</v>
      </c>
      <c r="Z12" s="3">
        <f t="shared" si="14"/>
        <v>-2006700</v>
      </c>
    </row>
    <row r="13" spans="1:26" ht="15.75" customHeight="1" x14ac:dyDescent="0.45">
      <c r="A13" s="1" t="s">
        <v>16</v>
      </c>
      <c r="B13" s="4">
        <v>1854844</v>
      </c>
      <c r="C13" s="4">
        <v>2336785</v>
      </c>
      <c r="D13" s="4">
        <v>2995608</v>
      </c>
      <c r="E13" s="4">
        <v>3685213</v>
      </c>
      <c r="F13" s="3">
        <v>5200500</v>
      </c>
      <c r="G13" s="3">
        <v>5260200</v>
      </c>
      <c r="H13" s="3">
        <v>1392200</v>
      </c>
      <c r="I13" s="1"/>
      <c r="J13" s="5" t="s">
        <v>14</v>
      </c>
      <c r="K13" s="3">
        <f t="shared" ref="K13:Q13" si="15">-B11</f>
        <v>-1845940</v>
      </c>
      <c r="L13" s="3">
        <f t="shared" si="15"/>
        <v>-2213251</v>
      </c>
      <c r="M13" s="3">
        <f t="shared" si="15"/>
        <v>-2841859</v>
      </c>
      <c r="N13" s="3">
        <f t="shared" si="15"/>
        <v>-3889680</v>
      </c>
      <c r="O13" s="3">
        <f t="shared" si="15"/>
        <v>-4354100</v>
      </c>
      <c r="P13" s="3">
        <f t="shared" si="15"/>
        <v>0</v>
      </c>
      <c r="Q13" s="3">
        <f t="shared" si="15"/>
        <v>0</v>
      </c>
      <c r="R13" s="1"/>
      <c r="S13" s="5" t="s">
        <v>15</v>
      </c>
      <c r="T13" s="3">
        <f t="shared" ref="T13:Z13" si="16">K14</f>
        <v>-2723910</v>
      </c>
      <c r="U13" s="3">
        <f t="shared" si="16"/>
        <v>-2949313</v>
      </c>
      <c r="V13" s="3">
        <f t="shared" si="16"/>
        <v>-3303841</v>
      </c>
      <c r="W13" s="3">
        <f t="shared" si="16"/>
        <v>-3760075</v>
      </c>
      <c r="X13" s="3">
        <f t="shared" si="16"/>
        <v>-4373000</v>
      </c>
      <c r="Y13" s="3">
        <f t="shared" si="16"/>
        <v>-4140300</v>
      </c>
      <c r="Z13" s="3">
        <f t="shared" si="16"/>
        <v>-772500</v>
      </c>
    </row>
    <row r="14" spans="1:26" ht="15.75" customHeight="1" x14ac:dyDescent="0.45">
      <c r="A14" s="1" t="s">
        <v>17</v>
      </c>
      <c r="B14" s="4">
        <v>1290035</v>
      </c>
      <c r="C14" s="4">
        <v>1716547</v>
      </c>
      <c r="D14" s="4">
        <v>1864985</v>
      </c>
      <c r="E14" s="4">
        <v>2706549</v>
      </c>
      <c r="F14" s="3">
        <v>3493700</v>
      </c>
      <c r="G14" s="3">
        <v>3379200</v>
      </c>
      <c r="H14" s="3">
        <v>1791800</v>
      </c>
      <c r="I14" s="1"/>
      <c r="J14" s="5" t="s">
        <v>15</v>
      </c>
      <c r="K14" s="3">
        <f t="shared" ref="K14:Q14" si="17">-B12</f>
        <v>-2723910</v>
      </c>
      <c r="L14" s="3">
        <f t="shared" si="17"/>
        <v>-2949313</v>
      </c>
      <c r="M14" s="3">
        <f t="shared" si="17"/>
        <v>-3303841</v>
      </c>
      <c r="N14" s="3">
        <f t="shared" si="17"/>
        <v>-3760075</v>
      </c>
      <c r="O14" s="3">
        <f t="shared" si="17"/>
        <v>-4373000</v>
      </c>
      <c r="P14" s="3">
        <f t="shared" si="17"/>
        <v>-4140300</v>
      </c>
      <c r="Q14" s="3">
        <f t="shared" si="17"/>
        <v>-772500</v>
      </c>
      <c r="R14" s="1"/>
      <c r="S14" s="5" t="s">
        <v>16</v>
      </c>
      <c r="T14" s="3">
        <f t="shared" ref="T14:Z14" si="18">K15</f>
        <v>-1854844</v>
      </c>
      <c r="U14" s="3">
        <f t="shared" si="18"/>
        <v>-2336785</v>
      </c>
      <c r="V14" s="3">
        <f t="shared" si="18"/>
        <v>-2995608</v>
      </c>
      <c r="W14" s="3">
        <f t="shared" si="18"/>
        <v>-3685213</v>
      </c>
      <c r="X14" s="3">
        <f t="shared" si="18"/>
        <v>-5200500</v>
      </c>
      <c r="Y14" s="3">
        <f t="shared" si="18"/>
        <v>-5260200</v>
      </c>
      <c r="Z14" s="3">
        <f t="shared" si="18"/>
        <v>-1392200</v>
      </c>
    </row>
    <row r="15" spans="1:26" ht="15.75" customHeight="1" x14ac:dyDescent="0.45">
      <c r="A15" s="1" t="s">
        <v>18</v>
      </c>
      <c r="B15" s="4">
        <v>855231</v>
      </c>
      <c r="C15" s="4">
        <v>826391</v>
      </c>
      <c r="D15" s="4">
        <v>1206447</v>
      </c>
      <c r="E15" s="6">
        <v>1694830</v>
      </c>
      <c r="F15" s="3">
        <f>2102.1*1000</f>
        <v>2102100</v>
      </c>
      <c r="G15" s="3"/>
      <c r="H15" s="3">
        <v>0</v>
      </c>
      <c r="I15" s="1"/>
      <c r="J15" s="5" t="s">
        <v>16</v>
      </c>
      <c r="K15" s="3">
        <f t="shared" ref="K15:Q15" si="19">-B13</f>
        <v>-1854844</v>
      </c>
      <c r="L15" s="3">
        <f t="shared" si="19"/>
        <v>-2336785</v>
      </c>
      <c r="M15" s="3">
        <f t="shared" si="19"/>
        <v>-2995608</v>
      </c>
      <c r="N15" s="3">
        <f t="shared" si="19"/>
        <v>-3685213</v>
      </c>
      <c r="O15" s="3">
        <f t="shared" si="19"/>
        <v>-5200500</v>
      </c>
      <c r="P15" s="3">
        <f t="shared" si="19"/>
        <v>-5260200</v>
      </c>
      <c r="Q15" s="3">
        <f t="shared" si="19"/>
        <v>-1392200</v>
      </c>
      <c r="R15" s="1"/>
      <c r="S15" s="5" t="s">
        <v>17</v>
      </c>
      <c r="T15" s="3">
        <f t="shared" ref="T15:Z15" si="20">K16</f>
        <v>-1290035</v>
      </c>
      <c r="U15" s="3">
        <f t="shared" si="20"/>
        <v>-1716547</v>
      </c>
      <c r="V15" s="3">
        <f t="shared" si="20"/>
        <v>-1864985</v>
      </c>
      <c r="W15" s="3">
        <f t="shared" si="20"/>
        <v>-2706549</v>
      </c>
      <c r="X15" s="3">
        <f t="shared" si="20"/>
        <v>-3493700</v>
      </c>
      <c r="Y15" s="3">
        <f t="shared" si="20"/>
        <v>-3379200</v>
      </c>
      <c r="Z15" s="3">
        <f t="shared" si="20"/>
        <v>-1791800</v>
      </c>
    </row>
    <row r="16" spans="1:26" ht="15.75" customHeight="1" x14ac:dyDescent="0.45">
      <c r="A16" s="138" t="s">
        <v>19</v>
      </c>
      <c r="B16" s="142">
        <f t="shared" ref="B16:F16" si="21">SUM(B9:B15)</f>
        <v>15360124</v>
      </c>
      <c r="C16" s="142">
        <f t="shared" si="21"/>
        <v>15839048</v>
      </c>
      <c r="D16" s="142">
        <f t="shared" si="21"/>
        <v>18024344</v>
      </c>
      <c r="E16" s="142">
        <f t="shared" si="21"/>
        <v>24021592</v>
      </c>
      <c r="F16" s="142">
        <f t="shared" si="21"/>
        <v>32964100</v>
      </c>
      <c r="G16" s="7">
        <f>SUM(G10:G14)</f>
        <v>25386800</v>
      </c>
      <c r="H16" s="7">
        <f>SUM(H9:H15)</f>
        <v>5963200</v>
      </c>
      <c r="I16" s="1"/>
      <c r="J16" s="5" t="s">
        <v>17</v>
      </c>
      <c r="K16" s="3">
        <f t="shared" ref="K16:Q16" si="22">-B14</f>
        <v>-1290035</v>
      </c>
      <c r="L16" s="3">
        <f t="shared" si="22"/>
        <v>-1716547</v>
      </c>
      <c r="M16" s="3">
        <f t="shared" si="22"/>
        <v>-1864985</v>
      </c>
      <c r="N16" s="3">
        <f t="shared" si="22"/>
        <v>-2706549</v>
      </c>
      <c r="O16" s="3">
        <f t="shared" si="22"/>
        <v>-3493700</v>
      </c>
      <c r="P16" s="3">
        <f t="shared" si="22"/>
        <v>-3379200</v>
      </c>
      <c r="Q16" s="3">
        <f t="shared" si="22"/>
        <v>-1791800</v>
      </c>
      <c r="R16" s="1"/>
      <c r="S16" s="5" t="s">
        <v>18</v>
      </c>
      <c r="T16" s="3">
        <f t="shared" ref="T16:Z16" si="23">K17</f>
        <v>-855231</v>
      </c>
      <c r="U16" s="3">
        <f t="shared" si="23"/>
        <v>-826391</v>
      </c>
      <c r="V16" s="3">
        <f t="shared" si="23"/>
        <v>-1206447</v>
      </c>
      <c r="W16" s="3">
        <f t="shared" si="23"/>
        <v>-1694830</v>
      </c>
      <c r="X16" s="3">
        <f t="shared" si="23"/>
        <v>-2102100</v>
      </c>
      <c r="Y16" s="3">
        <f t="shared" si="23"/>
        <v>0</v>
      </c>
      <c r="Z16" s="3">
        <f t="shared" si="23"/>
        <v>0</v>
      </c>
    </row>
    <row r="17" spans="1:26" ht="15.75" customHeight="1" x14ac:dyDescent="0.45">
      <c r="A17" s="1" t="s">
        <v>20</v>
      </c>
      <c r="B17" s="3">
        <v>3208987</v>
      </c>
      <c r="C17" s="3">
        <v>3433703</v>
      </c>
      <c r="D17" s="3">
        <v>3971412</v>
      </c>
      <c r="E17" s="3">
        <v>5316253</v>
      </c>
      <c r="F17" s="3">
        <v>6664600</v>
      </c>
      <c r="G17" s="3">
        <v>6817500</v>
      </c>
      <c r="H17" s="3">
        <v>2921200</v>
      </c>
      <c r="I17" s="1"/>
      <c r="J17" s="5" t="s">
        <v>18</v>
      </c>
      <c r="K17" s="3">
        <f t="shared" ref="K17:Q17" si="24">-B15</f>
        <v>-855231</v>
      </c>
      <c r="L17" s="3">
        <f t="shared" si="24"/>
        <v>-826391</v>
      </c>
      <c r="M17" s="3">
        <f t="shared" si="24"/>
        <v>-1206447</v>
      </c>
      <c r="N17" s="3">
        <f t="shared" si="24"/>
        <v>-1694830</v>
      </c>
      <c r="O17" s="3">
        <f t="shared" si="24"/>
        <v>-2102100</v>
      </c>
      <c r="P17" s="3">
        <f t="shared" si="24"/>
        <v>0</v>
      </c>
      <c r="Q17" s="3">
        <f t="shared" si="24"/>
        <v>0</v>
      </c>
      <c r="R17" s="1"/>
      <c r="S17" s="5" t="s">
        <v>20</v>
      </c>
      <c r="T17" s="3">
        <f t="shared" ref="T17:Z17" si="25">K18</f>
        <v>-3208987</v>
      </c>
      <c r="U17" s="3">
        <f t="shared" si="25"/>
        <v>-3433703</v>
      </c>
      <c r="V17" s="3">
        <f t="shared" si="25"/>
        <v>-3971412</v>
      </c>
      <c r="W17" s="3">
        <f t="shared" si="25"/>
        <v>-5316253</v>
      </c>
      <c r="X17" s="3">
        <f t="shared" si="25"/>
        <v>-6664600</v>
      </c>
      <c r="Y17" s="3">
        <f t="shared" si="25"/>
        <v>-6817500</v>
      </c>
      <c r="Z17" s="3">
        <f t="shared" si="25"/>
        <v>-2921200</v>
      </c>
    </row>
    <row r="18" spans="1:26" ht="15.75" customHeight="1" x14ac:dyDescent="0.45">
      <c r="A18" s="1" t="s">
        <v>21</v>
      </c>
      <c r="B18" s="251">
        <v>748138</v>
      </c>
      <c r="C18" s="251">
        <v>1133287</v>
      </c>
      <c r="D18" s="3">
        <v>1295825</v>
      </c>
      <c r="E18" s="8">
        <v>1405075</v>
      </c>
      <c r="F18" s="3">
        <f>1667.6*1000</f>
        <v>1667600</v>
      </c>
      <c r="G18" s="3"/>
      <c r="H18" s="3">
        <v>0</v>
      </c>
      <c r="I18" s="1"/>
      <c r="J18" s="5" t="s">
        <v>20</v>
      </c>
      <c r="K18" s="3">
        <f t="shared" ref="K18:Q18" si="26">-B17</f>
        <v>-3208987</v>
      </c>
      <c r="L18" s="3">
        <f t="shared" si="26"/>
        <v>-3433703</v>
      </c>
      <c r="M18" s="3">
        <f t="shared" si="26"/>
        <v>-3971412</v>
      </c>
      <c r="N18" s="3">
        <f t="shared" si="26"/>
        <v>-5316253</v>
      </c>
      <c r="O18" s="3">
        <f t="shared" si="26"/>
        <v>-6664600</v>
      </c>
      <c r="P18" s="3">
        <f t="shared" si="26"/>
        <v>-6817500</v>
      </c>
      <c r="Q18" s="3">
        <f t="shared" si="26"/>
        <v>-2921200</v>
      </c>
      <c r="R18" s="1"/>
      <c r="S18" s="5" t="s">
        <v>22</v>
      </c>
      <c r="T18" s="3">
        <f t="shared" ref="T18:Z18" si="27">K19</f>
        <v>-1049577</v>
      </c>
      <c r="U18" s="3">
        <f t="shared" si="27"/>
        <v>-1263185</v>
      </c>
      <c r="V18" s="3">
        <f t="shared" si="27"/>
        <v>-1516243</v>
      </c>
      <c r="W18" s="3">
        <f t="shared" si="27"/>
        <v>-1983742</v>
      </c>
      <c r="X18" s="3">
        <f t="shared" si="27"/>
        <v>-1825900</v>
      </c>
      <c r="Y18" s="3">
        <f t="shared" si="27"/>
        <v>-4849900</v>
      </c>
      <c r="Z18" s="3">
        <f t="shared" si="27"/>
        <v>-1961900</v>
      </c>
    </row>
    <row r="19" spans="1:26" ht="15.75" customHeight="1" x14ac:dyDescent="0.45">
      <c r="A19" s="1" t="s">
        <v>23</v>
      </c>
      <c r="B19" s="252"/>
      <c r="C19" s="252"/>
      <c r="D19" s="3">
        <v>0</v>
      </c>
      <c r="E19" s="8">
        <v>655904</v>
      </c>
      <c r="F19" s="3"/>
      <c r="G19" s="3"/>
      <c r="H19" s="3">
        <v>0</v>
      </c>
      <c r="I19" s="1"/>
      <c r="J19" s="5" t="s">
        <v>22</v>
      </c>
      <c r="K19" s="3">
        <f t="shared" ref="K19:Q19" si="28">-B20</f>
        <v>-1049577</v>
      </c>
      <c r="L19" s="3">
        <f t="shared" si="28"/>
        <v>-1263185</v>
      </c>
      <c r="M19" s="3">
        <f t="shared" si="28"/>
        <v>-1516243</v>
      </c>
      <c r="N19" s="3">
        <f t="shared" si="28"/>
        <v>-1983742</v>
      </c>
      <c r="O19" s="3">
        <f t="shared" si="28"/>
        <v>-1825900</v>
      </c>
      <c r="P19" s="3">
        <f t="shared" si="28"/>
        <v>-4849900</v>
      </c>
      <c r="Q19" s="3">
        <f t="shared" si="28"/>
        <v>-1961900</v>
      </c>
      <c r="R19" s="1"/>
      <c r="S19" s="5" t="s">
        <v>24</v>
      </c>
      <c r="T19" s="3">
        <f t="shared" ref="T19:Z19" si="29">K20</f>
        <v>-583751</v>
      </c>
      <c r="U19" s="3">
        <f t="shared" si="29"/>
        <v>-474150</v>
      </c>
      <c r="V19" s="3">
        <f t="shared" si="29"/>
        <v>677656</v>
      </c>
      <c r="W19" s="3">
        <f t="shared" si="29"/>
        <v>432192</v>
      </c>
      <c r="X19" s="3">
        <f t="shared" si="29"/>
        <v>-994100</v>
      </c>
      <c r="Y19" s="3">
        <f t="shared" si="29"/>
        <v>845800</v>
      </c>
      <c r="Z19" s="3">
        <f t="shared" si="29"/>
        <v>-3004700</v>
      </c>
    </row>
    <row r="20" spans="1:26" ht="15.75" customHeight="1" x14ac:dyDescent="0.45">
      <c r="A20" s="1" t="s">
        <v>22</v>
      </c>
      <c r="B20" s="3">
        <v>1049577</v>
      </c>
      <c r="C20" s="3">
        <v>1263185</v>
      </c>
      <c r="D20" s="3">
        <v>1516243</v>
      </c>
      <c r="E20" s="3">
        <v>1983742</v>
      </c>
      <c r="F20" s="3">
        <v>1825900</v>
      </c>
      <c r="G20" s="3">
        <v>4849900</v>
      </c>
      <c r="H20" s="3">
        <v>1961900</v>
      </c>
      <c r="I20" s="1"/>
      <c r="J20" s="5" t="s">
        <v>24</v>
      </c>
      <c r="K20" s="3">
        <f t="shared" ref="K20:Q20" si="30">-B21</f>
        <v>-583751</v>
      </c>
      <c r="L20" s="3">
        <f t="shared" si="30"/>
        <v>-474150</v>
      </c>
      <c r="M20" s="3">
        <f t="shared" si="30"/>
        <v>677656</v>
      </c>
      <c r="N20" s="3">
        <f t="shared" si="30"/>
        <v>432192</v>
      </c>
      <c r="O20" s="3">
        <f t="shared" si="30"/>
        <v>-994100</v>
      </c>
      <c r="P20" s="3">
        <f t="shared" si="30"/>
        <v>845800</v>
      </c>
      <c r="Q20" s="3">
        <f t="shared" si="30"/>
        <v>-3004700</v>
      </c>
      <c r="R20" s="1"/>
      <c r="S20" s="9" t="s">
        <v>25</v>
      </c>
      <c r="T20" s="139">
        <f t="shared" ref="T20:Z20" si="31">SUM(T11:T19)</f>
        <v>-18356499</v>
      </c>
      <c r="U20" s="139">
        <f t="shared" si="31"/>
        <v>-18796835</v>
      </c>
      <c r="V20" s="139">
        <f t="shared" si="31"/>
        <v>-19992484</v>
      </c>
      <c r="W20" s="139">
        <f t="shared" si="31"/>
        <v>-26999715</v>
      </c>
      <c r="X20" s="139">
        <f t="shared" si="31"/>
        <v>-38094600</v>
      </c>
      <c r="Y20" s="139">
        <f t="shared" si="31"/>
        <v>-36208400</v>
      </c>
      <c r="Z20" s="139">
        <f t="shared" si="31"/>
        <v>-13851000</v>
      </c>
    </row>
    <row r="21" spans="1:26" ht="15.75" customHeight="1" x14ac:dyDescent="0.45">
      <c r="A21" s="1" t="s">
        <v>24</v>
      </c>
      <c r="B21" s="3">
        <v>583751</v>
      </c>
      <c r="C21" s="3">
        <v>474150</v>
      </c>
      <c r="D21" s="3">
        <v>-677656</v>
      </c>
      <c r="E21" s="3">
        <v>-432192</v>
      </c>
      <c r="F21" s="3">
        <v>994100</v>
      </c>
      <c r="G21" s="3">
        <v>-845800</v>
      </c>
      <c r="H21" s="3">
        <v>3004700</v>
      </c>
      <c r="I21" s="1"/>
      <c r="J21" s="9" t="s">
        <v>25</v>
      </c>
      <c r="K21" s="10">
        <f t="shared" ref="K21:Q21" si="32">SUM(K11:K20)</f>
        <v>-20202439</v>
      </c>
      <c r="L21" s="10">
        <f t="shared" si="32"/>
        <v>-21010086</v>
      </c>
      <c r="M21" s="10">
        <f t="shared" si="32"/>
        <v>-22834343</v>
      </c>
      <c r="N21" s="10">
        <f t="shared" si="32"/>
        <v>-30889395</v>
      </c>
      <c r="O21" s="10">
        <f t="shared" si="32"/>
        <v>-42448700</v>
      </c>
      <c r="P21" s="10">
        <f t="shared" si="32"/>
        <v>-36208400</v>
      </c>
      <c r="Q21" s="10">
        <f t="shared" si="32"/>
        <v>-13851000</v>
      </c>
      <c r="R21" s="1"/>
      <c r="S21" s="143" t="s">
        <v>26</v>
      </c>
      <c r="T21" s="139">
        <f t="shared" ref="T21:Z21" si="33">T10+T20</f>
        <v>1241171</v>
      </c>
      <c r="U21" s="139">
        <f t="shared" si="33"/>
        <v>3797753</v>
      </c>
      <c r="V21" s="139">
        <f t="shared" si="33"/>
        <v>6170871</v>
      </c>
      <c r="W21" s="139">
        <f t="shared" si="33"/>
        <v>4240492</v>
      </c>
      <c r="X21" s="139">
        <f t="shared" si="33"/>
        <v>2299500</v>
      </c>
      <c r="Y21" s="139">
        <f t="shared" si="33"/>
        <v>7299900</v>
      </c>
      <c r="Z21" s="139">
        <f t="shared" si="33"/>
        <v>-4763100</v>
      </c>
    </row>
    <row r="22" spans="1:26" ht="15.75" customHeight="1" x14ac:dyDescent="0.45">
      <c r="A22" s="138" t="s">
        <v>27</v>
      </c>
      <c r="B22" s="139">
        <f t="shared" ref="B22:E22" si="34">SUM(B16:B21)</f>
        <v>20950577</v>
      </c>
      <c r="C22" s="139">
        <f t="shared" si="34"/>
        <v>22143373</v>
      </c>
      <c r="D22" s="139">
        <f t="shared" si="34"/>
        <v>24130168</v>
      </c>
      <c r="E22" s="139">
        <f t="shared" si="34"/>
        <v>32950374</v>
      </c>
      <c r="F22" s="139">
        <f t="shared" ref="F22:H22" si="35">SUM(F9:F21)-F16</f>
        <v>44116300</v>
      </c>
      <c r="G22" s="139">
        <f t="shared" si="35"/>
        <v>36208400</v>
      </c>
      <c r="H22" s="139">
        <f t="shared" si="35"/>
        <v>13851000</v>
      </c>
      <c r="I22" s="1"/>
      <c r="J22" s="143" t="s">
        <v>26</v>
      </c>
      <c r="K22" s="141">
        <f t="shared" ref="K22:Q22" si="36">K10+K21</f>
        <v>-604769</v>
      </c>
      <c r="L22" s="141">
        <f t="shared" si="36"/>
        <v>1584502</v>
      </c>
      <c r="M22" s="141">
        <f t="shared" si="36"/>
        <v>3329012</v>
      </c>
      <c r="N22" s="141">
        <f t="shared" si="36"/>
        <v>350812</v>
      </c>
      <c r="O22" s="141">
        <f t="shared" si="36"/>
        <v>-2054600</v>
      </c>
      <c r="P22" s="141">
        <f t="shared" si="36"/>
        <v>7299900</v>
      </c>
      <c r="Q22" s="141">
        <f t="shared" si="36"/>
        <v>-4763100</v>
      </c>
      <c r="R22" s="3"/>
      <c r="S22" s="5" t="str">
        <f t="shared" ref="S22:Z22" si="37">J23</f>
        <v>Depreciation and amortization (O)*</v>
      </c>
      <c r="T22" s="3">
        <f t="shared" si="37"/>
        <v>-748138</v>
      </c>
      <c r="U22" s="3">
        <f t="shared" si="37"/>
        <v>-1133287</v>
      </c>
      <c r="V22" s="3">
        <f t="shared" si="37"/>
        <v>-1295825</v>
      </c>
      <c r="W22" s="3">
        <f t="shared" si="37"/>
        <v>-1405075</v>
      </c>
      <c r="X22" s="3">
        <f t="shared" si="37"/>
        <v>-1667600</v>
      </c>
      <c r="Y22" s="3">
        <f t="shared" si="37"/>
        <v>0</v>
      </c>
      <c r="Z22" s="3">
        <f t="shared" si="37"/>
        <v>0</v>
      </c>
    </row>
    <row r="23" spans="1:26" ht="15.75" customHeight="1" x14ac:dyDescent="0.45">
      <c r="A23" s="144" t="s">
        <v>28</v>
      </c>
      <c r="B23" s="139">
        <f t="shared" ref="B23:H23" si="38">B8-B22</f>
        <v>-1410538</v>
      </c>
      <c r="C23" s="139">
        <f t="shared" si="38"/>
        <v>347774</v>
      </c>
      <c r="D23" s="139">
        <f t="shared" si="38"/>
        <v>1820386</v>
      </c>
      <c r="E23" s="139">
        <f t="shared" si="38"/>
        <v>-2002111</v>
      </c>
      <c r="F23" s="139">
        <f t="shared" si="38"/>
        <v>-3850700</v>
      </c>
      <c r="G23" s="139">
        <f t="shared" si="38"/>
        <v>7313500</v>
      </c>
      <c r="H23" s="139">
        <f t="shared" si="38"/>
        <v>-4755400</v>
      </c>
      <c r="I23" s="1"/>
      <c r="J23" s="5" t="str">
        <f t="shared" ref="J23:J24" si="39">A18</f>
        <v>Depreciation and amortization (O)*</v>
      </c>
      <c r="K23" s="251">
        <f t="shared" ref="K23:Q23" si="40">-B18</f>
        <v>-748138</v>
      </c>
      <c r="L23" s="251">
        <f t="shared" si="40"/>
        <v>-1133287</v>
      </c>
      <c r="M23" s="3">
        <f t="shared" si="40"/>
        <v>-1295825</v>
      </c>
      <c r="N23" s="3">
        <f t="shared" si="40"/>
        <v>-1405075</v>
      </c>
      <c r="O23" s="3">
        <f t="shared" si="40"/>
        <v>-1667600</v>
      </c>
      <c r="P23" s="3">
        <f t="shared" si="40"/>
        <v>0</v>
      </c>
      <c r="Q23" s="3">
        <f t="shared" si="40"/>
        <v>0</v>
      </c>
      <c r="R23" s="1"/>
      <c r="S23" s="5" t="str">
        <f t="shared" ref="S23:Z23" si="41">J24</f>
        <v>Impairment (O)*</v>
      </c>
      <c r="T23" s="1">
        <f t="shared" si="41"/>
        <v>0</v>
      </c>
      <c r="U23" s="1">
        <f t="shared" si="41"/>
        <v>0</v>
      </c>
      <c r="V23" s="3">
        <f t="shared" si="41"/>
        <v>0</v>
      </c>
      <c r="W23" s="3">
        <f t="shared" si="41"/>
        <v>-655904</v>
      </c>
      <c r="X23" s="3">
        <f t="shared" si="41"/>
        <v>0</v>
      </c>
      <c r="Y23" s="3">
        <f t="shared" si="41"/>
        <v>0</v>
      </c>
      <c r="Z23" s="3">
        <f t="shared" si="41"/>
        <v>0</v>
      </c>
    </row>
    <row r="24" spans="1:26" ht="15.75" customHeight="1" x14ac:dyDescent="0.45">
      <c r="A24" s="1" t="s">
        <v>29</v>
      </c>
      <c r="B24" s="3"/>
      <c r="C24" s="3"/>
      <c r="D24" s="3"/>
      <c r="E24" s="3">
        <v>0</v>
      </c>
      <c r="F24" s="3"/>
      <c r="G24" s="3">
        <v>6457500</v>
      </c>
      <c r="H24" s="3">
        <v>6197500</v>
      </c>
      <c r="I24" s="1"/>
      <c r="J24" s="5" t="str">
        <f t="shared" si="39"/>
        <v>Impairment (O)*</v>
      </c>
      <c r="K24" s="252"/>
      <c r="L24" s="252"/>
      <c r="M24" s="3">
        <f t="shared" ref="M24:Q24" si="42">-D19</f>
        <v>0</v>
      </c>
      <c r="N24" s="3">
        <f t="shared" si="42"/>
        <v>-655904</v>
      </c>
      <c r="O24" s="3">
        <f t="shared" si="42"/>
        <v>0</v>
      </c>
      <c r="P24" s="3">
        <f t="shared" si="42"/>
        <v>0</v>
      </c>
      <c r="Q24" s="3">
        <f t="shared" si="42"/>
        <v>0</v>
      </c>
      <c r="R24" s="1"/>
      <c r="S24" s="145" t="s">
        <v>30</v>
      </c>
      <c r="T24" s="146">
        <f>-'Assessment and adjustments'!B96</f>
        <v>-1994292.7481045013</v>
      </c>
      <c r="U24" s="146">
        <f>-'Assessment and adjustments'!C96</f>
        <v>-3128030.9607584821</v>
      </c>
      <c r="V24" s="146">
        <f>-'Assessment and adjustments'!D96</f>
        <v>-5058051.4265132807</v>
      </c>
      <c r="W24" s="146">
        <f>-'Assessment and adjustments'!E96</f>
        <v>-4705155.8644647971</v>
      </c>
      <c r="X24" s="146">
        <f>-'Assessment and adjustments'!F96</f>
        <v>-4922036.2526277015</v>
      </c>
      <c r="Y24" s="147">
        <f t="shared" ref="Y24:Z24" si="43">P25</f>
        <v>-6457500</v>
      </c>
      <c r="Z24" s="147">
        <f t="shared" si="43"/>
        <v>-6197500</v>
      </c>
    </row>
    <row r="25" spans="1:26" ht="15.75" customHeight="1" x14ac:dyDescent="0.45">
      <c r="A25" s="1" t="s">
        <v>31</v>
      </c>
      <c r="B25" s="3"/>
      <c r="C25" s="3"/>
      <c r="D25" s="3"/>
      <c r="E25" s="3"/>
      <c r="F25" s="3"/>
      <c r="G25" s="3"/>
      <c r="H25" s="3">
        <v>12815700</v>
      </c>
      <c r="I25" s="1"/>
      <c r="J25" s="5" t="s">
        <v>32</v>
      </c>
      <c r="K25" s="3">
        <f t="shared" ref="K25:Q25" si="44">-B24</f>
        <v>0</v>
      </c>
      <c r="L25" s="3">
        <f t="shared" si="44"/>
        <v>0</v>
      </c>
      <c r="M25" s="3">
        <f t="shared" si="44"/>
        <v>0</v>
      </c>
      <c r="N25" s="3">
        <f t="shared" si="44"/>
        <v>0</v>
      </c>
      <c r="O25" s="3">
        <f t="shared" si="44"/>
        <v>0</v>
      </c>
      <c r="P25" s="3">
        <f t="shared" si="44"/>
        <v>-6457500</v>
      </c>
      <c r="Q25" s="3">
        <f t="shared" si="44"/>
        <v>-6197500</v>
      </c>
      <c r="R25" s="1"/>
      <c r="S25" s="143" t="s">
        <v>33</v>
      </c>
      <c r="T25" s="139">
        <f t="shared" ref="T25:Z25" si="45">T21+T22+T23+T24</f>
        <v>-1501259.7481045013</v>
      </c>
      <c r="U25" s="139">
        <f t="shared" si="45"/>
        <v>-463564.96075848211</v>
      </c>
      <c r="V25" s="139">
        <f t="shared" si="45"/>
        <v>-183005.42651328072</v>
      </c>
      <c r="W25" s="139">
        <f t="shared" si="45"/>
        <v>-2525642.8644647971</v>
      </c>
      <c r="X25" s="139">
        <f t="shared" si="45"/>
        <v>-4290136.2526277015</v>
      </c>
      <c r="Y25" s="139">
        <f t="shared" si="45"/>
        <v>842400</v>
      </c>
      <c r="Z25" s="139">
        <f t="shared" si="45"/>
        <v>-10960600</v>
      </c>
    </row>
    <row r="26" spans="1:26" ht="15.75" customHeight="1" x14ac:dyDescent="0.45">
      <c r="A26" s="138" t="s">
        <v>34</v>
      </c>
      <c r="B26" s="139">
        <f t="shared" ref="B26:H26" si="46">B23-B24-B25</f>
        <v>-1410538</v>
      </c>
      <c r="C26" s="139">
        <f t="shared" si="46"/>
        <v>347774</v>
      </c>
      <c r="D26" s="139">
        <f t="shared" si="46"/>
        <v>1820386</v>
      </c>
      <c r="E26" s="139">
        <f t="shared" si="46"/>
        <v>-2002111</v>
      </c>
      <c r="F26" s="139">
        <f t="shared" si="46"/>
        <v>-3850700</v>
      </c>
      <c r="G26" s="139">
        <f t="shared" si="46"/>
        <v>856000</v>
      </c>
      <c r="H26" s="139">
        <f t="shared" si="46"/>
        <v>-23768600</v>
      </c>
      <c r="I26" s="1"/>
      <c r="J26" s="143" t="s">
        <v>33</v>
      </c>
      <c r="K26" s="141">
        <f t="shared" ref="K26:L26" si="47">K22+K23+K25</f>
        <v>-1352907</v>
      </c>
      <c r="L26" s="141">
        <f t="shared" si="47"/>
        <v>451215</v>
      </c>
      <c r="M26" s="141">
        <f t="shared" ref="M26:N26" si="48">M22+M23+M24+M25</f>
        <v>2033187</v>
      </c>
      <c r="N26" s="141">
        <f t="shared" si="48"/>
        <v>-1710167</v>
      </c>
      <c r="O26" s="141">
        <f t="shared" ref="O26:Q26" si="49">O22+O23+O25</f>
        <v>-3722200</v>
      </c>
      <c r="P26" s="141">
        <f t="shared" si="49"/>
        <v>842400</v>
      </c>
      <c r="Q26" s="141">
        <f t="shared" si="49"/>
        <v>-10960600</v>
      </c>
      <c r="R26" s="1"/>
      <c r="S26" s="11" t="str">
        <f t="shared" ref="S26:Z26" si="50">J27</f>
        <v xml:space="preserve">Income tax expense (income) (O + F) </v>
      </c>
      <c r="T26" s="3">
        <f t="shared" si="50"/>
        <v>557284</v>
      </c>
      <c r="U26" s="3">
        <f t="shared" si="50"/>
        <v>171114</v>
      </c>
      <c r="V26" s="3">
        <f t="shared" si="50"/>
        <v>-373353</v>
      </c>
      <c r="W26" s="3">
        <f t="shared" si="50"/>
        <v>768496</v>
      </c>
      <c r="X26" s="3">
        <f t="shared" si="50"/>
        <v>1036000</v>
      </c>
      <c r="Y26" s="3">
        <f t="shared" si="50"/>
        <v>78500</v>
      </c>
      <c r="Z26" s="3">
        <f t="shared" si="50"/>
        <v>-906800</v>
      </c>
    </row>
    <row r="27" spans="1:26" ht="15.75" customHeight="1" x14ac:dyDescent="0.45">
      <c r="A27" s="1" t="s">
        <v>35</v>
      </c>
      <c r="B27" s="3">
        <v>51681</v>
      </c>
      <c r="C27" s="3">
        <v>74181</v>
      </c>
      <c r="D27" s="3">
        <v>43623</v>
      </c>
      <c r="E27" s="3">
        <v>71296</v>
      </c>
      <c r="F27" s="3">
        <v>117500</v>
      </c>
      <c r="G27" s="3">
        <v>204500</v>
      </c>
      <c r="H27" s="3">
        <v>68200</v>
      </c>
      <c r="I27" s="1"/>
      <c r="J27" s="11" t="str">
        <f>A33</f>
        <v xml:space="preserve">Income tax expense (income) (O + F) </v>
      </c>
      <c r="K27" s="3">
        <f t="shared" ref="K27:Q27" si="51">-B33</f>
        <v>557284</v>
      </c>
      <c r="L27" s="3">
        <f t="shared" si="51"/>
        <v>171114</v>
      </c>
      <c r="M27" s="3">
        <f t="shared" si="51"/>
        <v>-373353</v>
      </c>
      <c r="N27" s="3">
        <f t="shared" si="51"/>
        <v>768496</v>
      </c>
      <c r="O27" s="3">
        <f t="shared" si="51"/>
        <v>1036000</v>
      </c>
      <c r="P27" s="3">
        <f t="shared" si="51"/>
        <v>78500</v>
      </c>
      <c r="Q27" s="3">
        <f t="shared" si="51"/>
        <v>-906800</v>
      </c>
      <c r="R27" s="1"/>
      <c r="S27" s="148" t="s">
        <v>36</v>
      </c>
      <c r="T27" s="146">
        <f>-'Assessment and adjustments'!B105</f>
        <v>216464.92510905809</v>
      </c>
      <c r="U27" s="146">
        <f>-'Assessment and adjustments'!C105</f>
        <v>562590.14042785869</v>
      </c>
      <c r="V27" s="146">
        <f>-'Assessment and adjustments'!D105</f>
        <v>931656.80614348408</v>
      </c>
      <c r="W27" s="146">
        <f>-'Assessment and adjustments'!E105</f>
        <v>547733.67835260648</v>
      </c>
      <c r="X27" s="146">
        <f>-'Assessment and adjustments'!F105</f>
        <v>488667.44181705709</v>
      </c>
      <c r="Y27" s="149">
        <f>-'Assessment and adjustments'!G105</f>
        <v>0</v>
      </c>
      <c r="Z27" s="149">
        <f>-'Assessment and adjustments'!H103</f>
        <v>0</v>
      </c>
    </row>
    <row r="28" spans="1:26" ht="15.75" customHeight="1" x14ac:dyDescent="0.45">
      <c r="A28" s="1" t="s">
        <v>37</v>
      </c>
      <c r="B28" s="3">
        <v>-302653</v>
      </c>
      <c r="C28" s="3">
        <v>-463348</v>
      </c>
      <c r="D28" s="3">
        <v>-685990</v>
      </c>
      <c r="E28" s="3">
        <v>-958615</v>
      </c>
      <c r="F28" s="3">
        <v>-1159500</v>
      </c>
      <c r="G28" s="3">
        <v>-3108600</v>
      </c>
      <c r="H28" s="3">
        <v>-2690700</v>
      </c>
      <c r="I28" s="1"/>
      <c r="J28" s="12" t="s">
        <v>38</v>
      </c>
      <c r="K28" s="3">
        <f t="shared" ref="K28:Q28" si="52">-K34</f>
        <v>-74017.53</v>
      </c>
      <c r="L28" s="3">
        <f t="shared" si="52"/>
        <v>-101568.06000000001</v>
      </c>
      <c r="M28" s="3">
        <f t="shared" si="52"/>
        <v>-131213.5</v>
      </c>
      <c r="N28" s="3">
        <f t="shared" si="52"/>
        <v>-204488.16</v>
      </c>
      <c r="O28" s="3">
        <f t="shared" si="52"/>
        <v>283337</v>
      </c>
      <c r="P28" s="3">
        <f t="shared" si="52"/>
        <v>-556600</v>
      </c>
      <c r="Q28" s="3">
        <f t="shared" si="52"/>
        <v>361504</v>
      </c>
      <c r="R28" s="1"/>
      <c r="S28" s="12" t="s">
        <v>38</v>
      </c>
      <c r="T28" s="13">
        <f t="shared" ref="T28:Z28" si="53">-T35</f>
        <v>-250427.21312084282</v>
      </c>
      <c r="U28" s="13">
        <f t="shared" si="53"/>
        <v>-417167.61102306854</v>
      </c>
      <c r="V28" s="13">
        <f t="shared" si="53"/>
        <v>-508822.1995151639</v>
      </c>
      <c r="W28" s="13">
        <f t="shared" si="53"/>
        <v>-556507.63088105526</v>
      </c>
      <c r="X28" s="13">
        <f t="shared" si="53"/>
        <v>-74705.103712685741</v>
      </c>
      <c r="Y28" s="13">
        <f t="shared" si="53"/>
        <v>-556600</v>
      </c>
      <c r="Z28" s="13">
        <f t="shared" si="53"/>
        <v>361504</v>
      </c>
    </row>
    <row r="29" spans="1:26" ht="15.75" customHeight="1" x14ac:dyDescent="0.45">
      <c r="A29" s="1" t="s">
        <v>39</v>
      </c>
      <c r="B29" s="3">
        <f>-36948+17589+1219-5027</f>
        <v>-23167</v>
      </c>
      <c r="C29" s="3">
        <f>26503-2122-11392</f>
        <v>12989</v>
      </c>
      <c r="D29" s="3">
        <v>117513</v>
      </c>
      <c r="E29" s="3">
        <v>35285</v>
      </c>
      <c r="F29" s="3">
        <v>2273900</v>
      </c>
      <c r="G29" s="3">
        <v>374100</v>
      </c>
      <c r="H29" s="3">
        <v>4265700</v>
      </c>
      <c r="I29" s="1"/>
      <c r="J29" s="140" t="s">
        <v>40</v>
      </c>
      <c r="K29" s="141">
        <f t="shared" ref="K29:Q29" si="54">K26+K27+K28</f>
        <v>-869640.53</v>
      </c>
      <c r="L29" s="141">
        <f t="shared" si="54"/>
        <v>520760.94</v>
      </c>
      <c r="M29" s="141">
        <f t="shared" si="54"/>
        <v>1528620.5</v>
      </c>
      <c r="N29" s="141">
        <f t="shared" si="54"/>
        <v>-1146159.1599999999</v>
      </c>
      <c r="O29" s="141">
        <f t="shared" si="54"/>
        <v>-2402863</v>
      </c>
      <c r="P29" s="141">
        <f t="shared" si="54"/>
        <v>364300</v>
      </c>
      <c r="Q29" s="141">
        <f t="shared" si="54"/>
        <v>-11505896</v>
      </c>
      <c r="R29" s="1"/>
      <c r="S29" s="140" t="s">
        <v>40</v>
      </c>
      <c r="T29" s="139">
        <f t="shared" ref="T29:Z29" si="55">T25+T26+T27+T28</f>
        <v>-977938.03611628595</v>
      </c>
      <c r="U29" s="139">
        <f t="shared" si="55"/>
        <v>-147028.43135369197</v>
      </c>
      <c r="V29" s="139">
        <f t="shared" si="55"/>
        <v>-133523.81988496054</v>
      </c>
      <c r="W29" s="139">
        <f t="shared" si="55"/>
        <v>-1765920.8169932459</v>
      </c>
      <c r="X29" s="139">
        <f t="shared" si="55"/>
        <v>-2840173.9145233301</v>
      </c>
      <c r="Y29" s="139">
        <f t="shared" si="55"/>
        <v>364300</v>
      </c>
      <c r="Z29" s="139">
        <f t="shared" si="55"/>
        <v>-11505896</v>
      </c>
    </row>
    <row r="30" spans="1:26" ht="15.75" customHeight="1" x14ac:dyDescent="0.45">
      <c r="A30" s="138" t="s">
        <v>41</v>
      </c>
      <c r="B30" s="139">
        <f t="shared" ref="B30:H30" si="56">B27+B28+B29</f>
        <v>-274139</v>
      </c>
      <c r="C30" s="139">
        <f t="shared" si="56"/>
        <v>-376178</v>
      </c>
      <c r="D30" s="139">
        <f t="shared" si="56"/>
        <v>-524854</v>
      </c>
      <c r="E30" s="139">
        <f t="shared" si="56"/>
        <v>-852034</v>
      </c>
      <c r="F30" s="139">
        <f t="shared" si="56"/>
        <v>1231900</v>
      </c>
      <c r="G30" s="139">
        <f t="shared" si="56"/>
        <v>-2530000</v>
      </c>
      <c r="H30" s="139">
        <f t="shared" si="56"/>
        <v>1643200</v>
      </c>
      <c r="I30" s="1"/>
      <c r="J30" s="14" t="s">
        <v>35</v>
      </c>
      <c r="K30" s="4">
        <f t="shared" ref="K30:Q30" si="57">B27</f>
        <v>51681</v>
      </c>
      <c r="L30" s="4">
        <f t="shared" si="57"/>
        <v>74181</v>
      </c>
      <c r="M30" s="4">
        <f t="shared" si="57"/>
        <v>43623</v>
      </c>
      <c r="N30" s="4">
        <f t="shared" si="57"/>
        <v>71296</v>
      </c>
      <c r="O30" s="4">
        <f t="shared" si="57"/>
        <v>117500</v>
      </c>
      <c r="P30" s="4">
        <f t="shared" si="57"/>
        <v>204500</v>
      </c>
      <c r="Q30" s="4">
        <f t="shared" si="57"/>
        <v>68200</v>
      </c>
      <c r="R30" s="1"/>
      <c r="S30" s="14" t="s">
        <v>35</v>
      </c>
      <c r="T30" s="4">
        <f t="shared" ref="T30:Z30" si="58">K30</f>
        <v>51681</v>
      </c>
      <c r="U30" s="4">
        <f t="shared" si="58"/>
        <v>74181</v>
      </c>
      <c r="V30" s="4">
        <f t="shared" si="58"/>
        <v>43623</v>
      </c>
      <c r="W30" s="4">
        <f t="shared" si="58"/>
        <v>71296</v>
      </c>
      <c r="X30" s="4">
        <f t="shared" si="58"/>
        <v>117500</v>
      </c>
      <c r="Y30" s="4">
        <f t="shared" si="58"/>
        <v>204500</v>
      </c>
      <c r="Z30" s="4">
        <f t="shared" si="58"/>
        <v>68200</v>
      </c>
    </row>
    <row r="31" spans="1:26" ht="15.75" customHeight="1" x14ac:dyDescent="0.45">
      <c r="A31" s="1" t="s">
        <v>11</v>
      </c>
      <c r="B31" s="3">
        <v>57631</v>
      </c>
      <c r="C31" s="3">
        <v>103441</v>
      </c>
      <c r="D31" s="3">
        <v>212801</v>
      </c>
      <c r="E31" s="3">
        <v>291944</v>
      </c>
      <c r="F31" s="3">
        <v>128500</v>
      </c>
      <c r="G31" s="3">
        <v>-13600</v>
      </c>
      <c r="H31" s="3">
        <v>-7800</v>
      </c>
      <c r="I31" s="1"/>
      <c r="J31" s="14" t="s">
        <v>37</v>
      </c>
      <c r="K31" s="4">
        <f t="shared" ref="K31:Q31" si="59">B28</f>
        <v>-302653</v>
      </c>
      <c r="L31" s="4">
        <f t="shared" si="59"/>
        <v>-463348</v>
      </c>
      <c r="M31" s="4">
        <f t="shared" si="59"/>
        <v>-685990</v>
      </c>
      <c r="N31" s="4">
        <f t="shared" si="59"/>
        <v>-958615</v>
      </c>
      <c r="O31" s="4">
        <f t="shared" si="59"/>
        <v>-1159500</v>
      </c>
      <c r="P31" s="4">
        <f t="shared" si="59"/>
        <v>-3108600</v>
      </c>
      <c r="Q31" s="4">
        <f t="shared" si="59"/>
        <v>-2690700</v>
      </c>
      <c r="R31" s="1"/>
      <c r="S31" s="14" t="s">
        <v>37</v>
      </c>
      <c r="T31" s="4">
        <f t="shared" ref="T31:Z31" si="60">K31</f>
        <v>-302653</v>
      </c>
      <c r="U31" s="4">
        <f t="shared" si="60"/>
        <v>-463348</v>
      </c>
      <c r="V31" s="4">
        <f t="shared" si="60"/>
        <v>-685990</v>
      </c>
      <c r="W31" s="4">
        <f t="shared" si="60"/>
        <v>-958615</v>
      </c>
      <c r="X31" s="4">
        <f t="shared" si="60"/>
        <v>-1159500</v>
      </c>
      <c r="Y31" s="4">
        <f t="shared" si="60"/>
        <v>-3108600</v>
      </c>
      <c r="Z31" s="4">
        <f t="shared" si="60"/>
        <v>-2690700</v>
      </c>
    </row>
    <row r="32" spans="1:26" ht="15.75" customHeight="1" x14ac:dyDescent="0.45">
      <c r="A32" s="144" t="s">
        <v>42</v>
      </c>
      <c r="B32" s="139">
        <f t="shared" ref="B32:H32" si="61">B26+B30+B31</f>
        <v>-1627046</v>
      </c>
      <c r="C32" s="139">
        <f t="shared" si="61"/>
        <v>75037</v>
      </c>
      <c r="D32" s="139">
        <f t="shared" si="61"/>
        <v>1508333</v>
      </c>
      <c r="E32" s="139">
        <f t="shared" si="61"/>
        <v>-2562201</v>
      </c>
      <c r="F32" s="139">
        <f t="shared" si="61"/>
        <v>-2490300</v>
      </c>
      <c r="G32" s="139">
        <f t="shared" si="61"/>
        <v>-1687600</v>
      </c>
      <c r="H32" s="139">
        <f t="shared" si="61"/>
        <v>-22133200</v>
      </c>
      <c r="I32" s="1"/>
      <c r="J32" s="14" t="s">
        <v>39</v>
      </c>
      <c r="K32" s="4">
        <f t="shared" ref="K32:Q32" si="62">B29</f>
        <v>-23167</v>
      </c>
      <c r="L32" s="4">
        <f t="shared" si="62"/>
        <v>12989</v>
      </c>
      <c r="M32" s="4">
        <f t="shared" si="62"/>
        <v>117513</v>
      </c>
      <c r="N32" s="4">
        <f t="shared" si="62"/>
        <v>35285</v>
      </c>
      <c r="O32" s="4">
        <f t="shared" si="62"/>
        <v>2273900</v>
      </c>
      <c r="P32" s="4">
        <f t="shared" si="62"/>
        <v>374100</v>
      </c>
      <c r="Q32" s="4">
        <f t="shared" si="62"/>
        <v>4265700</v>
      </c>
      <c r="R32" s="1"/>
      <c r="S32" s="14" t="s">
        <v>39</v>
      </c>
      <c r="T32" s="4">
        <f t="shared" ref="T32:Z32" si="63">K32</f>
        <v>-23167</v>
      </c>
      <c r="U32" s="4">
        <f t="shared" si="63"/>
        <v>12989</v>
      </c>
      <c r="V32" s="4">
        <f t="shared" si="63"/>
        <v>117513</v>
      </c>
      <c r="W32" s="4">
        <f t="shared" si="63"/>
        <v>35285</v>
      </c>
      <c r="X32" s="4">
        <f t="shared" si="63"/>
        <v>2273900</v>
      </c>
      <c r="Y32" s="4">
        <f t="shared" si="63"/>
        <v>374100</v>
      </c>
      <c r="Z32" s="4">
        <f t="shared" si="63"/>
        <v>4265700</v>
      </c>
    </row>
    <row r="33" spans="1:26" ht="15.75" customHeight="1" x14ac:dyDescent="0.45">
      <c r="A33" s="1" t="s">
        <v>43</v>
      </c>
      <c r="B33" s="3">
        <v>-557284</v>
      </c>
      <c r="C33" s="3">
        <v>-171114</v>
      </c>
      <c r="D33" s="3">
        <v>373353</v>
      </c>
      <c r="E33" s="3">
        <v>-768496</v>
      </c>
      <c r="F33" s="3">
        <v>-1036000</v>
      </c>
      <c r="G33" s="3">
        <v>-78500</v>
      </c>
      <c r="H33" s="3">
        <v>906800</v>
      </c>
      <c r="I33" s="1"/>
      <c r="J33" s="1" t="s">
        <v>44</v>
      </c>
      <c r="K33" s="3">
        <f t="shared" ref="K33:Q33" si="64">K30+K31+K32</f>
        <v>-274139</v>
      </c>
      <c r="L33" s="3">
        <f t="shared" si="64"/>
        <v>-376178</v>
      </c>
      <c r="M33" s="3">
        <f t="shared" si="64"/>
        <v>-524854</v>
      </c>
      <c r="N33" s="3">
        <f t="shared" si="64"/>
        <v>-852034</v>
      </c>
      <c r="O33" s="3">
        <f t="shared" si="64"/>
        <v>1231900</v>
      </c>
      <c r="P33" s="3">
        <f t="shared" si="64"/>
        <v>-2530000</v>
      </c>
      <c r="Q33" s="3">
        <f t="shared" si="64"/>
        <v>1643200</v>
      </c>
      <c r="R33" s="1"/>
      <c r="S33" s="150" t="s">
        <v>45</v>
      </c>
      <c r="T33" s="150">
        <f>-'Assessment and adjustments'!B88</f>
        <v>-653369.19674386224</v>
      </c>
      <c r="U33" s="150">
        <f>-'Assessment and adjustments'!C88</f>
        <v>-1168887.226011365</v>
      </c>
      <c r="V33" s="150">
        <f>-'Assessment and adjustments'!D88</f>
        <v>-1510434.7980606556</v>
      </c>
      <c r="W33" s="150">
        <f>-'Assessment and adjustments'!E88</f>
        <v>-1466747.7953377303</v>
      </c>
      <c r="X33" s="150">
        <f>-'Assessment and adjustments'!F88</f>
        <v>-1556704.7987508075</v>
      </c>
      <c r="Y33" s="151">
        <f>-'Assessment and adjustments'!G88</f>
        <v>0</v>
      </c>
      <c r="Z33" s="151">
        <f>-'Assessment and adjustments'!H86</f>
        <v>0</v>
      </c>
    </row>
    <row r="34" spans="1:26" ht="15.75" customHeight="1" x14ac:dyDescent="0.45">
      <c r="A34" s="144" t="s">
        <v>46</v>
      </c>
      <c r="B34" s="139">
        <f t="shared" ref="B34:H34" si="65">B32-B33</f>
        <v>-1069762</v>
      </c>
      <c r="C34" s="139">
        <f t="shared" si="65"/>
        <v>246151</v>
      </c>
      <c r="D34" s="139">
        <f t="shared" si="65"/>
        <v>1134980</v>
      </c>
      <c r="E34" s="139">
        <f t="shared" si="65"/>
        <v>-1793705</v>
      </c>
      <c r="F34" s="139">
        <f t="shared" si="65"/>
        <v>-1454300</v>
      </c>
      <c r="G34" s="139">
        <f t="shared" si="65"/>
        <v>-1609100</v>
      </c>
      <c r="H34" s="139">
        <f t="shared" si="65"/>
        <v>-23040000</v>
      </c>
      <c r="I34" s="1"/>
      <c r="J34" s="1" t="s">
        <v>38</v>
      </c>
      <c r="K34" s="3">
        <f t="shared" ref="K34:Q34" si="66">-(K33*B46)</f>
        <v>74017.53</v>
      </c>
      <c r="L34" s="3">
        <f t="shared" si="66"/>
        <v>101568.06000000001</v>
      </c>
      <c r="M34" s="3">
        <f t="shared" si="66"/>
        <v>131213.5</v>
      </c>
      <c r="N34" s="3">
        <f t="shared" si="66"/>
        <v>204488.16</v>
      </c>
      <c r="O34" s="3">
        <f t="shared" si="66"/>
        <v>-283337</v>
      </c>
      <c r="P34" s="3">
        <f t="shared" si="66"/>
        <v>556600</v>
      </c>
      <c r="Q34" s="3">
        <f t="shared" si="66"/>
        <v>-361504</v>
      </c>
      <c r="R34" s="1"/>
      <c r="S34" s="1" t="s">
        <v>44</v>
      </c>
      <c r="T34" s="3">
        <f t="shared" ref="T34:Z34" si="67">T30+T31+T32+T33</f>
        <v>-927508.19674386224</v>
      </c>
      <c r="U34" s="3">
        <f t="shared" si="67"/>
        <v>-1545065.226011365</v>
      </c>
      <c r="V34" s="3">
        <f t="shared" si="67"/>
        <v>-2035288.7980606556</v>
      </c>
      <c r="W34" s="3">
        <f t="shared" si="67"/>
        <v>-2318781.7953377301</v>
      </c>
      <c r="X34" s="3">
        <f t="shared" si="67"/>
        <v>-324804.79875080753</v>
      </c>
      <c r="Y34" s="3">
        <f t="shared" si="67"/>
        <v>-2530000</v>
      </c>
      <c r="Z34" s="3">
        <f t="shared" si="67"/>
        <v>1643200</v>
      </c>
    </row>
    <row r="35" spans="1:26" ht="15.7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43" t="s">
        <v>47</v>
      </c>
      <c r="K35" s="141">
        <f t="shared" ref="K35:Q35" si="68">K29+K33+K34</f>
        <v>-1069762</v>
      </c>
      <c r="L35" s="141">
        <f t="shared" si="68"/>
        <v>246151</v>
      </c>
      <c r="M35" s="141">
        <f t="shared" si="68"/>
        <v>1134980</v>
      </c>
      <c r="N35" s="141">
        <f t="shared" si="68"/>
        <v>-1793705</v>
      </c>
      <c r="O35" s="141">
        <f t="shared" si="68"/>
        <v>-1454300</v>
      </c>
      <c r="P35" s="141">
        <f t="shared" si="68"/>
        <v>-1609100</v>
      </c>
      <c r="Q35" s="141">
        <f t="shared" si="68"/>
        <v>-10224200</v>
      </c>
      <c r="R35" s="1"/>
      <c r="S35" s="1" t="s">
        <v>38</v>
      </c>
      <c r="T35" s="13">
        <f t="shared" ref="T35:Z35" si="69">-(T34*B46)</f>
        <v>250427.21312084282</v>
      </c>
      <c r="U35" s="13">
        <f t="shared" si="69"/>
        <v>417167.61102306854</v>
      </c>
      <c r="V35" s="13">
        <f t="shared" si="69"/>
        <v>508822.1995151639</v>
      </c>
      <c r="W35" s="13">
        <f t="shared" si="69"/>
        <v>556507.63088105526</v>
      </c>
      <c r="X35" s="13">
        <f t="shared" si="69"/>
        <v>74705.103712685741</v>
      </c>
      <c r="Y35" s="13">
        <f t="shared" si="69"/>
        <v>556600</v>
      </c>
      <c r="Z35" s="13">
        <f t="shared" si="69"/>
        <v>-361504</v>
      </c>
    </row>
    <row r="36" spans="1:26" ht="15.75" customHeight="1" x14ac:dyDescent="0.45">
      <c r="A36" s="1"/>
      <c r="B36" s="1"/>
      <c r="C36" s="1"/>
      <c r="D36" s="1"/>
      <c r="E36" s="1"/>
      <c r="F36" s="1"/>
      <c r="G36" s="1"/>
      <c r="H36" s="3"/>
      <c r="I36" s="1"/>
      <c r="J36" s="1" t="s">
        <v>31</v>
      </c>
      <c r="K36" s="1"/>
      <c r="L36" s="1"/>
      <c r="M36" s="1"/>
      <c r="N36" s="1"/>
      <c r="O36" s="1"/>
      <c r="P36" s="1"/>
      <c r="Q36" s="3">
        <f>-H25</f>
        <v>-12815700</v>
      </c>
      <c r="R36" s="1"/>
      <c r="S36" s="143" t="s">
        <v>47</v>
      </c>
      <c r="T36" s="139">
        <f t="shared" ref="T36:Z36" si="70">T29+T34+T35</f>
        <v>-1655019.0197393054</v>
      </c>
      <c r="U36" s="139">
        <f t="shared" si="70"/>
        <v>-1274926.0463419883</v>
      </c>
      <c r="V36" s="139">
        <f t="shared" si="70"/>
        <v>-1659990.4184304522</v>
      </c>
      <c r="W36" s="139">
        <f t="shared" si="70"/>
        <v>-3528194.9814499207</v>
      </c>
      <c r="X36" s="139">
        <f t="shared" si="70"/>
        <v>-3090273.6095614517</v>
      </c>
      <c r="Y36" s="139">
        <f t="shared" si="70"/>
        <v>-1609100</v>
      </c>
      <c r="Z36" s="139">
        <f t="shared" si="70"/>
        <v>-10224200</v>
      </c>
    </row>
    <row r="37" spans="1:26" ht="15.75" customHeight="1" x14ac:dyDescent="0.45">
      <c r="A37" s="152"/>
      <c r="B37" s="153"/>
      <c r="C37" s="153"/>
      <c r="D37" s="153"/>
      <c r="E37" s="153"/>
      <c r="F37" s="153"/>
      <c r="G37" s="153"/>
      <c r="H37" s="153"/>
      <c r="I37" s="1"/>
      <c r="J37" s="140" t="s">
        <v>48</v>
      </c>
      <c r="K37" s="141">
        <f t="shared" ref="K37:Q37" si="71">K35+K36</f>
        <v>-1069762</v>
      </c>
      <c r="L37" s="141">
        <f t="shared" si="71"/>
        <v>246151</v>
      </c>
      <c r="M37" s="141">
        <f t="shared" si="71"/>
        <v>1134980</v>
      </c>
      <c r="N37" s="141">
        <f t="shared" si="71"/>
        <v>-1793705</v>
      </c>
      <c r="O37" s="141">
        <f t="shared" si="71"/>
        <v>-1454300</v>
      </c>
      <c r="P37" s="141">
        <f t="shared" si="71"/>
        <v>-1609100</v>
      </c>
      <c r="Q37" s="141">
        <f t="shared" si="71"/>
        <v>-23039900</v>
      </c>
      <c r="R37" s="1"/>
      <c r="S37" s="1" t="s">
        <v>31</v>
      </c>
      <c r="T37" s="1">
        <f t="shared" ref="T37:Z37" si="72">K36</f>
        <v>0</v>
      </c>
      <c r="U37" s="1">
        <f t="shared" si="72"/>
        <v>0</v>
      </c>
      <c r="V37" s="1">
        <f t="shared" si="72"/>
        <v>0</v>
      </c>
      <c r="W37" s="1">
        <f t="shared" si="72"/>
        <v>0</v>
      </c>
      <c r="X37" s="1">
        <f t="shared" si="72"/>
        <v>0</v>
      </c>
      <c r="Y37" s="1">
        <f t="shared" si="72"/>
        <v>0</v>
      </c>
      <c r="Z37" s="3">
        <f t="shared" si="72"/>
        <v>-12815700</v>
      </c>
    </row>
    <row r="38" spans="1:26" ht="15.75" customHeight="1" x14ac:dyDescent="0.45">
      <c r="A38" s="152"/>
      <c r="B38" s="153"/>
      <c r="C38" s="153"/>
      <c r="D38" s="153"/>
      <c r="E38" s="153"/>
      <c r="F38" s="153"/>
      <c r="G38" s="153"/>
      <c r="H38" s="153"/>
      <c r="I38" s="1"/>
      <c r="J38" s="1"/>
      <c r="K38" s="1"/>
      <c r="L38" s="1"/>
      <c r="M38" s="1"/>
      <c r="N38" s="1"/>
      <c r="O38" s="1"/>
      <c r="P38" s="1"/>
      <c r="Q38" s="1"/>
      <c r="R38" s="1"/>
      <c r="S38" s="140" t="s">
        <v>48</v>
      </c>
      <c r="T38" s="139">
        <f t="shared" ref="T38:Z38" si="73">T36+T37</f>
        <v>-1655019.0197393054</v>
      </c>
      <c r="U38" s="139">
        <f t="shared" si="73"/>
        <v>-1274926.0463419883</v>
      </c>
      <c r="V38" s="139">
        <f t="shared" si="73"/>
        <v>-1659990.4184304522</v>
      </c>
      <c r="W38" s="139">
        <f t="shared" si="73"/>
        <v>-3528194.9814499207</v>
      </c>
      <c r="X38" s="139">
        <f t="shared" si="73"/>
        <v>-3090273.6095614517</v>
      </c>
      <c r="Y38" s="139">
        <f t="shared" si="73"/>
        <v>-1609100</v>
      </c>
      <c r="Z38" s="139">
        <f t="shared" si="73"/>
        <v>-23039900</v>
      </c>
    </row>
    <row r="39" spans="1:26" ht="15.75" customHeight="1" x14ac:dyDescent="0.45">
      <c r="A39" s="152"/>
      <c r="B39" s="152"/>
      <c r="C39" s="153"/>
      <c r="D39" s="153"/>
      <c r="E39" s="153"/>
      <c r="F39" s="153"/>
      <c r="G39" s="153"/>
      <c r="H39" s="15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5">
      <c r="A40" s="152"/>
      <c r="B40" s="152"/>
      <c r="C40" s="153"/>
      <c r="D40" s="153"/>
      <c r="E40" s="153"/>
      <c r="F40" s="153"/>
      <c r="G40" s="153"/>
      <c r="H40" s="152"/>
      <c r="I40" s="1"/>
      <c r="J40" s="248" t="s">
        <v>49</v>
      </c>
      <c r="K40" s="249"/>
      <c r="L40" s="249"/>
      <c r="M40" s="249"/>
      <c r="N40" s="249"/>
      <c r="O40" s="249"/>
      <c r="P40" s="249"/>
      <c r="Q40" s="249"/>
      <c r="R40" s="1"/>
      <c r="S40" s="248" t="s">
        <v>50</v>
      </c>
      <c r="T40" s="249"/>
      <c r="U40" s="249"/>
      <c r="V40" s="249"/>
      <c r="W40" s="249"/>
      <c r="X40" s="249"/>
      <c r="Y40" s="249"/>
      <c r="Z40" s="249"/>
    </row>
    <row r="41" spans="1:26" ht="15.75" customHeight="1" x14ac:dyDescent="0.45">
      <c r="A41" s="152"/>
      <c r="B41" s="153"/>
      <c r="C41" s="153"/>
      <c r="D41" s="153"/>
      <c r="E41" s="153"/>
      <c r="F41" s="153"/>
      <c r="G41" s="153"/>
      <c r="H41" s="153"/>
      <c r="I41" s="1"/>
      <c r="J41" s="154"/>
      <c r="K41" s="137">
        <v>2014</v>
      </c>
      <c r="L41" s="137">
        <v>2015</v>
      </c>
      <c r="M41" s="137">
        <v>2016</v>
      </c>
      <c r="N41" s="137">
        <v>2017</v>
      </c>
      <c r="O41" s="137">
        <v>2018</v>
      </c>
      <c r="P41" s="137">
        <v>2019</v>
      </c>
      <c r="Q41" s="137">
        <v>2020</v>
      </c>
      <c r="R41" s="1"/>
      <c r="S41" s="154"/>
      <c r="T41" s="137">
        <v>2014</v>
      </c>
      <c r="U41" s="137">
        <v>2015</v>
      </c>
      <c r="V41" s="137">
        <v>2016</v>
      </c>
      <c r="W41" s="137">
        <v>2017</v>
      </c>
      <c r="X41" s="137">
        <v>2018</v>
      </c>
      <c r="Y41" s="137">
        <v>2019</v>
      </c>
      <c r="Z41" s="137">
        <v>2020</v>
      </c>
    </row>
    <row r="42" spans="1:26" ht="15.75" customHeight="1" x14ac:dyDescent="0.45">
      <c r="A42" s="152"/>
      <c r="B42" s="152"/>
      <c r="C42" s="153"/>
      <c r="D42" s="153"/>
      <c r="E42" s="153"/>
      <c r="F42" s="153"/>
      <c r="G42" s="153"/>
      <c r="H42" s="153"/>
      <c r="I42" s="1"/>
      <c r="J42" s="132" t="s">
        <v>51</v>
      </c>
      <c r="K42" s="3">
        <f t="shared" ref="K42:Q42" si="74">K10</f>
        <v>19597670</v>
      </c>
      <c r="L42" s="3">
        <f t="shared" si="74"/>
        <v>22594588</v>
      </c>
      <c r="M42" s="3">
        <f t="shared" si="74"/>
        <v>26163355</v>
      </c>
      <c r="N42" s="3">
        <f t="shared" si="74"/>
        <v>31240207</v>
      </c>
      <c r="O42" s="3">
        <f t="shared" si="74"/>
        <v>40394100</v>
      </c>
      <c r="P42" s="3">
        <f t="shared" si="74"/>
        <v>43508300</v>
      </c>
      <c r="Q42" s="3">
        <f t="shared" si="74"/>
        <v>9087900</v>
      </c>
      <c r="R42" s="1"/>
      <c r="S42" s="132" t="s">
        <v>51</v>
      </c>
      <c r="T42" s="3">
        <f t="shared" ref="T42:Z42" si="75">T10</f>
        <v>19597670</v>
      </c>
      <c r="U42" s="3">
        <f t="shared" si="75"/>
        <v>22594588</v>
      </c>
      <c r="V42" s="3">
        <f t="shared" si="75"/>
        <v>26163355</v>
      </c>
      <c r="W42" s="3">
        <f t="shared" si="75"/>
        <v>31240207</v>
      </c>
      <c r="X42" s="3">
        <f t="shared" si="75"/>
        <v>40394100</v>
      </c>
      <c r="Y42" s="3">
        <f t="shared" si="75"/>
        <v>43508300</v>
      </c>
      <c r="Z42" s="3">
        <f t="shared" si="75"/>
        <v>9087900</v>
      </c>
    </row>
    <row r="43" spans="1:26" ht="15.7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5" t="s">
        <v>52</v>
      </c>
      <c r="K43" s="3">
        <f t="shared" ref="K43:Q43" si="76">K21</f>
        <v>-20202439</v>
      </c>
      <c r="L43" s="3">
        <f t="shared" si="76"/>
        <v>-21010086</v>
      </c>
      <c r="M43" s="3">
        <f t="shared" si="76"/>
        <v>-22834343</v>
      </c>
      <c r="N43" s="3">
        <f t="shared" si="76"/>
        <v>-30889395</v>
      </c>
      <c r="O43" s="3">
        <f t="shared" si="76"/>
        <v>-42448700</v>
      </c>
      <c r="P43" s="3">
        <f t="shared" si="76"/>
        <v>-36208400</v>
      </c>
      <c r="Q43" s="3">
        <f t="shared" si="76"/>
        <v>-13851000</v>
      </c>
      <c r="R43" s="1"/>
      <c r="S43" s="15" t="s">
        <v>52</v>
      </c>
      <c r="T43" s="3">
        <f t="shared" ref="T43:Z43" si="77">T20</f>
        <v>-18356499</v>
      </c>
      <c r="U43" s="3">
        <f t="shared" si="77"/>
        <v>-18796835</v>
      </c>
      <c r="V43" s="3">
        <f t="shared" si="77"/>
        <v>-19992484</v>
      </c>
      <c r="W43" s="3">
        <f t="shared" si="77"/>
        <v>-26999715</v>
      </c>
      <c r="X43" s="3">
        <f t="shared" si="77"/>
        <v>-38094600</v>
      </c>
      <c r="Y43" s="3">
        <f t="shared" si="77"/>
        <v>-36208400</v>
      </c>
      <c r="Z43" s="3">
        <f t="shared" si="77"/>
        <v>-13851000</v>
      </c>
    </row>
    <row r="44" spans="1:26" ht="15.7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5" t="s">
        <v>26</v>
      </c>
      <c r="K44" s="3">
        <f t="shared" ref="K44:Q44" si="78">K22</f>
        <v>-604769</v>
      </c>
      <c r="L44" s="3">
        <f t="shared" si="78"/>
        <v>1584502</v>
      </c>
      <c r="M44" s="3">
        <f t="shared" si="78"/>
        <v>3329012</v>
      </c>
      <c r="N44" s="3">
        <f t="shared" si="78"/>
        <v>350812</v>
      </c>
      <c r="O44" s="3">
        <f t="shared" si="78"/>
        <v>-2054600</v>
      </c>
      <c r="P44" s="3">
        <f t="shared" si="78"/>
        <v>7299900</v>
      </c>
      <c r="Q44" s="3">
        <f t="shared" si="78"/>
        <v>-4763100</v>
      </c>
      <c r="R44" s="1"/>
      <c r="S44" s="15" t="s">
        <v>26</v>
      </c>
      <c r="T44" s="3">
        <f t="shared" ref="T44:Z44" si="79">T21</f>
        <v>1241171</v>
      </c>
      <c r="U44" s="3">
        <f t="shared" si="79"/>
        <v>3797753</v>
      </c>
      <c r="V44" s="3">
        <f t="shared" si="79"/>
        <v>6170871</v>
      </c>
      <c r="W44" s="3">
        <f t="shared" si="79"/>
        <v>4240492</v>
      </c>
      <c r="X44" s="3">
        <f t="shared" si="79"/>
        <v>2299500</v>
      </c>
      <c r="Y44" s="3">
        <f t="shared" si="79"/>
        <v>7299900</v>
      </c>
      <c r="Z44" s="3">
        <f t="shared" si="79"/>
        <v>-4763100</v>
      </c>
    </row>
    <row r="45" spans="1:26" ht="15.75" customHeight="1" x14ac:dyDescent="0.45">
      <c r="A45" s="1" t="s">
        <v>53</v>
      </c>
      <c r="B45" s="16">
        <f t="shared" ref="B45:H45" si="80">-(B33/B32)</f>
        <v>-0.34251275010048887</v>
      </c>
      <c r="C45" s="16">
        <f t="shared" si="80"/>
        <v>2.280395005130802</v>
      </c>
      <c r="D45" s="16">
        <f t="shared" si="80"/>
        <v>-0.24752690553080786</v>
      </c>
      <c r="E45" s="16">
        <f t="shared" si="80"/>
        <v>-0.29993587544458844</v>
      </c>
      <c r="F45" s="16">
        <f t="shared" si="80"/>
        <v>-0.41601413484319161</v>
      </c>
      <c r="G45" s="16">
        <f t="shared" si="80"/>
        <v>-4.6515762028916802E-2</v>
      </c>
      <c r="H45" s="16">
        <f t="shared" si="80"/>
        <v>4.0970126326062208E-2</v>
      </c>
      <c r="I45" s="1"/>
      <c r="J45" s="15" t="s">
        <v>33</v>
      </c>
      <c r="K45" s="3">
        <f t="shared" ref="K45:Q45" si="81">K26</f>
        <v>-1352907</v>
      </c>
      <c r="L45" s="3">
        <f t="shared" si="81"/>
        <v>451215</v>
      </c>
      <c r="M45" s="3">
        <f t="shared" si="81"/>
        <v>2033187</v>
      </c>
      <c r="N45" s="3">
        <f t="shared" si="81"/>
        <v>-1710167</v>
      </c>
      <c r="O45" s="3">
        <f t="shared" si="81"/>
        <v>-3722200</v>
      </c>
      <c r="P45" s="3">
        <f t="shared" si="81"/>
        <v>842400</v>
      </c>
      <c r="Q45" s="3">
        <f t="shared" si="81"/>
        <v>-10960600</v>
      </c>
      <c r="R45" s="1"/>
      <c r="S45" s="15" t="s">
        <v>33</v>
      </c>
      <c r="T45" s="3">
        <f t="shared" ref="T45:Z45" si="82">T25</f>
        <v>-1501259.7481045013</v>
      </c>
      <c r="U45" s="3">
        <f t="shared" si="82"/>
        <v>-463564.96075848211</v>
      </c>
      <c r="V45" s="3">
        <f t="shared" si="82"/>
        <v>-183005.42651328072</v>
      </c>
      <c r="W45" s="3">
        <f t="shared" si="82"/>
        <v>-2525642.8644647971</v>
      </c>
      <c r="X45" s="3">
        <f t="shared" si="82"/>
        <v>-4290136.2526277015</v>
      </c>
      <c r="Y45" s="3">
        <f t="shared" si="82"/>
        <v>842400</v>
      </c>
      <c r="Z45" s="3">
        <f t="shared" si="82"/>
        <v>-10960600</v>
      </c>
    </row>
    <row r="46" spans="1:26" ht="15.75" customHeight="1" x14ac:dyDescent="0.45">
      <c r="A46" s="1" t="s">
        <v>54</v>
      </c>
      <c r="B46" s="17">
        <v>0.27</v>
      </c>
      <c r="C46" s="17">
        <v>0.27</v>
      </c>
      <c r="D46" s="17">
        <v>0.25</v>
      </c>
      <c r="E46" s="17">
        <v>0.24</v>
      </c>
      <c r="F46" s="17">
        <v>0.23</v>
      </c>
      <c r="G46" s="17">
        <v>0.22</v>
      </c>
      <c r="H46" s="17">
        <v>0.22</v>
      </c>
      <c r="I46" s="1"/>
      <c r="J46" s="132" t="s">
        <v>40</v>
      </c>
      <c r="K46" s="3">
        <f t="shared" ref="K46:Q46" si="83">K29</f>
        <v>-869640.53</v>
      </c>
      <c r="L46" s="3">
        <f t="shared" si="83"/>
        <v>520760.94</v>
      </c>
      <c r="M46" s="3">
        <f t="shared" si="83"/>
        <v>1528620.5</v>
      </c>
      <c r="N46" s="3">
        <f t="shared" si="83"/>
        <v>-1146159.1599999999</v>
      </c>
      <c r="O46" s="3">
        <f t="shared" si="83"/>
        <v>-2402863</v>
      </c>
      <c r="P46" s="3">
        <f t="shared" si="83"/>
        <v>364300</v>
      </c>
      <c r="Q46" s="3">
        <f t="shared" si="83"/>
        <v>-11505896</v>
      </c>
      <c r="R46" s="1"/>
      <c r="S46" s="132" t="s">
        <v>40</v>
      </c>
      <c r="T46" s="3">
        <f t="shared" ref="T46:Z46" si="84">T29</f>
        <v>-977938.03611628595</v>
      </c>
      <c r="U46" s="3">
        <f t="shared" si="84"/>
        <v>-147028.43135369197</v>
      </c>
      <c r="V46" s="3">
        <f t="shared" si="84"/>
        <v>-133523.81988496054</v>
      </c>
      <c r="W46" s="3">
        <f t="shared" si="84"/>
        <v>-1765920.8169932459</v>
      </c>
      <c r="X46" s="3">
        <f t="shared" si="84"/>
        <v>-2840173.9145233301</v>
      </c>
      <c r="Y46" s="3">
        <f t="shared" si="84"/>
        <v>364300</v>
      </c>
      <c r="Z46" s="3">
        <f t="shared" si="84"/>
        <v>-11505896</v>
      </c>
    </row>
    <row r="47" spans="1:26" ht="15.7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5" t="s">
        <v>47</v>
      </c>
      <c r="K47" s="3">
        <f t="shared" ref="K47:Q47" si="85">K35</f>
        <v>-1069762</v>
      </c>
      <c r="L47" s="3">
        <f t="shared" si="85"/>
        <v>246151</v>
      </c>
      <c r="M47" s="3">
        <f t="shared" si="85"/>
        <v>1134980</v>
      </c>
      <c r="N47" s="3">
        <f t="shared" si="85"/>
        <v>-1793705</v>
      </c>
      <c r="O47" s="3">
        <f t="shared" si="85"/>
        <v>-1454300</v>
      </c>
      <c r="P47" s="3">
        <f t="shared" si="85"/>
        <v>-1609100</v>
      </c>
      <c r="Q47" s="3">
        <f t="shared" si="85"/>
        <v>-10224200</v>
      </c>
      <c r="R47" s="1"/>
      <c r="S47" s="15" t="s">
        <v>47</v>
      </c>
      <c r="T47" s="3">
        <f t="shared" ref="T47:Z47" si="86">T36</f>
        <v>-1655019.0197393054</v>
      </c>
      <c r="U47" s="3">
        <f t="shared" si="86"/>
        <v>-1274926.0463419883</v>
      </c>
      <c r="V47" s="3">
        <f t="shared" si="86"/>
        <v>-1659990.4184304522</v>
      </c>
      <c r="W47" s="3">
        <f t="shared" si="86"/>
        <v>-3528194.9814499207</v>
      </c>
      <c r="X47" s="3">
        <f t="shared" si="86"/>
        <v>-3090273.6095614517</v>
      </c>
      <c r="Y47" s="3">
        <f t="shared" si="86"/>
        <v>-1609100</v>
      </c>
      <c r="Z47" s="3">
        <f t="shared" si="86"/>
        <v>-10224200</v>
      </c>
    </row>
    <row r="48" spans="1:26" ht="15.7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32" t="s">
        <v>48</v>
      </c>
      <c r="K48" s="3">
        <f t="shared" ref="K48:Q48" si="87">K37</f>
        <v>-1069762</v>
      </c>
      <c r="L48" s="3">
        <f t="shared" si="87"/>
        <v>246151</v>
      </c>
      <c r="M48" s="3">
        <f t="shared" si="87"/>
        <v>1134980</v>
      </c>
      <c r="N48" s="3">
        <f t="shared" si="87"/>
        <v>-1793705</v>
      </c>
      <c r="O48" s="3">
        <f t="shared" si="87"/>
        <v>-1454300</v>
      </c>
      <c r="P48" s="3">
        <f t="shared" si="87"/>
        <v>-1609100</v>
      </c>
      <c r="Q48" s="3">
        <f t="shared" si="87"/>
        <v>-23039900</v>
      </c>
      <c r="R48" s="1"/>
      <c r="S48" s="132" t="s">
        <v>48</v>
      </c>
      <c r="T48" s="3">
        <f t="shared" ref="T48:Z48" si="88">T38</f>
        <v>-1655019.0197393054</v>
      </c>
      <c r="U48" s="3">
        <f t="shared" si="88"/>
        <v>-1274926.0463419883</v>
      </c>
      <c r="V48" s="3">
        <f t="shared" si="88"/>
        <v>-1659990.4184304522</v>
      </c>
      <c r="W48" s="3">
        <f t="shared" si="88"/>
        <v>-3528194.9814499207</v>
      </c>
      <c r="X48" s="3">
        <f t="shared" si="88"/>
        <v>-3090273.6095614517</v>
      </c>
      <c r="Y48" s="3">
        <f t="shared" si="88"/>
        <v>-1609100</v>
      </c>
      <c r="Z48" s="3">
        <f t="shared" si="88"/>
        <v>-23039900</v>
      </c>
    </row>
    <row r="49" spans="1:26" ht="15.7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S40:Z40"/>
    <mergeCell ref="C1:H1"/>
    <mergeCell ref="L1:Q1"/>
    <mergeCell ref="U1:Z1"/>
    <mergeCell ref="B18:B19"/>
    <mergeCell ref="C18:C19"/>
    <mergeCell ref="K23:K24"/>
    <mergeCell ref="L23:L24"/>
    <mergeCell ref="J40:Q40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984"/>
  <sheetViews>
    <sheetView zoomScale="62" workbookViewId="0">
      <selection sqref="A1:G1"/>
    </sheetView>
  </sheetViews>
  <sheetFormatPr defaultColWidth="11.3125" defaultRowHeight="15" customHeight="1" x14ac:dyDescent="0.35"/>
  <cols>
    <col min="1" max="1" width="27.875" customWidth="1"/>
    <col min="2" max="2" width="13.4375" customWidth="1"/>
    <col min="3" max="4" width="12.5625" bestFit="1" customWidth="1"/>
    <col min="5" max="5" width="13.125" customWidth="1"/>
    <col min="6" max="7" width="12.5625" bestFit="1" customWidth="1"/>
    <col min="8" max="8" width="10.6875" customWidth="1"/>
    <col min="9" max="9" width="29.125" customWidth="1"/>
    <col min="10" max="10" width="12.5625" customWidth="1"/>
    <col min="11" max="13" width="11.6875" bestFit="1" customWidth="1"/>
    <col min="14" max="14" width="12.5625" bestFit="1" customWidth="1"/>
    <col min="15" max="15" width="11.875" customWidth="1"/>
    <col min="16" max="26" width="10.5625" customWidth="1"/>
  </cols>
  <sheetData>
    <row r="1" spans="1:26" ht="15.75" customHeight="1" x14ac:dyDescent="0.45">
      <c r="A1" s="250" t="s">
        <v>428</v>
      </c>
      <c r="B1" s="249"/>
      <c r="C1" s="249"/>
      <c r="D1" s="249"/>
      <c r="E1" s="249"/>
      <c r="F1" s="249"/>
      <c r="G1" s="249"/>
      <c r="H1" s="1"/>
      <c r="I1" s="250" t="s">
        <v>429</v>
      </c>
      <c r="J1" s="249"/>
      <c r="K1" s="249"/>
      <c r="L1" s="249"/>
      <c r="M1" s="249"/>
      <c r="N1" s="249"/>
      <c r="O1" s="24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15" x14ac:dyDescent="0.6">
      <c r="A2" s="200" t="s">
        <v>430</v>
      </c>
      <c r="B2" s="201"/>
      <c r="C2" s="268" t="s">
        <v>431</v>
      </c>
      <c r="D2" s="261"/>
      <c r="E2" s="261"/>
      <c r="F2" s="261"/>
      <c r="G2" s="202"/>
      <c r="H2" s="1"/>
      <c r="I2" s="200" t="s">
        <v>430</v>
      </c>
      <c r="J2" s="201"/>
      <c r="K2" s="268" t="s">
        <v>431</v>
      </c>
      <c r="L2" s="261"/>
      <c r="M2" s="261"/>
      <c r="N2" s="261"/>
      <c r="O2" s="20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45">
      <c r="A3" s="203" t="s">
        <v>432</v>
      </c>
      <c r="B3" s="137">
        <v>2019</v>
      </c>
      <c r="C3" s="137">
        <v>2020</v>
      </c>
      <c r="D3" s="137">
        <v>2021</v>
      </c>
      <c r="E3" s="137">
        <v>2022</v>
      </c>
      <c r="F3" s="137">
        <v>2023</v>
      </c>
      <c r="G3" s="137" t="s">
        <v>433</v>
      </c>
      <c r="H3" s="1"/>
      <c r="I3" s="203" t="s">
        <v>432</v>
      </c>
      <c r="J3" s="137">
        <v>2020</v>
      </c>
      <c r="K3" s="137">
        <v>2021</v>
      </c>
      <c r="L3" s="137">
        <v>2022</v>
      </c>
      <c r="M3" s="137">
        <v>2023</v>
      </c>
      <c r="N3" s="137">
        <v>2024</v>
      </c>
      <c r="O3" s="137" t="s">
        <v>434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45">
      <c r="A4" s="203" t="s">
        <v>435</v>
      </c>
      <c r="B4" s="204">
        <v>0</v>
      </c>
      <c r="C4" s="204">
        <v>1</v>
      </c>
      <c r="D4" s="204">
        <v>2</v>
      </c>
      <c r="E4" s="204">
        <v>3</v>
      </c>
      <c r="F4" s="204">
        <v>4</v>
      </c>
      <c r="G4" s="204">
        <v>5</v>
      </c>
      <c r="H4" s="1"/>
      <c r="I4" s="203" t="s">
        <v>435</v>
      </c>
      <c r="J4" s="204">
        <v>0</v>
      </c>
      <c r="K4" s="205">
        <v>1</v>
      </c>
      <c r="L4" s="205">
        <v>2</v>
      </c>
      <c r="M4" s="205">
        <v>3</v>
      </c>
      <c r="N4" s="205">
        <v>4</v>
      </c>
      <c r="O4" s="205">
        <v>5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45">
      <c r="A5" s="1" t="s">
        <v>436</v>
      </c>
      <c r="B5" s="3">
        <f>Forecasting!G64</f>
        <v>27105700</v>
      </c>
      <c r="C5" s="3">
        <f>Forecasting!H64</f>
        <v>25304864.217915162</v>
      </c>
      <c r="D5" s="3">
        <f>Forecasting!I64</f>
        <v>25596019.227032617</v>
      </c>
      <c r="E5" s="3">
        <f>Forecasting!J64</f>
        <v>26107939.611573264</v>
      </c>
      <c r="F5" s="3">
        <f>Forecasting!K64</f>
        <v>26630098.403804731</v>
      </c>
      <c r="G5" s="3">
        <f>Forecasting!L64</f>
        <v>27029549.879861802</v>
      </c>
      <c r="H5" s="1"/>
      <c r="I5" s="1" t="s">
        <v>436</v>
      </c>
      <c r="J5" s="3">
        <f>Forecasting!W64</f>
        <v>146300</v>
      </c>
      <c r="K5" s="3">
        <f>Forecasting!X64</f>
        <v>4915887.8123743087</v>
      </c>
      <c r="L5" s="3">
        <f>Forecasting!Y64</f>
        <v>3038912.4658313897</v>
      </c>
      <c r="M5" s="3">
        <f>Forecasting!Z64</f>
        <v>4740703.4466969706</v>
      </c>
      <c r="N5" s="3">
        <f>Forecasting!AA64</f>
        <v>5288847.2827213053</v>
      </c>
      <c r="O5" s="3">
        <f>Forecasting!AB64</f>
        <v>5394624.228375731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45">
      <c r="A6" s="1" t="s">
        <v>325</v>
      </c>
      <c r="B6" s="16">
        <f>Profitability!G22</f>
        <v>8.6134938627224489E-2</v>
      </c>
      <c r="C6" s="1"/>
      <c r="D6" s="1"/>
      <c r="E6" s="1"/>
      <c r="F6" s="1"/>
      <c r="G6" s="1"/>
      <c r="H6" s="1"/>
      <c r="I6" s="1" t="s">
        <v>325</v>
      </c>
      <c r="J6" s="16">
        <f>Profitability!H22</f>
        <v>0.11379435828786388</v>
      </c>
      <c r="K6" s="3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45">
      <c r="A7" s="1" t="s">
        <v>40</v>
      </c>
      <c r="B7" s="1"/>
      <c r="C7" s="3">
        <f>Forecasting!H30</f>
        <v>491061.46734943532</v>
      </c>
      <c r="D7" s="3">
        <f>Forecasting!I30</f>
        <v>1307043.9801489094</v>
      </c>
      <c r="E7" s="3">
        <f>Forecasting!J30</f>
        <v>1700672.572195125</v>
      </c>
      <c r="F7" s="3">
        <f>Forecasting!K30</f>
        <v>2218137.822761381</v>
      </c>
      <c r="G7" s="3">
        <f>Forecasting!L30</f>
        <v>2348161.7443024772</v>
      </c>
      <c r="H7" s="1"/>
      <c r="I7" s="1" t="s">
        <v>40</v>
      </c>
      <c r="J7" s="3"/>
      <c r="K7" s="3">
        <f>Forecasting!X30</f>
        <v>-995333.18857738073</v>
      </c>
      <c r="L7" s="3">
        <f>Forecasting!Y30</f>
        <v>1428904.0127650166</v>
      </c>
      <c r="M7" s="3">
        <f>Forecasting!Z30</f>
        <v>1770542.273989219</v>
      </c>
      <c r="N7" s="3">
        <f>Forecasting!AA30</f>
        <v>2336816.348619184</v>
      </c>
      <c r="O7" s="3">
        <f>Forecasting!AB30</f>
        <v>2631070.7284229244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45">
      <c r="A8" s="1" t="s">
        <v>437</v>
      </c>
      <c r="B8" s="1"/>
      <c r="C8" s="3">
        <f t="shared" ref="C8:G8" si="0">$B$6*B5</f>
        <v>2334747.805947959</v>
      </c>
      <c r="D8" s="3">
        <f t="shared" si="0"/>
        <v>2179632.9263803717</v>
      </c>
      <c r="E8" s="3">
        <f t="shared" si="0"/>
        <v>2204711.5452217124</v>
      </c>
      <c r="F8" s="3">
        <f t="shared" si="0"/>
        <v>2248805.7761261463</v>
      </c>
      <c r="G8" s="3">
        <f t="shared" si="0"/>
        <v>2293781.8916486693</v>
      </c>
      <c r="H8" s="1"/>
      <c r="I8" s="1" t="s">
        <v>437</v>
      </c>
      <c r="J8" s="3"/>
      <c r="K8" s="3">
        <f t="shared" ref="K8:O8" si="1">$J$6*J5</f>
        <v>16648.114617514486</v>
      </c>
      <c r="L8" s="3">
        <f t="shared" si="1"/>
        <v>559400.29902426549</v>
      </c>
      <c r="M8" s="3">
        <f t="shared" si="1"/>
        <v>345811.09394227306</v>
      </c>
      <c r="N8" s="3">
        <f t="shared" si="1"/>
        <v>539465.30654994631</v>
      </c>
      <c r="O8" s="3">
        <f t="shared" si="1"/>
        <v>601840.98261978349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45">
      <c r="A9" s="1" t="s">
        <v>348</v>
      </c>
      <c r="B9" s="1"/>
      <c r="C9" s="3">
        <f t="shared" ref="C9:G9" si="2">C7-C8</f>
        <v>-1843686.3385985238</v>
      </c>
      <c r="D9" s="3">
        <f t="shared" si="2"/>
        <v>-872588.94623146229</v>
      </c>
      <c r="E9" s="3">
        <f t="shared" si="2"/>
        <v>-504038.97302658739</v>
      </c>
      <c r="F9" s="3">
        <f t="shared" si="2"/>
        <v>-30667.953364765272</v>
      </c>
      <c r="G9" s="3">
        <f t="shared" si="2"/>
        <v>54379.85265380796</v>
      </c>
      <c r="H9" s="1"/>
      <c r="I9" s="1" t="s">
        <v>348</v>
      </c>
      <c r="J9" s="3"/>
      <c r="K9" s="3">
        <f t="shared" ref="K9:O9" si="3">K7-K8</f>
        <v>-1011981.3031948953</v>
      </c>
      <c r="L9" s="3">
        <f t="shared" si="3"/>
        <v>869503.71374075115</v>
      </c>
      <c r="M9" s="3">
        <f t="shared" si="3"/>
        <v>1424731.1800469458</v>
      </c>
      <c r="N9" s="3">
        <f t="shared" si="3"/>
        <v>1797351.0420692377</v>
      </c>
      <c r="O9" s="3">
        <f t="shared" si="3"/>
        <v>2029229.745803141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45">
      <c r="A10" s="1" t="s">
        <v>438</v>
      </c>
      <c r="B10" s="1"/>
      <c r="C10" s="38">
        <f t="shared" ref="C10:F10" si="4">1/(1+$B$6)^C4</f>
        <v>0.92069591395697914</v>
      </c>
      <c r="D10" s="38">
        <f t="shared" si="4"/>
        <v>0.84768096597707721</v>
      </c>
      <c r="E10" s="38">
        <f t="shared" si="4"/>
        <v>0.78045640171420017</v>
      </c>
      <c r="F10" s="38">
        <f t="shared" si="4"/>
        <v>0.71856302007983075</v>
      </c>
      <c r="G10" s="38"/>
      <c r="H10" s="1"/>
      <c r="I10" s="1" t="s">
        <v>438</v>
      </c>
      <c r="J10" s="3"/>
      <c r="K10" s="3">
        <f t="shared" ref="K10:N10" si="5">1/(1+$J$6)^K4</f>
        <v>0.89783180580768107</v>
      </c>
      <c r="L10" s="3">
        <f t="shared" si="5"/>
        <v>0.8061019515198814</v>
      </c>
      <c r="M10" s="3">
        <f t="shared" si="5"/>
        <v>0.72374397079819086</v>
      </c>
      <c r="N10" s="3">
        <f t="shared" si="5"/>
        <v>0.64980035624416121</v>
      </c>
      <c r="O10" s="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45">
      <c r="A11" s="1" t="s">
        <v>439</v>
      </c>
      <c r="B11" s="1"/>
      <c r="C11" s="3">
        <f t="shared" ref="C11:F11" si="6">C9*C10</f>
        <v>-1697474.4785659644</v>
      </c>
      <c r="D11" s="3">
        <f t="shared" si="6"/>
        <v>-739677.04084240587</v>
      </c>
      <c r="E11" s="3">
        <f t="shared" si="6"/>
        <v>-393380.44321205118</v>
      </c>
      <c r="F11" s="3">
        <f t="shared" si="6"/>
        <v>-22036.857189453141</v>
      </c>
      <c r="G11" s="3"/>
      <c r="H11" s="1"/>
      <c r="I11" s="1" t="s">
        <v>440</v>
      </c>
      <c r="J11" s="3"/>
      <c r="K11" s="3">
        <f t="shared" ref="K11:N11" si="7">K9*K10</f>
        <v>-908589.00089108327</v>
      </c>
      <c r="L11" s="3">
        <f t="shared" si="7"/>
        <v>700908.64050020382</v>
      </c>
      <c r="M11" s="3">
        <f t="shared" si="7"/>
        <v>1031140.6015671687</v>
      </c>
      <c r="N11" s="3">
        <f t="shared" si="7"/>
        <v>1167919.347432405</v>
      </c>
      <c r="O11" s="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45">
      <c r="A12" s="1" t="s">
        <v>441</v>
      </c>
      <c r="B12" s="1"/>
      <c r="C12" s="1"/>
      <c r="D12" s="1"/>
      <c r="E12" s="1"/>
      <c r="F12" s="3">
        <f>G9/(B6-Forecasting!L45)</f>
        <v>764460.5267571836</v>
      </c>
      <c r="G12" s="1"/>
      <c r="H12" s="1"/>
      <c r="I12" s="1" t="s">
        <v>442</v>
      </c>
      <c r="J12" s="3"/>
      <c r="K12" s="3"/>
      <c r="L12" s="3"/>
      <c r="M12" s="3"/>
      <c r="N12" s="3">
        <f>O9/(J6-Forecasting!AB45)</f>
        <v>21634880.635093641</v>
      </c>
      <c r="O12" s="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45">
      <c r="A13" s="1" t="s">
        <v>443</v>
      </c>
      <c r="B13" s="1"/>
      <c r="C13" s="1"/>
      <c r="D13" s="1"/>
      <c r="E13" s="1"/>
      <c r="F13" s="3">
        <f>F12*F10</f>
        <v>549313.06483846006</v>
      </c>
      <c r="G13" s="1"/>
      <c r="H13" s="1"/>
      <c r="I13" s="1" t="s">
        <v>444</v>
      </c>
      <c r="J13" s="3"/>
      <c r="K13" s="3"/>
      <c r="L13" s="3"/>
      <c r="M13" s="3"/>
      <c r="N13" s="3">
        <f>N12*N10</f>
        <v>14058353.143983752</v>
      </c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45">
      <c r="A14" s="1" t="s">
        <v>445</v>
      </c>
      <c r="B14" s="3">
        <f>C11+D11+E11+F11+F13</f>
        <v>-2303255.7549714143</v>
      </c>
      <c r="C14" s="1"/>
      <c r="D14" s="1"/>
      <c r="E14" s="1"/>
      <c r="F14" s="1"/>
      <c r="G14" s="1"/>
      <c r="H14" s="1"/>
      <c r="I14" s="1" t="s">
        <v>446</v>
      </c>
      <c r="J14" s="3">
        <f>K11+L11+M11+N11+N13</f>
        <v>16049732.732592445</v>
      </c>
      <c r="K14" s="3"/>
      <c r="L14" s="3"/>
      <c r="M14" s="3"/>
      <c r="N14" s="3"/>
      <c r="O14" s="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45">
      <c r="A15" s="1" t="s">
        <v>447</v>
      </c>
      <c r="B15" s="3">
        <f>B5+B14</f>
        <v>24802444.245028585</v>
      </c>
      <c r="C15" s="1"/>
      <c r="D15" s="1"/>
      <c r="E15" s="1"/>
      <c r="F15" s="1"/>
      <c r="G15" s="1"/>
      <c r="H15" s="1"/>
      <c r="I15" s="1" t="s">
        <v>448</v>
      </c>
      <c r="J15" s="3">
        <f>J5+J14</f>
        <v>16196032.732592445</v>
      </c>
      <c r="K15" s="3"/>
      <c r="L15" s="3"/>
      <c r="M15" s="3"/>
      <c r="N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45">
      <c r="A16" s="1" t="s">
        <v>449</v>
      </c>
      <c r="B16" s="3">
        <f>(Forecasting!G69+Forecasting!G66)</f>
        <v>22980600</v>
      </c>
      <c r="C16" s="1"/>
      <c r="D16" s="1"/>
      <c r="E16" s="1"/>
      <c r="F16" s="1"/>
      <c r="G16" s="1"/>
      <c r="H16" s="1"/>
      <c r="I16" s="1" t="s">
        <v>450</v>
      </c>
      <c r="J16" s="3">
        <f>Forecasting!W69+Forecasting!W66</f>
        <v>6770200</v>
      </c>
      <c r="K16" s="3"/>
      <c r="L16" s="3"/>
      <c r="M16" s="3"/>
      <c r="N16" s="3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45">
      <c r="A17" s="50" t="s">
        <v>451</v>
      </c>
      <c r="B17" s="49">
        <f>B15-B16</f>
        <v>1821844.2450285852</v>
      </c>
      <c r="C17" s="1"/>
      <c r="D17" s="1"/>
      <c r="E17" s="1"/>
      <c r="F17" s="1"/>
      <c r="G17" s="1"/>
      <c r="H17" s="1"/>
      <c r="I17" s="50" t="s">
        <v>452</v>
      </c>
      <c r="J17" s="49">
        <f>J15-J16</f>
        <v>9425832.7325924449</v>
      </c>
      <c r="K17" s="3"/>
      <c r="L17" s="3"/>
      <c r="M17" s="3"/>
      <c r="N17" s="3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5">
      <c r="A22" s="250" t="s">
        <v>428</v>
      </c>
      <c r="B22" s="249"/>
      <c r="C22" s="249"/>
      <c r="D22" s="249"/>
      <c r="E22" s="249"/>
      <c r="F22" s="249"/>
      <c r="G22" s="249"/>
      <c r="H22" s="1"/>
      <c r="I22" s="250" t="s">
        <v>429</v>
      </c>
      <c r="J22" s="249"/>
      <c r="K22" s="249"/>
      <c r="L22" s="249"/>
      <c r="M22" s="249"/>
      <c r="N22" s="249"/>
      <c r="O22" s="24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3.15" x14ac:dyDescent="0.6">
      <c r="A23" s="200" t="s">
        <v>453</v>
      </c>
      <c r="B23" s="201"/>
      <c r="C23" s="268" t="s">
        <v>431</v>
      </c>
      <c r="D23" s="261"/>
      <c r="E23" s="261"/>
      <c r="F23" s="261"/>
      <c r="G23" s="202"/>
      <c r="H23" s="1"/>
      <c r="I23" s="200" t="s">
        <v>453</v>
      </c>
      <c r="J23" s="201"/>
      <c r="K23" s="268" t="s">
        <v>431</v>
      </c>
      <c r="L23" s="261"/>
      <c r="M23" s="261"/>
      <c r="N23" s="261"/>
      <c r="O23" s="20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45">
      <c r="A24" s="203" t="s">
        <v>432</v>
      </c>
      <c r="B24" s="137">
        <v>2019</v>
      </c>
      <c r="C24" s="137">
        <v>2020</v>
      </c>
      <c r="D24" s="137">
        <v>2021</v>
      </c>
      <c r="E24" s="137">
        <v>2022</v>
      </c>
      <c r="F24" s="137">
        <v>2023</v>
      </c>
      <c r="G24" s="137" t="s">
        <v>433</v>
      </c>
      <c r="H24" s="1"/>
      <c r="I24" s="203" t="s">
        <v>432</v>
      </c>
      <c r="J24" s="137">
        <v>2020</v>
      </c>
      <c r="K24" s="137">
        <v>2021</v>
      </c>
      <c r="L24" s="137">
        <v>2022</v>
      </c>
      <c r="M24" s="137">
        <v>2023</v>
      </c>
      <c r="N24" s="137">
        <v>2024</v>
      </c>
      <c r="O24" s="137" t="s">
        <v>434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45">
      <c r="A25" s="203" t="s">
        <v>435</v>
      </c>
      <c r="B25" s="204">
        <v>0</v>
      </c>
      <c r="C25" s="204">
        <v>1</v>
      </c>
      <c r="D25" s="204">
        <v>2</v>
      </c>
      <c r="E25" s="204">
        <v>3</v>
      </c>
      <c r="F25" s="204">
        <v>4</v>
      </c>
      <c r="G25" s="204">
        <v>5</v>
      </c>
      <c r="H25" s="1"/>
      <c r="I25" s="203" t="s">
        <v>435</v>
      </c>
      <c r="J25" s="204">
        <v>0</v>
      </c>
      <c r="K25" s="204">
        <v>1</v>
      </c>
      <c r="L25" s="204">
        <v>2</v>
      </c>
      <c r="M25" s="204">
        <v>3</v>
      </c>
      <c r="N25" s="204">
        <v>4</v>
      </c>
      <c r="O25" s="204">
        <v>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5">
      <c r="A26" s="1" t="s">
        <v>454</v>
      </c>
      <c r="B26" s="1"/>
      <c r="C26" s="3">
        <f>Forecasting!H92</f>
        <v>2291897.2494342709</v>
      </c>
      <c r="D26" s="3">
        <f>Forecasting!I92</f>
        <v>1015888.971031459</v>
      </c>
      <c r="E26" s="3">
        <f>Forecasting!J92</f>
        <v>1188752.1876544775</v>
      </c>
      <c r="F26" s="3">
        <f>Forecasting!K92</f>
        <v>1695979.0305299126</v>
      </c>
      <c r="G26" s="3">
        <f>Forecasting!L92</f>
        <v>1948710.2682454074</v>
      </c>
      <c r="H26" s="1"/>
      <c r="I26" s="1" t="s">
        <v>454</v>
      </c>
      <c r="J26" s="3"/>
      <c r="K26" s="3">
        <f>Forecasting!X92</f>
        <v>-5764921.0009516897</v>
      </c>
      <c r="L26" s="3">
        <f>Forecasting!Y92</f>
        <v>3305879.3593079359</v>
      </c>
      <c r="M26" s="3">
        <f>Forecasting!Z92</f>
        <v>68751.293123637792</v>
      </c>
      <c r="N26" s="3">
        <f>Forecasting!AA92</f>
        <v>1788672.5125948493</v>
      </c>
      <c r="O26" s="3">
        <f>Forecasting!AB92</f>
        <v>2525293.7827684986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5">
      <c r="A27" s="1" t="s">
        <v>325</v>
      </c>
      <c r="B27" s="16">
        <f>B6</f>
        <v>8.6134938627224489E-2</v>
      </c>
      <c r="C27" s="1"/>
      <c r="D27" s="1"/>
      <c r="E27" s="1"/>
      <c r="F27" s="1"/>
      <c r="G27" s="1"/>
      <c r="H27" s="1"/>
      <c r="I27" s="1" t="s">
        <v>325</v>
      </c>
      <c r="J27" s="16">
        <f>J6</f>
        <v>0.11379435828786388</v>
      </c>
      <c r="K27" s="3"/>
      <c r="L27" s="3"/>
      <c r="M27" s="3"/>
      <c r="N27" s="3"/>
      <c r="O27" s="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5">
      <c r="A28" s="1" t="s">
        <v>455</v>
      </c>
      <c r="B28" s="1"/>
      <c r="C28" s="38">
        <f t="shared" ref="C28:G28" si="8">1/(1+$B$27)^C25</f>
        <v>0.92069591395697914</v>
      </c>
      <c r="D28" s="38">
        <f t="shared" si="8"/>
        <v>0.84768096597707721</v>
      </c>
      <c r="E28" s="38">
        <f t="shared" si="8"/>
        <v>0.78045640171420017</v>
      </c>
      <c r="F28" s="38">
        <f t="shared" si="8"/>
        <v>0.71856302007983075</v>
      </c>
      <c r="G28" s="38">
        <f t="shared" si="8"/>
        <v>0.66157803650808689</v>
      </c>
      <c r="H28" s="1"/>
      <c r="I28" s="1" t="s">
        <v>455</v>
      </c>
      <c r="J28" s="3"/>
      <c r="K28" s="3">
        <f t="shared" ref="K28:O28" si="9">1/(1+$J$27)^K25</f>
        <v>0.89783180580768107</v>
      </c>
      <c r="L28" s="3">
        <f t="shared" si="9"/>
        <v>0.8061019515198814</v>
      </c>
      <c r="M28" s="3">
        <f t="shared" si="9"/>
        <v>0.72374397079819086</v>
      </c>
      <c r="N28" s="3">
        <f t="shared" si="9"/>
        <v>0.64980035624416121</v>
      </c>
      <c r="O28" s="3">
        <f t="shared" si="9"/>
        <v>0.58341142726116979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5">
      <c r="A29" s="1" t="s">
        <v>456</v>
      </c>
      <c r="B29" s="1"/>
      <c r="C29" s="3">
        <f t="shared" ref="C29:F29" si="10">C26*C28</f>
        <v>2110140.4327633725</v>
      </c>
      <c r="D29" s="3">
        <f t="shared" si="10"/>
        <v>861149.74428940623</v>
      </c>
      <c r="E29" s="3">
        <f t="shared" si="10"/>
        <v>927769.2549066972</v>
      </c>
      <c r="F29" s="3">
        <f t="shared" si="10"/>
        <v>1218667.8141696374</v>
      </c>
      <c r="G29" s="3"/>
      <c r="H29" s="1"/>
      <c r="I29" s="1" t="s">
        <v>456</v>
      </c>
      <c r="J29" s="3"/>
      <c r="K29" s="3">
        <f t="shared" ref="K29:N29" si="11">K26*K28</f>
        <v>-5175929.43262308</v>
      </c>
      <c r="L29" s="3">
        <f t="shared" si="11"/>
        <v>2664875.8030274222</v>
      </c>
      <c r="M29" s="3">
        <f t="shared" si="11"/>
        <v>49758.333882811967</v>
      </c>
      <c r="N29" s="3">
        <f t="shared" si="11"/>
        <v>1162280.0358882721</v>
      </c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5">
      <c r="A30" s="1" t="s">
        <v>457</v>
      </c>
      <c r="B30" s="1"/>
      <c r="C30" s="1"/>
      <c r="D30" s="1"/>
      <c r="E30" s="1"/>
      <c r="F30" s="3">
        <f>G26/(B27-Forecasting!L45)</f>
        <v>27394558.93056193</v>
      </c>
      <c r="G30" s="1"/>
      <c r="H30" s="1"/>
      <c r="I30" s="1" t="s">
        <v>457</v>
      </c>
      <c r="J30" s="3"/>
      <c r="K30" s="3"/>
      <c r="L30" s="3"/>
      <c r="M30" s="3"/>
      <c r="N30" s="3">
        <f>O26/(J27-Forecasting!AB45)</f>
        <v>26923727.917814948</v>
      </c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5">
      <c r="A31" s="1" t="s">
        <v>458</v>
      </c>
      <c r="B31" s="1"/>
      <c r="C31" s="1"/>
      <c r="D31" s="1"/>
      <c r="E31" s="1"/>
      <c r="F31" s="3">
        <f>F30*F28</f>
        <v>19684716.998899478</v>
      </c>
      <c r="G31" s="1"/>
      <c r="H31" s="1"/>
      <c r="I31" s="1" t="s">
        <v>458</v>
      </c>
      <c r="J31" s="3"/>
      <c r="K31" s="3"/>
      <c r="L31" s="3"/>
      <c r="M31" s="3"/>
      <c r="N31" s="3">
        <f>N30*N28</f>
        <v>17495047.992417023</v>
      </c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5">
      <c r="A32" s="1" t="s">
        <v>459</v>
      </c>
      <c r="B32" s="3">
        <f>C29+D29+E29+F29+F31</f>
        <v>24802444.245028593</v>
      </c>
      <c r="C32" s="1"/>
      <c r="D32" s="1"/>
      <c r="E32" s="1"/>
      <c r="F32" s="1"/>
      <c r="G32" s="1"/>
      <c r="H32" s="1"/>
      <c r="I32" s="1" t="s">
        <v>459</v>
      </c>
      <c r="J32" s="3">
        <f>K29+L29+M29+N29+N31</f>
        <v>16196032.732592449</v>
      </c>
      <c r="K32" s="3"/>
      <c r="L32" s="3"/>
      <c r="M32" s="3"/>
      <c r="N32" s="3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5">
      <c r="A33" s="1" t="s">
        <v>460</v>
      </c>
      <c r="B33" s="3">
        <f>B16</f>
        <v>22980600</v>
      </c>
      <c r="C33" s="1"/>
      <c r="D33" s="1"/>
      <c r="E33" s="1"/>
      <c r="F33" s="1"/>
      <c r="G33" s="1"/>
      <c r="H33" s="1"/>
      <c r="I33" s="1" t="s">
        <v>460</v>
      </c>
      <c r="J33" s="3">
        <f>Forecasting!W69+Forecasting!W66</f>
        <v>6770200</v>
      </c>
      <c r="K33" s="3"/>
      <c r="L33" s="3"/>
      <c r="M33" s="3"/>
      <c r="N33" s="3"/>
      <c r="O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5">
      <c r="A34" s="50" t="s">
        <v>461</v>
      </c>
      <c r="B34" s="49">
        <f>B32-B33</f>
        <v>1821844.2450285926</v>
      </c>
      <c r="C34" s="1"/>
      <c r="D34" s="1"/>
      <c r="E34" s="1"/>
      <c r="F34" s="1"/>
      <c r="G34" s="1"/>
      <c r="H34" s="1"/>
      <c r="I34" s="50" t="s">
        <v>461</v>
      </c>
      <c r="J34" s="49">
        <f>J32-J33</f>
        <v>9425832.7325924486</v>
      </c>
      <c r="K34" s="3"/>
      <c r="L34" s="3"/>
      <c r="M34" s="3"/>
      <c r="N34" s="3"/>
      <c r="O34" s="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5">
      <c r="A35" s="1"/>
      <c r="B35" s="42"/>
      <c r="C35" s="1"/>
      <c r="D35" s="1"/>
      <c r="E35" s="1"/>
      <c r="F35" s="1"/>
      <c r="G35" s="1"/>
      <c r="H35" s="1"/>
      <c r="I35" s="1"/>
      <c r="J35" s="13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5">
      <c r="A37" s="1"/>
      <c r="B37" s="1"/>
      <c r="C37" s="1"/>
      <c r="D37" s="1"/>
      <c r="E37" s="1"/>
      <c r="F37" s="1"/>
      <c r="G37" s="1"/>
      <c r="H37" s="1"/>
      <c r="I37" s="131"/>
      <c r="J37" s="79"/>
      <c r="K37" s="7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8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">
      <c r="A41" s="90" t="s">
        <v>462</v>
      </c>
      <c r="B41" s="91" t="s">
        <v>463</v>
      </c>
      <c r="C41" s="91">
        <v>44301</v>
      </c>
      <c r="D41" s="91">
        <v>44361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5.75" customHeight="1" x14ac:dyDescent="0.35">
      <c r="A42" s="89" t="s">
        <v>464</v>
      </c>
      <c r="B42" s="73" t="s">
        <v>465</v>
      </c>
      <c r="C42" s="73" t="s">
        <v>466</v>
      </c>
      <c r="D42" s="73" t="s">
        <v>467</v>
      </c>
      <c r="E42" s="73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5.75" customHeight="1" x14ac:dyDescent="0.35">
      <c r="A43" s="73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5.7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</sheetData>
  <mergeCells count="8">
    <mergeCell ref="C23:F23"/>
    <mergeCell ref="K23:N23"/>
    <mergeCell ref="A1:G1"/>
    <mergeCell ref="I1:O1"/>
    <mergeCell ref="C2:F2"/>
    <mergeCell ref="K2:N2"/>
    <mergeCell ref="A22:G22"/>
    <mergeCell ref="I22:O2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1000"/>
  <sheetViews>
    <sheetView zoomScale="87" workbookViewId="0"/>
  </sheetViews>
  <sheetFormatPr defaultColWidth="11.3125" defaultRowHeight="15" customHeight="1" x14ac:dyDescent="0.35"/>
  <cols>
    <col min="1" max="1" width="14.875" customWidth="1"/>
    <col min="2" max="2" width="15.3125" customWidth="1"/>
    <col min="3" max="7" width="10.6875" customWidth="1"/>
    <col min="8" max="26" width="10.5625" customWidth="1"/>
  </cols>
  <sheetData>
    <row r="1" spans="1:26" ht="15.75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45">
      <c r="A2" s="264" t="s">
        <v>468</v>
      </c>
      <c r="B2" s="265"/>
      <c r="C2" s="273" t="s">
        <v>469</v>
      </c>
      <c r="D2" s="265"/>
      <c r="E2" s="265"/>
      <c r="F2" s="265"/>
      <c r="G2" s="26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45">
      <c r="A3" s="272"/>
      <c r="B3" s="261"/>
      <c r="C3" s="261"/>
      <c r="D3" s="261"/>
      <c r="E3" s="261"/>
      <c r="F3" s="261"/>
      <c r="G3" s="27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45">
      <c r="A4" s="269" t="s">
        <v>470</v>
      </c>
      <c r="B4" s="51"/>
      <c r="C4" s="206">
        <v>-0.01</v>
      </c>
      <c r="D4" s="206">
        <v>-5.0000000000000001E-3</v>
      </c>
      <c r="E4" s="206">
        <v>0</v>
      </c>
      <c r="F4" s="206">
        <v>5.0000000000000001E-3</v>
      </c>
      <c r="G4" s="207">
        <v>0.01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45">
      <c r="A5" s="270"/>
      <c r="B5" s="52">
        <v>-0.01</v>
      </c>
      <c r="C5" s="53">
        <v>-2910871.6965384521</v>
      </c>
      <c r="D5" s="53">
        <v>-3080649.2503650859</v>
      </c>
      <c r="E5" s="53">
        <v>-3271228.6604342386</v>
      </c>
      <c r="F5" s="53">
        <v>-3487301.7437316775</v>
      </c>
      <c r="G5" s="54">
        <v>-3735095.0621663854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45">
      <c r="A6" s="270"/>
      <c r="B6" s="52">
        <v>-5.0000000000000001E-3</v>
      </c>
      <c r="C6" s="53">
        <v>-699931.4600365907</v>
      </c>
      <c r="D6" s="53">
        <v>-712931.59773531556</v>
      </c>
      <c r="E6" s="53">
        <v>-724692.20770281926</v>
      </c>
      <c r="F6" s="53">
        <v>-734905.91489210725</v>
      </c>
      <c r="G6" s="54">
        <v>-743164.62764294446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45">
      <c r="A7" s="270"/>
      <c r="B7" s="52">
        <v>0</v>
      </c>
      <c r="C7" s="53">
        <v>1511008.7764652744</v>
      </c>
      <c r="D7" s="53">
        <v>1654786.0548944548</v>
      </c>
      <c r="E7" s="55">
        <f>Valuation!B17</f>
        <v>1821844.2450285852</v>
      </c>
      <c r="F7" s="53">
        <v>2017489.9139474668</v>
      </c>
      <c r="G7" s="54">
        <v>2248765.8068805151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45">
      <c r="A8" s="270"/>
      <c r="B8" s="52">
        <v>5.0000000000000001E-3</v>
      </c>
      <c r="C8" s="53">
        <v>3721949.0129671432</v>
      </c>
      <c r="D8" s="53">
        <v>4022503.7075242288</v>
      </c>
      <c r="E8" s="53">
        <v>4368380.6977600008</v>
      </c>
      <c r="F8" s="53">
        <v>4769885.7427870594</v>
      </c>
      <c r="G8" s="54">
        <v>5240696.2414039746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45">
      <c r="A9" s="271"/>
      <c r="B9" s="56">
        <v>0.01</v>
      </c>
      <c r="C9" s="208">
        <v>5932889.2494690157</v>
      </c>
      <c r="D9" s="208">
        <v>6390221.3601539992</v>
      </c>
      <c r="E9" s="208">
        <v>6914917.1504914202</v>
      </c>
      <c r="F9" s="208">
        <v>7522281.5716266334</v>
      </c>
      <c r="G9" s="209">
        <v>8232626.6759274378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45">
      <c r="A13" s="264" t="s">
        <v>471</v>
      </c>
      <c r="B13" s="265"/>
      <c r="C13" s="273" t="s">
        <v>469</v>
      </c>
      <c r="D13" s="265"/>
      <c r="E13" s="265"/>
      <c r="F13" s="265"/>
      <c r="G13" s="26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45">
      <c r="A14" s="272"/>
      <c r="B14" s="261"/>
      <c r="C14" s="261"/>
      <c r="D14" s="261"/>
      <c r="E14" s="261"/>
      <c r="F14" s="261"/>
      <c r="G14" s="27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45">
      <c r="A15" s="269" t="s">
        <v>470</v>
      </c>
      <c r="B15" s="51"/>
      <c r="C15" s="206">
        <v>-0.01</v>
      </c>
      <c r="D15" s="206">
        <v>-5.0000000000000001E-3</v>
      </c>
      <c r="E15" s="206">
        <v>0</v>
      </c>
      <c r="F15" s="206">
        <v>5.0000000000000001E-3</v>
      </c>
      <c r="G15" s="207">
        <v>0.01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45">
      <c r="A16" s="270"/>
      <c r="B16" s="52">
        <v>-0.01</v>
      </c>
      <c r="C16" s="53">
        <v>5410401.2565370966</v>
      </c>
      <c r="D16" s="53">
        <v>6222359.7713861633</v>
      </c>
      <c r="E16" s="53">
        <v>7122547.2481673378</v>
      </c>
      <c r="F16" s="53">
        <v>8125878.6426607147</v>
      </c>
      <c r="G16" s="54">
        <v>9250828.8716069516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45">
      <c r="A17" s="270"/>
      <c r="B17" s="52">
        <v>-5.0000000000000001E-3</v>
      </c>
      <c r="C17" s="53">
        <v>6444289.4387863725</v>
      </c>
      <c r="D17" s="53">
        <v>7312143.630964851</v>
      </c>
      <c r="E17" s="53">
        <v>8274189.9903798923</v>
      </c>
      <c r="F17" s="53">
        <v>9448320.4276913553</v>
      </c>
      <c r="G17" s="54">
        <v>10548348.905623898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45">
      <c r="A18" s="270"/>
      <c r="B18" s="52">
        <v>0</v>
      </c>
      <c r="C18" s="53">
        <v>7478177.6210356466</v>
      </c>
      <c r="D18" s="53">
        <v>8401927.490543548</v>
      </c>
      <c r="E18" s="55">
        <f>Valuation!J17</f>
        <v>9425832.7325924449</v>
      </c>
      <c r="F18" s="53">
        <v>10566823.039188519</v>
      </c>
      <c r="G18" s="54">
        <v>11845868.939640842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45">
      <c r="A19" s="270"/>
      <c r="B19" s="52">
        <v>5.0000000000000001E-3</v>
      </c>
      <c r="C19" s="53">
        <v>8512065.8032849245</v>
      </c>
      <c r="D19" s="53">
        <v>9491711.3501222394</v>
      </c>
      <c r="E19" s="53">
        <v>10577475.474805005</v>
      </c>
      <c r="F19" s="53">
        <v>11787295.237452421</v>
      </c>
      <c r="G19" s="54">
        <v>13143388.973657798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45">
      <c r="A20" s="271"/>
      <c r="B20" s="56">
        <v>0.01</v>
      </c>
      <c r="C20" s="208">
        <v>9545953.9855342004</v>
      </c>
      <c r="D20" s="208">
        <v>10581495.209700931</v>
      </c>
      <c r="E20" s="208">
        <v>11729118.217017557</v>
      </c>
      <c r="F20" s="208">
        <v>13007767.435716324</v>
      </c>
      <c r="G20" s="209">
        <v>14440909.00767475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5:A20"/>
    <mergeCell ref="A2:B3"/>
    <mergeCell ref="C2:G3"/>
    <mergeCell ref="A4:A9"/>
    <mergeCell ref="A13:B14"/>
    <mergeCell ref="C13:G14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D8D8"/>
  </sheetPr>
  <dimension ref="A1:O1000"/>
  <sheetViews>
    <sheetView zoomScale="75" workbookViewId="0">
      <selection sqref="A1:C1"/>
    </sheetView>
  </sheetViews>
  <sheetFormatPr defaultColWidth="11.3125" defaultRowHeight="15" customHeight="1" x14ac:dyDescent="0.35"/>
  <cols>
    <col min="1" max="1" width="55.3125" customWidth="1"/>
    <col min="2" max="2" width="13.6875" customWidth="1"/>
    <col min="3" max="3" width="14.4375" customWidth="1"/>
    <col min="4" max="4" width="10.5625" customWidth="1"/>
    <col min="5" max="5" width="56.6875" customWidth="1"/>
    <col min="6" max="6" width="19.3125" customWidth="1"/>
    <col min="7" max="7" width="18.3125" customWidth="1"/>
    <col min="8" max="8" width="10.5625" customWidth="1"/>
    <col min="9" max="9" width="66.125" customWidth="1"/>
    <col min="10" max="10" width="14.3125" customWidth="1"/>
    <col min="11" max="11" width="14.125" customWidth="1"/>
    <col min="12" max="12" width="10.5625" customWidth="1"/>
    <col min="13" max="13" width="69" customWidth="1"/>
    <col min="14" max="14" width="14.6875" customWidth="1"/>
    <col min="15" max="15" width="17.6875" customWidth="1"/>
    <col min="16" max="26" width="10.5625" customWidth="1"/>
  </cols>
  <sheetData>
    <row r="1" spans="1:15" ht="15.75" customHeight="1" x14ac:dyDescent="0.45">
      <c r="A1" s="276" t="s">
        <v>472</v>
      </c>
      <c r="B1" s="249"/>
      <c r="C1" s="249"/>
      <c r="D1" s="131"/>
      <c r="E1" s="276" t="s">
        <v>473</v>
      </c>
      <c r="F1" s="249"/>
      <c r="G1" s="249"/>
      <c r="H1" s="131"/>
      <c r="I1" s="275" t="s">
        <v>474</v>
      </c>
      <c r="J1" s="249"/>
      <c r="K1" s="249"/>
      <c r="L1" s="131"/>
      <c r="M1" s="275" t="s">
        <v>475</v>
      </c>
      <c r="N1" s="249"/>
      <c r="O1" s="249"/>
    </row>
    <row r="2" spans="1:15" ht="15.75" customHeight="1" x14ac:dyDescent="0.45">
      <c r="A2" s="210" t="s">
        <v>476</v>
      </c>
      <c r="B2" s="211">
        <v>2019</v>
      </c>
      <c r="C2" s="211">
        <v>2020</v>
      </c>
      <c r="D2" s="131"/>
      <c r="E2" s="210" t="s">
        <v>476</v>
      </c>
      <c r="F2" s="211">
        <v>2019</v>
      </c>
      <c r="G2" s="211">
        <v>2020</v>
      </c>
      <c r="H2" s="131"/>
      <c r="I2" s="212"/>
      <c r="J2" s="212">
        <v>2019</v>
      </c>
      <c r="K2" s="212">
        <v>2020</v>
      </c>
      <c r="L2" s="131"/>
      <c r="M2" s="212"/>
      <c r="N2" s="212">
        <v>2019</v>
      </c>
      <c r="O2" s="212">
        <v>2020</v>
      </c>
    </row>
    <row r="3" spans="1:15" ht="15.75" customHeight="1" x14ac:dyDescent="0.45">
      <c r="A3" s="1" t="s">
        <v>477</v>
      </c>
      <c r="B3" s="3">
        <f>46112</f>
        <v>46112</v>
      </c>
      <c r="C3" s="3">
        <f>20513</f>
        <v>20513</v>
      </c>
      <c r="D3" s="131"/>
      <c r="E3" s="1" t="s">
        <v>7</v>
      </c>
      <c r="F3" s="3">
        <f t="shared" ref="F3:G3" si="0">B3</f>
        <v>46112</v>
      </c>
      <c r="G3" s="3">
        <f t="shared" si="0"/>
        <v>20513</v>
      </c>
      <c r="H3" s="131"/>
      <c r="I3" s="1" t="s">
        <v>478</v>
      </c>
      <c r="J3" s="3">
        <f>28136</f>
        <v>28136</v>
      </c>
      <c r="K3" s="3">
        <f>9078</f>
        <v>9078</v>
      </c>
      <c r="L3" s="131"/>
      <c r="M3" s="1" t="s">
        <v>478</v>
      </c>
      <c r="N3" s="3">
        <f t="shared" ref="N3:O3" si="1">J3</f>
        <v>28136</v>
      </c>
      <c r="O3" s="3">
        <f t="shared" si="1"/>
        <v>9078</v>
      </c>
    </row>
    <row r="4" spans="1:15" ht="15.75" customHeight="1" x14ac:dyDescent="0.45">
      <c r="A4" s="1" t="s">
        <v>479</v>
      </c>
      <c r="B4" s="3">
        <f>-9934</f>
        <v>-9934</v>
      </c>
      <c r="C4" s="3">
        <f>-7969</f>
        <v>-7969</v>
      </c>
      <c r="D4" s="131"/>
      <c r="E4" s="1" t="s">
        <v>480</v>
      </c>
      <c r="F4" s="3">
        <f t="shared" ref="F4:G4" si="2">B9</f>
        <v>-10</v>
      </c>
      <c r="G4" s="3">
        <f t="shared" si="2"/>
        <v>7</v>
      </c>
      <c r="H4" s="131"/>
      <c r="I4" s="1" t="s">
        <v>481</v>
      </c>
      <c r="J4" s="3">
        <f>8288</f>
        <v>8288</v>
      </c>
      <c r="K4" s="3">
        <f>4511</f>
        <v>4511</v>
      </c>
      <c r="L4" s="131"/>
      <c r="M4" s="1" t="s">
        <v>481</v>
      </c>
      <c r="N4" s="3">
        <f t="shared" ref="N4:O4" si="3">J4</f>
        <v>8288</v>
      </c>
      <c r="O4" s="3">
        <f t="shared" si="3"/>
        <v>4511</v>
      </c>
    </row>
    <row r="5" spans="1:15" ht="15.75" customHeight="1" x14ac:dyDescent="0.45">
      <c r="A5" s="1" t="s">
        <v>482</v>
      </c>
      <c r="B5" s="3">
        <f>-9672</f>
        <v>-9672</v>
      </c>
      <c r="C5" s="3">
        <f>-5626</f>
        <v>-5626</v>
      </c>
      <c r="D5" s="131"/>
      <c r="E5" s="1" t="s">
        <v>483</v>
      </c>
      <c r="F5" s="3">
        <f t="shared" ref="F5:G5" si="4">B10</f>
        <v>112</v>
      </c>
      <c r="G5" s="3">
        <f t="shared" si="4"/>
        <v>2</v>
      </c>
      <c r="H5" s="131"/>
      <c r="I5" s="182" t="s">
        <v>484</v>
      </c>
      <c r="J5" s="186">
        <f t="shared" ref="J5:K5" si="5">SUM(J3:J4)</f>
        <v>36424</v>
      </c>
      <c r="K5" s="186">
        <f t="shared" si="5"/>
        <v>13589</v>
      </c>
      <c r="L5" s="131"/>
      <c r="M5" s="1" t="s">
        <v>485</v>
      </c>
      <c r="N5" s="3">
        <f t="shared" ref="N5:O5" si="6">J8</f>
        <v>1889</v>
      </c>
      <c r="O5" s="3">
        <f t="shared" si="6"/>
        <v>1897</v>
      </c>
    </row>
    <row r="6" spans="1:15" ht="15.75" customHeight="1" x14ac:dyDescent="0.45">
      <c r="A6" s="1" t="s">
        <v>486</v>
      </c>
      <c r="B6" s="3">
        <f>-4194</f>
        <v>-4194</v>
      </c>
      <c r="C6" s="3">
        <f>-1872</f>
        <v>-1872</v>
      </c>
      <c r="D6" s="131"/>
      <c r="E6" s="213" t="s">
        <v>487</v>
      </c>
      <c r="F6" s="214">
        <f t="shared" ref="F6:G6" si="7">SUM(F3:F5)</f>
        <v>46214</v>
      </c>
      <c r="G6" s="214">
        <f t="shared" si="7"/>
        <v>20522</v>
      </c>
      <c r="H6" s="131"/>
      <c r="I6" s="131"/>
      <c r="J6" s="3"/>
      <c r="K6" s="3"/>
      <c r="L6" s="131"/>
      <c r="M6" s="1" t="s">
        <v>488</v>
      </c>
      <c r="N6" s="3">
        <f t="shared" ref="N6:O6" si="8">J7</f>
        <v>685</v>
      </c>
      <c r="O6" s="3">
        <f t="shared" si="8"/>
        <v>175</v>
      </c>
    </row>
    <row r="7" spans="1:15" ht="15.75" customHeight="1" x14ac:dyDescent="0.45">
      <c r="A7" s="1" t="s">
        <v>489</v>
      </c>
      <c r="B7" s="3">
        <f>-19324</f>
        <v>-19324</v>
      </c>
      <c r="C7" s="3">
        <f>-7782</f>
        <v>-7782</v>
      </c>
      <c r="D7" s="131"/>
      <c r="E7" s="1" t="s">
        <v>479</v>
      </c>
      <c r="F7" s="3">
        <f t="shared" ref="F7:G7" si="9">B4</f>
        <v>-9934</v>
      </c>
      <c r="G7" s="3">
        <f t="shared" si="9"/>
        <v>-7969</v>
      </c>
      <c r="H7" s="131"/>
      <c r="I7" s="1" t="s">
        <v>488</v>
      </c>
      <c r="J7" s="3">
        <f>685</f>
        <v>685</v>
      </c>
      <c r="K7" s="3">
        <f>175</f>
        <v>175</v>
      </c>
      <c r="L7" s="131"/>
      <c r="M7" s="1" t="s">
        <v>490</v>
      </c>
      <c r="N7" s="3">
        <f t="shared" ref="N7:O7" si="10">J15</f>
        <v>88</v>
      </c>
      <c r="O7" s="3">
        <f t="shared" si="10"/>
        <v>-276</v>
      </c>
    </row>
    <row r="8" spans="1:15" ht="15.75" customHeight="1" x14ac:dyDescent="0.45">
      <c r="A8" s="1" t="s">
        <v>491</v>
      </c>
      <c r="B8" s="3">
        <f>-1924</f>
        <v>-1924</v>
      </c>
      <c r="C8" s="3">
        <f>-6822</f>
        <v>-6822</v>
      </c>
      <c r="D8" s="131"/>
      <c r="E8" s="1" t="s">
        <v>482</v>
      </c>
      <c r="F8" s="3">
        <f t="shared" ref="F8:G8" si="11">B5</f>
        <v>-9672</v>
      </c>
      <c r="G8" s="3">
        <f t="shared" si="11"/>
        <v>-5626</v>
      </c>
      <c r="H8" s="131"/>
      <c r="I8" s="1" t="s">
        <v>485</v>
      </c>
      <c r="J8" s="3">
        <f>1889</f>
        <v>1889</v>
      </c>
      <c r="K8" s="3">
        <f>1897</f>
        <v>1897</v>
      </c>
      <c r="L8" s="131"/>
      <c r="M8" s="1" t="s">
        <v>492</v>
      </c>
      <c r="N8" s="3">
        <f t="shared" ref="N8:O8" si="12">J16</f>
        <v>80</v>
      </c>
      <c r="O8" s="3">
        <f t="shared" si="12"/>
        <v>12</v>
      </c>
    </row>
    <row r="9" spans="1:15" ht="15.75" customHeight="1" x14ac:dyDescent="0.45">
      <c r="A9" s="1" t="s">
        <v>480</v>
      </c>
      <c r="B9" s="3">
        <f>-10</f>
        <v>-10</v>
      </c>
      <c r="C9" s="3">
        <f>7</f>
        <v>7</v>
      </c>
      <c r="D9" s="131"/>
      <c r="E9" s="1" t="s">
        <v>486</v>
      </c>
      <c r="F9" s="3">
        <f t="shared" ref="F9:G9" si="13">B6</f>
        <v>-4194</v>
      </c>
      <c r="G9" s="3">
        <f t="shared" si="13"/>
        <v>-1872</v>
      </c>
      <c r="H9" s="131"/>
      <c r="I9" s="1" t="s">
        <v>493</v>
      </c>
      <c r="J9" s="3">
        <f>-19827</f>
        <v>-19827</v>
      </c>
      <c r="K9" s="3">
        <f>-8453</f>
        <v>-8453</v>
      </c>
      <c r="L9" s="131"/>
      <c r="M9" s="1" t="s">
        <v>494</v>
      </c>
      <c r="N9" s="3">
        <f t="shared" ref="N9:O9" si="14">J26</f>
        <v>-32</v>
      </c>
      <c r="O9" s="3">
        <f t="shared" si="14"/>
        <v>41</v>
      </c>
    </row>
    <row r="10" spans="1:15" ht="15.75" customHeight="1" x14ac:dyDescent="0.45">
      <c r="A10" s="1" t="s">
        <v>483</v>
      </c>
      <c r="B10" s="3">
        <f>112</f>
        <v>112</v>
      </c>
      <c r="C10" s="3">
        <f>2</f>
        <v>2</v>
      </c>
      <c r="D10" s="131"/>
      <c r="E10" s="1" t="s">
        <v>489</v>
      </c>
      <c r="F10" s="3">
        <f t="shared" ref="F10:G10" si="15">B7</f>
        <v>-19324</v>
      </c>
      <c r="G10" s="3">
        <f t="shared" si="15"/>
        <v>-7782</v>
      </c>
      <c r="H10" s="131"/>
      <c r="I10" s="1" t="s">
        <v>495</v>
      </c>
      <c r="J10" s="3">
        <f>-9121</f>
        <v>-9121</v>
      </c>
      <c r="K10" s="3">
        <f>-6436</f>
        <v>-6436</v>
      </c>
      <c r="L10" s="131"/>
      <c r="M10" s="215" t="s">
        <v>496</v>
      </c>
      <c r="N10" s="214">
        <f t="shared" ref="N10:O10" si="16">SUM(N3:N9)</f>
        <v>39134</v>
      </c>
      <c r="O10" s="214">
        <f t="shared" si="16"/>
        <v>15438</v>
      </c>
    </row>
    <row r="11" spans="1:15" ht="15.75" customHeight="1" x14ac:dyDescent="0.45">
      <c r="A11" s="176" t="s">
        <v>497</v>
      </c>
      <c r="B11" s="186">
        <f t="shared" ref="B11:C11" si="17">SUM(B3:B10)</f>
        <v>1166</v>
      </c>
      <c r="C11" s="186">
        <f t="shared" si="17"/>
        <v>-9549</v>
      </c>
      <c r="D11" s="131"/>
      <c r="E11" s="213" t="s">
        <v>498</v>
      </c>
      <c r="F11" s="214">
        <f t="shared" ref="F11:G11" si="18">SUM(F7:F10)</f>
        <v>-43124</v>
      </c>
      <c r="G11" s="214">
        <f t="shared" si="18"/>
        <v>-23249</v>
      </c>
      <c r="H11" s="131"/>
      <c r="I11" s="1" t="s">
        <v>499</v>
      </c>
      <c r="J11" s="3">
        <f>-2776</f>
        <v>-2776</v>
      </c>
      <c r="K11" s="3">
        <f>-4389</f>
        <v>-4389</v>
      </c>
      <c r="L11" s="131"/>
      <c r="M11" s="131"/>
      <c r="N11" s="131"/>
      <c r="O11" s="131"/>
    </row>
    <row r="12" spans="1:15" ht="15.75" customHeight="1" x14ac:dyDescent="0.45">
      <c r="A12" s="131"/>
      <c r="B12" s="3"/>
      <c r="C12" s="3"/>
      <c r="D12" s="131"/>
      <c r="E12" s="138" t="s">
        <v>500</v>
      </c>
      <c r="F12" s="139">
        <f t="shared" ref="F12:G12" si="19">F6+F11</f>
        <v>3090</v>
      </c>
      <c r="G12" s="139">
        <f t="shared" si="19"/>
        <v>-2727</v>
      </c>
      <c r="H12" s="131"/>
      <c r="I12" s="1" t="s">
        <v>501</v>
      </c>
      <c r="J12" s="3">
        <f>-5585</f>
        <v>-5585</v>
      </c>
      <c r="K12" s="3">
        <f>-3472</f>
        <v>-3472</v>
      </c>
      <c r="L12" s="131"/>
      <c r="M12" s="1" t="s">
        <v>493</v>
      </c>
      <c r="N12" s="3">
        <f t="shared" ref="N12:O12" si="20">J9</f>
        <v>-19827</v>
      </c>
      <c r="O12" s="3">
        <f t="shared" si="20"/>
        <v>-8453</v>
      </c>
    </row>
    <row r="13" spans="1:15" ht="15.75" customHeight="1" x14ac:dyDescent="0.45">
      <c r="A13" s="1" t="s">
        <v>502</v>
      </c>
      <c r="B13" s="3">
        <f>172</f>
        <v>172</v>
      </c>
      <c r="C13" s="3">
        <f>806</f>
        <v>806</v>
      </c>
      <c r="D13" s="131"/>
      <c r="E13" s="1" t="s">
        <v>491</v>
      </c>
      <c r="F13" s="3">
        <f t="shared" ref="F13:G13" si="21">B8</f>
        <v>-1924</v>
      </c>
      <c r="G13" s="3">
        <f t="shared" si="21"/>
        <v>-6822</v>
      </c>
      <c r="H13" s="131"/>
      <c r="I13" s="176" t="s">
        <v>503</v>
      </c>
      <c r="J13" s="186">
        <f t="shared" ref="J13:K13" si="22">J5+J7+J8+J9+J10+J11+J12</f>
        <v>1689</v>
      </c>
      <c r="K13" s="186">
        <f t="shared" si="22"/>
        <v>-7089</v>
      </c>
      <c r="L13" s="131"/>
      <c r="M13" s="1" t="s">
        <v>495</v>
      </c>
      <c r="N13" s="3">
        <f t="shared" ref="N13:O13" si="23">J10</f>
        <v>-9121</v>
      </c>
      <c r="O13" s="3">
        <f t="shared" si="23"/>
        <v>-6436</v>
      </c>
    </row>
    <row r="14" spans="1:15" ht="15.75" customHeight="1" x14ac:dyDescent="0.45">
      <c r="A14" s="1" t="s">
        <v>504</v>
      </c>
      <c r="B14" s="3">
        <f>-544</f>
        <v>-544</v>
      </c>
      <c r="C14" s="3">
        <f>-1408</f>
        <v>-1408</v>
      </c>
      <c r="D14" s="131"/>
      <c r="E14" s="138" t="s">
        <v>505</v>
      </c>
      <c r="F14" s="139">
        <f t="shared" ref="F14:G14" si="24">F12+F13</f>
        <v>1166</v>
      </c>
      <c r="G14" s="139">
        <f t="shared" si="24"/>
        <v>-9549</v>
      </c>
      <c r="H14" s="131"/>
      <c r="I14" s="131"/>
      <c r="J14" s="3"/>
      <c r="K14" s="3"/>
      <c r="L14" s="131"/>
      <c r="M14" s="1" t="s">
        <v>501</v>
      </c>
      <c r="N14" s="3">
        <f t="shared" ref="N14:O14" si="25">J12</f>
        <v>-5585</v>
      </c>
      <c r="O14" s="3">
        <f t="shared" si="25"/>
        <v>-3472</v>
      </c>
    </row>
    <row r="15" spans="1:15" ht="15.75" customHeight="1" x14ac:dyDescent="0.45">
      <c r="A15" s="176" t="s">
        <v>506</v>
      </c>
      <c r="B15" s="186">
        <f t="shared" ref="B15:C15" si="26">B11+B13+B14</f>
        <v>794</v>
      </c>
      <c r="C15" s="186">
        <f t="shared" si="26"/>
        <v>-10151</v>
      </c>
      <c r="D15" s="131"/>
      <c r="E15" s="1" t="s">
        <v>507</v>
      </c>
      <c r="F15" s="1">
        <f t="shared" ref="F15:G15" si="27">B17</f>
        <v>-173</v>
      </c>
      <c r="G15" s="1">
        <f t="shared" si="27"/>
        <v>876</v>
      </c>
      <c r="H15" s="131"/>
      <c r="I15" s="1" t="s">
        <v>490</v>
      </c>
      <c r="J15" s="3">
        <f>88</f>
        <v>88</v>
      </c>
      <c r="K15" s="3">
        <f>-276</f>
        <v>-276</v>
      </c>
      <c r="L15" s="131"/>
      <c r="M15" s="215" t="s">
        <v>508</v>
      </c>
      <c r="N15" s="214">
        <f t="shared" ref="N15:O15" si="28">SUM(N12:N14)</f>
        <v>-34533</v>
      </c>
      <c r="O15" s="214">
        <f t="shared" si="28"/>
        <v>-18361</v>
      </c>
    </row>
    <row r="16" spans="1:15" ht="15.75" customHeight="1" x14ac:dyDescent="0.45">
      <c r="A16" s="131"/>
      <c r="B16" s="3"/>
      <c r="C16" s="3"/>
      <c r="D16" s="131"/>
      <c r="E16" s="1" t="s">
        <v>509</v>
      </c>
      <c r="F16" s="38">
        <f t="shared" ref="F16:G16" si="29">-F21</f>
        <v>-79.608000000000004</v>
      </c>
      <c r="G16" s="38">
        <f t="shared" si="29"/>
        <v>-128.828</v>
      </c>
      <c r="H16" s="131"/>
      <c r="I16" s="1" t="s">
        <v>492</v>
      </c>
      <c r="J16" s="3">
        <f>80</f>
        <v>80</v>
      </c>
      <c r="K16" s="3">
        <f>12</f>
        <v>12</v>
      </c>
      <c r="L16" s="131"/>
      <c r="M16" s="138" t="s">
        <v>510</v>
      </c>
      <c r="N16" s="139">
        <f t="shared" ref="N16:O16" si="30">N10+N15</f>
        <v>4601</v>
      </c>
      <c r="O16" s="139">
        <f t="shared" si="30"/>
        <v>-2923</v>
      </c>
    </row>
    <row r="17" spans="1:15" ht="15.75" customHeight="1" x14ac:dyDescent="0.45">
      <c r="A17" s="1" t="s">
        <v>507</v>
      </c>
      <c r="B17" s="1">
        <f>-173</f>
        <v>-173</v>
      </c>
      <c r="C17" s="1">
        <f>876</f>
        <v>876</v>
      </c>
      <c r="D17" s="131"/>
      <c r="E17" s="138" t="s">
        <v>511</v>
      </c>
      <c r="F17" s="139">
        <f t="shared" ref="F17:G17" si="31">F14+F15+F16</f>
        <v>913.39200000000005</v>
      </c>
      <c r="G17" s="139">
        <f t="shared" si="31"/>
        <v>-8801.8279999999995</v>
      </c>
      <c r="H17" s="131"/>
      <c r="I17" s="1" t="s">
        <v>512</v>
      </c>
      <c r="J17" s="3">
        <f>79</f>
        <v>79</v>
      </c>
      <c r="K17" s="3">
        <f>83</f>
        <v>83</v>
      </c>
      <c r="L17" s="131"/>
      <c r="M17" s="1" t="s">
        <v>499</v>
      </c>
      <c r="N17" s="3">
        <f t="shared" ref="N17:O17" si="32">J11</f>
        <v>-2776</v>
      </c>
      <c r="O17" s="3">
        <f t="shared" si="32"/>
        <v>-4389</v>
      </c>
    </row>
    <row r="18" spans="1:15" ht="15.75" customHeight="1" x14ac:dyDescent="0.45">
      <c r="A18" s="144" t="s">
        <v>513</v>
      </c>
      <c r="B18" s="139">
        <f t="shared" ref="B18:C18" si="33">B15+B17</f>
        <v>621</v>
      </c>
      <c r="C18" s="139">
        <f t="shared" si="33"/>
        <v>-9275</v>
      </c>
      <c r="D18" s="131"/>
      <c r="E18" s="57" t="s">
        <v>502</v>
      </c>
      <c r="F18" s="45">
        <f t="shared" ref="F18:G18" si="34">B13</f>
        <v>172</v>
      </c>
      <c r="G18" s="45">
        <f t="shared" si="34"/>
        <v>806</v>
      </c>
      <c r="H18" s="131"/>
      <c r="I18" s="1" t="s">
        <v>514</v>
      </c>
      <c r="J18" s="3">
        <f>-394</f>
        <v>-394</v>
      </c>
      <c r="K18" s="3">
        <f>-417</f>
        <v>-417</v>
      </c>
      <c r="L18" s="131"/>
      <c r="M18" s="138" t="s">
        <v>515</v>
      </c>
      <c r="N18" s="139">
        <f t="shared" ref="N18:O18" si="35">SUM(N16:N17)</f>
        <v>1825</v>
      </c>
      <c r="O18" s="139">
        <f t="shared" si="35"/>
        <v>-7312</v>
      </c>
    </row>
    <row r="19" spans="1:15" ht="15.75" customHeight="1" x14ac:dyDescent="0.45">
      <c r="A19" s="131"/>
      <c r="B19" s="131"/>
      <c r="C19" s="131"/>
      <c r="D19" s="131"/>
      <c r="E19" s="57" t="s">
        <v>504</v>
      </c>
      <c r="F19" s="45">
        <f t="shared" ref="F19:G19" si="36">B14</f>
        <v>-544</v>
      </c>
      <c r="G19" s="45">
        <f t="shared" si="36"/>
        <v>-1408</v>
      </c>
      <c r="H19" s="131"/>
      <c r="I19" s="1" t="s">
        <v>516</v>
      </c>
      <c r="J19" s="3">
        <f>318</f>
        <v>318</v>
      </c>
      <c r="K19" s="3">
        <f>-944</f>
        <v>-944</v>
      </c>
      <c r="L19" s="131"/>
      <c r="M19" s="1" t="s">
        <v>517</v>
      </c>
      <c r="N19" s="3">
        <f t="shared" ref="N19:O19" si="37">J23</f>
        <v>-615</v>
      </c>
      <c r="O19" s="3">
        <f t="shared" si="37"/>
        <v>1865</v>
      </c>
    </row>
    <row r="20" spans="1:15" ht="15.75" customHeight="1" x14ac:dyDescent="0.45">
      <c r="A20" s="29"/>
      <c r="B20" s="3"/>
      <c r="C20" s="3"/>
      <c r="D20" s="131"/>
      <c r="E20" s="1" t="s">
        <v>518</v>
      </c>
      <c r="F20" s="3">
        <f t="shared" ref="F20:G20" si="38">F18+F19</f>
        <v>-372</v>
      </c>
      <c r="G20" s="3">
        <f t="shared" si="38"/>
        <v>-602</v>
      </c>
      <c r="H20" s="131"/>
      <c r="I20" s="216" t="s">
        <v>519</v>
      </c>
      <c r="J20" s="192">
        <f t="shared" ref="J20:K20" si="39">SUM(J15:J19)</f>
        <v>171</v>
      </c>
      <c r="K20" s="192">
        <f t="shared" si="39"/>
        <v>-1542</v>
      </c>
      <c r="L20" s="131"/>
      <c r="M20" s="1" t="s">
        <v>509</v>
      </c>
      <c r="N20" s="1">
        <f t="shared" ref="N20:O20" si="40">-N25</f>
        <v>0.89999999999999991</v>
      </c>
      <c r="O20" s="1">
        <f t="shared" si="40"/>
        <v>-383.4</v>
      </c>
    </row>
    <row r="21" spans="1:15" ht="15.75" customHeight="1" x14ac:dyDescent="0.45">
      <c r="A21" s="29"/>
      <c r="B21" s="3"/>
      <c r="C21" s="3"/>
      <c r="D21" s="131"/>
      <c r="E21" s="1" t="s">
        <v>509</v>
      </c>
      <c r="F21" s="38">
        <f t="shared" ref="F21:G21" si="41">-(F20*B25)</f>
        <v>79.608000000000004</v>
      </c>
      <c r="G21" s="38">
        <f t="shared" si="41"/>
        <v>128.828</v>
      </c>
      <c r="H21" s="131"/>
      <c r="I21" s="176" t="s">
        <v>520</v>
      </c>
      <c r="J21" s="186">
        <f t="shared" ref="J21:K21" si="42">J13+J20</f>
        <v>1860</v>
      </c>
      <c r="K21" s="186">
        <f t="shared" si="42"/>
        <v>-8631</v>
      </c>
      <c r="L21" s="131"/>
      <c r="M21" s="138" t="s">
        <v>521</v>
      </c>
      <c r="N21" s="139">
        <f t="shared" ref="N21:O21" si="43">SUM(N18:N20)</f>
        <v>1210.9000000000001</v>
      </c>
      <c r="O21" s="139">
        <f t="shared" si="43"/>
        <v>-5830.4</v>
      </c>
    </row>
    <row r="22" spans="1:15" ht="15.75" customHeight="1" x14ac:dyDescent="0.45">
      <c r="A22" s="1" t="s">
        <v>522</v>
      </c>
      <c r="B22" s="3"/>
      <c r="C22" s="3"/>
      <c r="D22" s="131"/>
      <c r="E22" s="144" t="s">
        <v>523</v>
      </c>
      <c r="F22" s="139">
        <f t="shared" ref="F22:G22" si="44">F17+F20+F21</f>
        <v>621</v>
      </c>
      <c r="G22" s="139">
        <f t="shared" si="44"/>
        <v>-9275</v>
      </c>
      <c r="H22" s="131"/>
      <c r="I22" s="131"/>
      <c r="J22" s="3"/>
      <c r="K22" s="3"/>
      <c r="L22" s="131"/>
      <c r="M22" s="1" t="s">
        <v>516</v>
      </c>
      <c r="N22" s="3">
        <f t="shared" ref="N22:O22" si="45">J19</f>
        <v>318</v>
      </c>
      <c r="O22" s="3">
        <f t="shared" si="45"/>
        <v>-944</v>
      </c>
    </row>
    <row r="23" spans="1:15" ht="15.75" customHeight="1" x14ac:dyDescent="0.45">
      <c r="A23" s="131"/>
      <c r="B23" s="3"/>
      <c r="C23" s="3"/>
      <c r="D23" s="131"/>
      <c r="E23" s="131"/>
      <c r="F23" s="131"/>
      <c r="G23" s="131"/>
      <c r="H23" s="131"/>
      <c r="I23" s="1" t="s">
        <v>517</v>
      </c>
      <c r="J23" s="3">
        <f>-615</f>
        <v>-615</v>
      </c>
      <c r="K23" s="3">
        <f>1865</f>
        <v>1865</v>
      </c>
      <c r="L23" s="131"/>
      <c r="M23" s="1" t="s">
        <v>512</v>
      </c>
      <c r="N23" s="3">
        <f t="shared" ref="N23:O23" si="46">J17</f>
        <v>79</v>
      </c>
      <c r="O23" s="3">
        <f t="shared" si="46"/>
        <v>83</v>
      </c>
    </row>
    <row r="24" spans="1:15" ht="15.75" customHeight="1" x14ac:dyDescent="0.45">
      <c r="A24" s="29"/>
      <c r="B24" s="3"/>
      <c r="C24" s="3"/>
      <c r="D24" s="131"/>
      <c r="E24" s="131"/>
      <c r="F24" s="131"/>
      <c r="G24" s="131"/>
      <c r="H24" s="131"/>
      <c r="I24" s="182" t="s">
        <v>524</v>
      </c>
      <c r="J24" s="186">
        <f t="shared" ref="J24:K24" si="47">J21+J23</f>
        <v>1245</v>
      </c>
      <c r="K24" s="186">
        <f t="shared" si="47"/>
        <v>-6766</v>
      </c>
      <c r="L24" s="131"/>
      <c r="M24" s="1" t="s">
        <v>514</v>
      </c>
      <c r="N24" s="3">
        <f t="shared" ref="N24:O24" si="48">J18</f>
        <v>-394</v>
      </c>
      <c r="O24" s="3">
        <f t="shared" si="48"/>
        <v>-417</v>
      </c>
    </row>
    <row r="25" spans="1:15" ht="15.75" customHeight="1" x14ac:dyDescent="0.45">
      <c r="A25" s="1" t="s">
        <v>525</v>
      </c>
      <c r="B25" s="16">
        <v>0.214</v>
      </c>
      <c r="C25" s="16">
        <v>0.214</v>
      </c>
      <c r="D25" s="131"/>
      <c r="E25" s="131"/>
      <c r="F25" s="131"/>
      <c r="G25" s="131"/>
      <c r="H25" s="131"/>
      <c r="I25" s="131"/>
      <c r="J25" s="3"/>
      <c r="K25" s="3"/>
      <c r="L25" s="131"/>
      <c r="M25" s="1" t="s">
        <v>509</v>
      </c>
      <c r="N25" s="1">
        <f t="shared" ref="N25:O25" si="49">-(N22+N23+N24)*J30</f>
        <v>-0.89999999999999991</v>
      </c>
      <c r="O25" s="1">
        <f t="shared" si="49"/>
        <v>383.4</v>
      </c>
    </row>
    <row r="26" spans="1:15" ht="15.75" customHeight="1" x14ac:dyDescent="0.45">
      <c r="A26" s="29"/>
      <c r="B26" s="3"/>
      <c r="C26" s="3"/>
      <c r="D26" s="131"/>
      <c r="E26" s="131"/>
      <c r="F26" s="3"/>
      <c r="G26" s="131"/>
      <c r="H26" s="131"/>
      <c r="I26" s="1" t="s">
        <v>494</v>
      </c>
      <c r="J26" s="3">
        <f>-32</f>
        <v>-32</v>
      </c>
      <c r="K26" s="3">
        <f>41</f>
        <v>41</v>
      </c>
      <c r="L26" s="131"/>
      <c r="M26" s="138" t="s">
        <v>526</v>
      </c>
      <c r="N26" s="139">
        <f t="shared" ref="N26:O26" si="50">SUM(N21:N25)</f>
        <v>1213</v>
      </c>
      <c r="O26" s="139">
        <f t="shared" si="50"/>
        <v>-6725</v>
      </c>
    </row>
    <row r="27" spans="1:15" ht="15.75" customHeight="1" x14ac:dyDescent="0.45">
      <c r="A27" s="132"/>
      <c r="B27" s="20"/>
      <c r="C27" s="20"/>
      <c r="D27" s="131"/>
      <c r="E27" s="131"/>
      <c r="F27" s="131"/>
      <c r="G27" s="131"/>
      <c r="H27" s="131"/>
      <c r="I27" s="144" t="s">
        <v>527</v>
      </c>
      <c r="J27" s="139">
        <f t="shared" ref="J27:K27" si="51">J24+J26</f>
        <v>1213</v>
      </c>
      <c r="K27" s="139">
        <f t="shared" si="51"/>
        <v>-6725</v>
      </c>
      <c r="L27" s="131"/>
      <c r="M27" s="131"/>
      <c r="N27" s="131"/>
      <c r="O27" s="131"/>
    </row>
    <row r="28" spans="1:15" ht="15.75" customHeight="1" x14ac:dyDescent="0.3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5.75" customHeight="1" x14ac:dyDescent="0.3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5.75" customHeight="1" x14ac:dyDescent="0.45">
      <c r="A30" s="276" t="s">
        <v>528</v>
      </c>
      <c r="B30" s="249"/>
      <c r="C30" s="249"/>
      <c r="D30" s="131"/>
      <c r="E30" s="217" t="s">
        <v>529</v>
      </c>
      <c r="F30" s="218">
        <v>43828</v>
      </c>
      <c r="G30" s="219">
        <v>44192</v>
      </c>
      <c r="H30" s="131"/>
      <c r="I30" s="1" t="s">
        <v>530</v>
      </c>
      <c r="J30" s="17">
        <v>0.3</v>
      </c>
      <c r="K30" s="17">
        <v>0.3</v>
      </c>
      <c r="L30" s="131"/>
      <c r="M30" s="131"/>
      <c r="N30" s="131"/>
      <c r="O30" s="131"/>
    </row>
    <row r="31" spans="1:15" ht="15.75" customHeight="1" x14ac:dyDescent="0.45">
      <c r="A31" s="210" t="s">
        <v>476</v>
      </c>
      <c r="B31" s="211">
        <v>2019</v>
      </c>
      <c r="C31" s="211">
        <v>2020</v>
      </c>
      <c r="D31" s="131"/>
      <c r="E31" s="220" t="s">
        <v>531</v>
      </c>
      <c r="F31" s="3">
        <v>4.0999999999999996</v>
      </c>
      <c r="G31" s="58">
        <v>1.82</v>
      </c>
      <c r="H31" s="131"/>
      <c r="I31" s="131"/>
      <c r="J31" s="131"/>
      <c r="K31" s="131"/>
      <c r="L31" s="131"/>
      <c r="M31" s="131"/>
      <c r="N31" s="131"/>
      <c r="O31" s="131"/>
    </row>
    <row r="32" spans="1:15" ht="15.75" customHeight="1" x14ac:dyDescent="0.45">
      <c r="A32" s="29" t="s">
        <v>532</v>
      </c>
      <c r="B32" s="131"/>
      <c r="C32" s="131"/>
      <c r="D32" s="131"/>
      <c r="E32" s="220" t="s">
        <v>533</v>
      </c>
      <c r="F32" s="3">
        <f>382582551/1000000</f>
        <v>382.58255100000002</v>
      </c>
      <c r="G32" s="58">
        <f>7266039292/1000000</f>
        <v>7266.0392920000004</v>
      </c>
      <c r="H32" s="131"/>
      <c r="I32" s="131"/>
      <c r="J32" s="131"/>
      <c r="K32" s="131"/>
      <c r="L32" s="131"/>
      <c r="M32" s="131"/>
      <c r="N32" s="131"/>
      <c r="O32" s="131"/>
    </row>
    <row r="33" spans="1:15" ht="15.75" customHeight="1" x14ac:dyDescent="0.45">
      <c r="A33" s="144" t="s">
        <v>534</v>
      </c>
      <c r="B33" s="139">
        <v>8763</v>
      </c>
      <c r="C33" s="139">
        <v>10231</v>
      </c>
      <c r="D33" s="131"/>
      <c r="E33" s="59" t="s">
        <v>535</v>
      </c>
      <c r="F33" s="60">
        <f t="shared" ref="F33:G33" si="52">F31*F32</f>
        <v>1568.5884590999999</v>
      </c>
      <c r="G33" s="61">
        <f t="shared" si="52"/>
        <v>13224.191511440002</v>
      </c>
      <c r="H33" s="131"/>
      <c r="I33" s="275" t="s">
        <v>536</v>
      </c>
      <c r="J33" s="249"/>
      <c r="K33" s="249"/>
      <c r="L33" s="131"/>
      <c r="M33" s="217" t="s">
        <v>529</v>
      </c>
      <c r="N33" s="218">
        <v>43828</v>
      </c>
      <c r="O33" s="219">
        <v>44192</v>
      </c>
    </row>
    <row r="34" spans="1:15" ht="15.75" customHeight="1" x14ac:dyDescent="0.45">
      <c r="A34" s="131"/>
      <c r="B34" s="3"/>
      <c r="C34" s="3"/>
      <c r="D34" s="131"/>
      <c r="E34" s="131"/>
      <c r="F34" s="131"/>
      <c r="G34" s="131"/>
      <c r="H34" s="131"/>
      <c r="I34" s="212"/>
      <c r="J34" s="212">
        <v>2019</v>
      </c>
      <c r="K34" s="212">
        <v>2020</v>
      </c>
      <c r="L34" s="131"/>
      <c r="M34" s="220" t="s">
        <v>531</v>
      </c>
      <c r="N34" s="3">
        <v>15.59</v>
      </c>
      <c r="O34" s="58">
        <v>10.81</v>
      </c>
    </row>
    <row r="35" spans="1:15" ht="15.75" customHeight="1" x14ac:dyDescent="0.45">
      <c r="A35" s="29" t="s">
        <v>328</v>
      </c>
      <c r="B35" s="3"/>
      <c r="C35" s="3"/>
      <c r="D35" s="131"/>
      <c r="E35" s="131"/>
      <c r="F35" s="131"/>
      <c r="G35" s="131"/>
      <c r="H35" s="131"/>
      <c r="I35" s="29" t="s">
        <v>537</v>
      </c>
      <c r="J35" s="131"/>
      <c r="K35" s="131"/>
      <c r="L35" s="131"/>
      <c r="M35" s="220" t="s">
        <v>538</v>
      </c>
      <c r="N35" s="3">
        <v>478.2</v>
      </c>
      <c r="O35" s="58">
        <v>597.70000000000005</v>
      </c>
    </row>
    <row r="36" spans="1:15" ht="15.75" customHeight="1" x14ac:dyDescent="0.45">
      <c r="A36" s="144" t="s">
        <v>539</v>
      </c>
      <c r="B36" s="139">
        <v>5372</v>
      </c>
      <c r="C36" s="139">
        <v>10490</v>
      </c>
      <c r="D36" s="131"/>
      <c r="E36" s="217" t="s">
        <v>540</v>
      </c>
      <c r="F36" s="221">
        <v>2019</v>
      </c>
      <c r="G36" s="222">
        <v>2020</v>
      </c>
      <c r="H36" s="131"/>
      <c r="I36" s="144" t="s">
        <v>534</v>
      </c>
      <c r="J36" s="139">
        <v>1415</v>
      </c>
      <c r="K36" s="139">
        <v>1806</v>
      </c>
      <c r="L36" s="131"/>
      <c r="M36" s="59" t="s">
        <v>339</v>
      </c>
      <c r="N36" s="60">
        <f t="shared" ref="N36:O36" si="53">N34*N35</f>
        <v>7455.1379999999999</v>
      </c>
      <c r="O36" s="61">
        <f t="shared" si="53"/>
        <v>6461.1370000000006</v>
      </c>
    </row>
    <row r="37" spans="1:15" ht="15.75" customHeight="1" x14ac:dyDescent="0.45">
      <c r="A37" s="131"/>
      <c r="B37" s="3"/>
      <c r="C37" s="3"/>
      <c r="D37" s="131"/>
      <c r="E37" s="220" t="s">
        <v>339</v>
      </c>
      <c r="F37" s="3">
        <f t="shared" ref="F37:G37" si="54">F33</f>
        <v>1568.5884590999999</v>
      </c>
      <c r="G37" s="54">
        <f t="shared" si="54"/>
        <v>13224.191511440002</v>
      </c>
      <c r="H37" s="131"/>
      <c r="I37" s="131"/>
      <c r="J37" s="131"/>
      <c r="K37" s="131"/>
      <c r="L37" s="131"/>
      <c r="M37" s="131"/>
      <c r="N37" s="131"/>
      <c r="O37" s="131"/>
    </row>
    <row r="38" spans="1:15" ht="15.75" customHeight="1" x14ac:dyDescent="0.45">
      <c r="A38" s="29" t="s">
        <v>541</v>
      </c>
      <c r="B38" s="3"/>
      <c r="C38" s="3"/>
      <c r="D38" s="131"/>
      <c r="E38" s="223" t="s">
        <v>542</v>
      </c>
      <c r="F38" s="3">
        <f t="shared" ref="F38:G38" si="55">B41</f>
        <v>28640</v>
      </c>
      <c r="G38" s="54">
        <f t="shared" si="55"/>
        <v>46943</v>
      </c>
      <c r="H38" s="131"/>
      <c r="I38" s="29" t="s">
        <v>328</v>
      </c>
      <c r="J38" s="131"/>
      <c r="K38" s="131"/>
      <c r="L38" s="131"/>
      <c r="M38" s="217" t="s">
        <v>540</v>
      </c>
      <c r="N38" s="224">
        <v>2019</v>
      </c>
      <c r="O38" s="222">
        <v>2020</v>
      </c>
    </row>
    <row r="39" spans="1:15" ht="15.75" customHeight="1" x14ac:dyDescent="0.45">
      <c r="A39" s="1" t="s">
        <v>543</v>
      </c>
      <c r="B39" s="3">
        <v>13525</v>
      </c>
      <c r="C39" s="3">
        <v>28321</v>
      </c>
      <c r="D39" s="131"/>
      <c r="E39" s="223" t="s">
        <v>544</v>
      </c>
      <c r="F39" s="3">
        <f t="shared" ref="F39:G39" si="56">B33</f>
        <v>8763</v>
      </c>
      <c r="G39" s="54">
        <f t="shared" si="56"/>
        <v>10231</v>
      </c>
      <c r="H39" s="131"/>
      <c r="I39" s="144" t="s">
        <v>328</v>
      </c>
      <c r="J39" s="139">
        <v>10256</v>
      </c>
      <c r="K39" s="139">
        <v>1387</v>
      </c>
      <c r="L39" s="131"/>
      <c r="M39" s="220" t="s">
        <v>339</v>
      </c>
      <c r="N39" s="3">
        <f t="shared" ref="N39:O39" si="57">N36</f>
        <v>7455.1379999999999</v>
      </c>
      <c r="O39" s="58">
        <f t="shared" si="57"/>
        <v>6461.1370000000006</v>
      </c>
    </row>
    <row r="40" spans="1:15" ht="15.75" customHeight="1" x14ac:dyDescent="0.45">
      <c r="A40" s="1" t="s">
        <v>545</v>
      </c>
      <c r="B40" s="3">
        <v>15115</v>
      </c>
      <c r="C40" s="3">
        <v>18622</v>
      </c>
      <c r="D40" s="131"/>
      <c r="E40" s="62" t="s">
        <v>546</v>
      </c>
      <c r="F40" s="60">
        <f t="shared" ref="F40:G40" si="58">F37+F38-F39</f>
        <v>21445.588459099999</v>
      </c>
      <c r="G40" s="63">
        <f t="shared" si="58"/>
        <v>49936.191511440004</v>
      </c>
      <c r="H40" s="131"/>
      <c r="I40" s="131"/>
      <c r="J40" s="131"/>
      <c r="K40" s="131"/>
      <c r="L40" s="131"/>
      <c r="M40" s="223" t="s">
        <v>542</v>
      </c>
      <c r="N40" s="3">
        <f t="shared" ref="N40:O40" si="59">J44</f>
        <v>32403</v>
      </c>
      <c r="O40" s="58">
        <f t="shared" si="59"/>
        <v>38097</v>
      </c>
    </row>
    <row r="41" spans="1:15" ht="15.75" customHeight="1" x14ac:dyDescent="0.45">
      <c r="A41" s="144" t="s">
        <v>386</v>
      </c>
      <c r="B41" s="139">
        <f t="shared" ref="B41:C41" si="60">B39+B40</f>
        <v>28640</v>
      </c>
      <c r="C41" s="139">
        <f t="shared" si="60"/>
        <v>46943</v>
      </c>
      <c r="D41" s="131"/>
      <c r="E41" s="131"/>
      <c r="F41" s="131"/>
      <c r="G41" s="131"/>
      <c r="H41" s="131"/>
      <c r="I41" s="29" t="s">
        <v>541</v>
      </c>
      <c r="J41" s="131"/>
      <c r="K41" s="131"/>
      <c r="L41" s="131"/>
      <c r="M41" s="223" t="s">
        <v>544</v>
      </c>
      <c r="N41" s="3">
        <f t="shared" ref="N41:O41" si="61">J36</f>
        <v>1415</v>
      </c>
      <c r="O41" s="58">
        <f t="shared" si="61"/>
        <v>1806</v>
      </c>
    </row>
    <row r="42" spans="1:15" ht="15.75" customHeight="1" x14ac:dyDescent="0.45">
      <c r="A42" s="131"/>
      <c r="B42" s="47">
        <f>B36+B41</f>
        <v>34012</v>
      </c>
      <c r="C42" s="47">
        <f>C41+C36</f>
        <v>57433</v>
      </c>
      <c r="D42" s="131"/>
      <c r="E42" s="131"/>
      <c r="F42" s="131"/>
      <c r="G42" s="131"/>
      <c r="H42" s="131"/>
      <c r="I42" s="1" t="s">
        <v>545</v>
      </c>
      <c r="J42" s="3">
        <v>15986</v>
      </c>
      <c r="K42" s="3">
        <v>14659</v>
      </c>
      <c r="L42" s="131"/>
      <c r="M42" s="62" t="s">
        <v>547</v>
      </c>
      <c r="N42" s="60">
        <f t="shared" ref="N42:O42" si="62">N39+N40-N41</f>
        <v>38443.137999999999</v>
      </c>
      <c r="O42" s="61">
        <f t="shared" si="62"/>
        <v>42752.137000000002</v>
      </c>
    </row>
    <row r="43" spans="1:15" ht="15.75" customHeight="1" x14ac:dyDescent="0.45">
      <c r="A43" s="131"/>
      <c r="B43" s="131"/>
      <c r="C43" s="131"/>
      <c r="D43" s="131"/>
      <c r="E43" s="131"/>
      <c r="F43" s="131"/>
      <c r="G43" s="131"/>
      <c r="H43" s="131"/>
      <c r="I43" s="1" t="s">
        <v>543</v>
      </c>
      <c r="J43" s="3">
        <v>16417</v>
      </c>
      <c r="K43" s="3">
        <v>23438</v>
      </c>
      <c r="L43" s="131"/>
      <c r="M43" s="131"/>
      <c r="N43" s="131"/>
      <c r="O43" s="131"/>
    </row>
    <row r="44" spans="1:15" ht="15.75" customHeight="1" x14ac:dyDescent="0.45">
      <c r="A44" s="131"/>
      <c r="B44" s="131"/>
      <c r="C44" s="131"/>
      <c r="D44" s="131"/>
      <c r="E44" s="131"/>
      <c r="F44" s="131"/>
      <c r="G44" s="131"/>
      <c r="H44" s="131"/>
      <c r="I44" s="144" t="s">
        <v>386</v>
      </c>
      <c r="J44" s="139">
        <f t="shared" ref="J44:K44" si="63">J42+J43</f>
        <v>32403</v>
      </c>
      <c r="K44" s="139">
        <f t="shared" si="63"/>
        <v>38097</v>
      </c>
      <c r="L44" s="131"/>
      <c r="M44" s="131"/>
      <c r="N44" s="131"/>
      <c r="O44" s="131"/>
    </row>
    <row r="45" spans="1:15" ht="15.75" customHeight="1" x14ac:dyDescent="0.3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</row>
    <row r="46" spans="1:15" ht="15.75" customHeight="1" x14ac:dyDescent="0.3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1:15" ht="15.75" customHeight="1" x14ac:dyDescent="0.4">
      <c r="A47" s="225" t="s">
        <v>548</v>
      </c>
      <c r="B47" s="225">
        <v>2019</v>
      </c>
      <c r="C47" s="225">
        <v>2020</v>
      </c>
      <c r="D47" s="131"/>
      <c r="E47" s="131"/>
      <c r="F47" s="131"/>
      <c r="G47" s="131"/>
      <c r="H47" s="131"/>
      <c r="I47" s="226" t="s">
        <v>549</v>
      </c>
      <c r="J47" s="226">
        <v>2019</v>
      </c>
      <c r="K47" s="226">
        <v>2020</v>
      </c>
      <c r="L47" s="131"/>
      <c r="M47" s="131"/>
      <c r="N47" s="131"/>
      <c r="O47" s="131"/>
    </row>
    <row r="48" spans="1:15" ht="15.75" customHeight="1" x14ac:dyDescent="0.35">
      <c r="A48" s="64" t="s">
        <v>386</v>
      </c>
      <c r="B48" s="65">
        <f t="shared" ref="B48:C48" si="64">B41</f>
        <v>28640</v>
      </c>
      <c r="C48" s="65">
        <f t="shared" si="64"/>
        <v>46943</v>
      </c>
      <c r="D48" s="131"/>
      <c r="E48" s="131"/>
      <c r="F48" s="131"/>
      <c r="G48" s="131"/>
      <c r="H48" s="131"/>
      <c r="I48" s="64" t="s">
        <v>386</v>
      </c>
      <c r="J48" s="65">
        <f t="shared" ref="J48:K48" si="65">J44</f>
        <v>32403</v>
      </c>
      <c r="K48" s="65">
        <f t="shared" si="65"/>
        <v>38097</v>
      </c>
      <c r="L48" s="131"/>
      <c r="M48" s="131"/>
      <c r="N48" s="131"/>
      <c r="O48" s="131"/>
    </row>
    <row r="49" spans="1:11" ht="15.75" customHeight="1" x14ac:dyDescent="0.35">
      <c r="A49" s="64" t="s">
        <v>328</v>
      </c>
      <c r="B49" s="65">
        <f t="shared" ref="B49:C49" si="66">B36</f>
        <v>5372</v>
      </c>
      <c r="C49" s="65">
        <f t="shared" si="66"/>
        <v>10490</v>
      </c>
      <c r="D49" s="131"/>
      <c r="E49" s="131"/>
      <c r="F49" s="131"/>
      <c r="G49" s="131"/>
      <c r="H49" s="131"/>
      <c r="I49" s="64" t="s">
        <v>328</v>
      </c>
      <c r="J49" s="65">
        <f t="shared" ref="J49:K49" si="67">J39</f>
        <v>10256</v>
      </c>
      <c r="K49" s="65">
        <f t="shared" si="67"/>
        <v>1387</v>
      </c>
    </row>
    <row r="50" spans="1:11" ht="15.75" customHeight="1" x14ac:dyDescent="0.4">
      <c r="A50" s="227" t="s">
        <v>550</v>
      </c>
      <c r="B50" s="228">
        <f t="shared" ref="B50:C50" si="68">B48/B49</f>
        <v>5.331347728965004</v>
      </c>
      <c r="C50" s="228">
        <f t="shared" si="68"/>
        <v>4.4750238322211633</v>
      </c>
      <c r="D50" s="131"/>
      <c r="E50" s="131"/>
      <c r="F50" s="131"/>
      <c r="G50" s="131"/>
      <c r="H50" s="131"/>
      <c r="I50" s="227" t="s">
        <v>550</v>
      </c>
      <c r="J50" s="228">
        <f t="shared" ref="J50:K50" si="69">J48/J49</f>
        <v>3.1594188767550704</v>
      </c>
      <c r="K50" s="228">
        <f t="shared" si="69"/>
        <v>27.467195385724587</v>
      </c>
    </row>
    <row r="51" spans="1:11" ht="15.75" customHeight="1" x14ac:dyDescent="0.3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</row>
    <row r="52" spans="1:11" ht="15.75" customHeight="1" x14ac:dyDescent="0.3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</row>
    <row r="53" spans="1:11" ht="15.75" customHeight="1" x14ac:dyDescent="0.3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</row>
    <row r="54" spans="1:11" ht="15.75" customHeight="1" x14ac:dyDescent="0.3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</row>
    <row r="55" spans="1:11" ht="15.75" customHeight="1" x14ac:dyDescent="0.3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</row>
    <row r="56" spans="1:11" ht="15.75" customHeight="1" x14ac:dyDescent="0.3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</row>
    <row r="57" spans="1:11" ht="15.75" customHeight="1" x14ac:dyDescent="0.3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</row>
    <row r="58" spans="1:11" ht="15.75" customHeight="1" x14ac:dyDescent="0.3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15.75" customHeight="1" x14ac:dyDescent="0.3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</row>
    <row r="60" spans="1:11" ht="15.75" customHeight="1" x14ac:dyDescent="0.3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</row>
    <row r="61" spans="1:11" ht="15.75" customHeight="1" x14ac:dyDescent="0.3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</row>
    <row r="62" spans="1:11" ht="15.75" customHeight="1" x14ac:dyDescent="0.3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</row>
    <row r="63" spans="1:11" ht="15.75" customHeight="1" x14ac:dyDescent="0.3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</row>
    <row r="64" spans="1:11" ht="15.75" customHeight="1" x14ac:dyDescent="0.3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</row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6">
    <mergeCell ref="I33:K33"/>
    <mergeCell ref="A1:C1"/>
    <mergeCell ref="E1:G1"/>
    <mergeCell ref="I1:K1"/>
    <mergeCell ref="M1:O1"/>
    <mergeCell ref="A30:C30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948"/>
  <sheetViews>
    <sheetView zoomScale="75" workbookViewId="0">
      <selection sqref="A1:G1"/>
    </sheetView>
  </sheetViews>
  <sheetFormatPr defaultColWidth="11.3125" defaultRowHeight="15" customHeight="1" x14ac:dyDescent="0.35"/>
  <cols>
    <col min="1" max="1" width="20.3125" customWidth="1"/>
    <col min="2" max="2" width="18.4375" customWidth="1"/>
    <col min="3" max="3" width="17.6875" customWidth="1"/>
    <col min="4" max="4" width="16.125" bestFit="1" customWidth="1"/>
    <col min="5" max="5" width="14" bestFit="1" customWidth="1"/>
    <col min="6" max="6" width="17.125" customWidth="1"/>
    <col min="7" max="7" width="18.3125" customWidth="1"/>
    <col min="8" max="8" width="16" customWidth="1"/>
    <col min="9" max="9" width="24.4375" customWidth="1"/>
    <col min="10" max="10" width="12.125" bestFit="1" customWidth="1"/>
    <col min="11" max="11" width="13.125" bestFit="1" customWidth="1"/>
    <col min="12" max="12" width="16" customWidth="1"/>
    <col min="13" max="13" width="14.4375" customWidth="1"/>
    <col min="14" max="26" width="10.5625" customWidth="1"/>
  </cols>
  <sheetData>
    <row r="1" spans="1:13" ht="15.9" x14ac:dyDescent="0.45">
      <c r="A1" s="288" t="s">
        <v>551</v>
      </c>
      <c r="B1" s="288"/>
      <c r="C1" s="288"/>
      <c r="D1" s="288"/>
      <c r="E1" s="288"/>
      <c r="F1" s="288"/>
      <c r="G1" s="288"/>
      <c r="H1" s="131"/>
      <c r="I1" s="131"/>
      <c r="J1" s="131"/>
      <c r="K1" s="131"/>
      <c r="L1" s="131"/>
      <c r="M1" s="131"/>
    </row>
    <row r="2" spans="1:13" ht="15.75" customHeight="1" x14ac:dyDescent="0.45">
      <c r="A2" s="229"/>
      <c r="B2" s="283" t="s">
        <v>552</v>
      </c>
      <c r="C2" s="284"/>
      <c r="D2" s="287" t="s">
        <v>368</v>
      </c>
      <c r="E2" s="284"/>
      <c r="F2" s="282" t="s">
        <v>359</v>
      </c>
      <c r="G2" s="285"/>
      <c r="H2" s="1"/>
      <c r="I2" s="230" t="s">
        <v>553</v>
      </c>
      <c r="J2" s="279" t="s">
        <v>554</v>
      </c>
      <c r="K2" s="266"/>
      <c r="L2" s="131"/>
      <c r="M2" s="131"/>
    </row>
    <row r="3" spans="1:13" ht="15.75" customHeight="1" x14ac:dyDescent="0.45">
      <c r="A3" s="231" t="s">
        <v>555</v>
      </c>
      <c r="B3" s="231">
        <v>2019</v>
      </c>
      <c r="C3" s="232">
        <v>2020</v>
      </c>
      <c r="D3" s="110">
        <v>2019</v>
      </c>
      <c r="E3" s="232">
        <v>2020</v>
      </c>
      <c r="F3" s="231">
        <v>2019</v>
      </c>
      <c r="G3" s="231">
        <v>2020</v>
      </c>
      <c r="H3" s="131"/>
      <c r="I3" s="66" t="s">
        <v>556</v>
      </c>
      <c r="J3" s="233">
        <v>2019</v>
      </c>
      <c r="K3" s="67">
        <v>2020</v>
      </c>
      <c r="L3" s="131"/>
      <c r="M3" s="131"/>
    </row>
    <row r="4" spans="1:13" ht="15.75" customHeight="1" x14ac:dyDescent="0.45">
      <c r="A4" s="1" t="s">
        <v>557</v>
      </c>
      <c r="B4" s="3">
        <f>'SAS - Lufthansa'!F40</f>
        <v>21445.588459099999</v>
      </c>
      <c r="C4" s="3">
        <f>'SAS - Lufthansa'!G40</f>
        <v>49936.191511440004</v>
      </c>
      <c r="D4" s="3">
        <f>'SAS - Lufthansa'!N42</f>
        <v>38443.137999999999</v>
      </c>
      <c r="E4" s="3">
        <f>'SAS - Lufthansa'!O42</f>
        <v>42752.137000000002</v>
      </c>
      <c r="F4" s="131"/>
      <c r="G4" s="131"/>
      <c r="H4" s="131"/>
      <c r="I4" s="234" t="s">
        <v>552</v>
      </c>
      <c r="J4" s="36">
        <f>'SAS - Lufthansa'!B41/'SAS - Lufthansa'!B36</f>
        <v>5.331347728965004</v>
      </c>
      <c r="K4" s="36">
        <f>'SAS - Lufthansa'!C41/'SAS - Lufthansa'!C36</f>
        <v>4.4750238322211633</v>
      </c>
      <c r="L4" s="131"/>
      <c r="M4" s="131"/>
    </row>
    <row r="5" spans="1:13" ht="15.75" customHeight="1" x14ac:dyDescent="0.45">
      <c r="A5" s="1" t="s">
        <v>558</v>
      </c>
      <c r="B5" s="107">
        <f>'SAS - Lufthansa'!F12</f>
        <v>3090</v>
      </c>
      <c r="C5" s="107">
        <v>906.5</v>
      </c>
      <c r="D5" s="235">
        <f>E37/1000</f>
        <v>4637</v>
      </c>
      <c r="E5" s="235">
        <f>F37/1000</f>
        <v>-2803.4</v>
      </c>
      <c r="F5" s="107">
        <f>E35</f>
        <v>6732700</v>
      </c>
      <c r="G5" s="107">
        <f>F35</f>
        <v>-3629000</v>
      </c>
      <c r="H5" s="131"/>
      <c r="I5" s="236" t="s">
        <v>368</v>
      </c>
      <c r="J5" s="36">
        <f>'SAS - Lufthansa'!J44/'SAS - Lufthansa'!J39</f>
        <v>3.1594188767550704</v>
      </c>
      <c r="K5" s="36">
        <f>'SAS - Lufthansa'!K44/'SAS - Lufthansa'!K39</f>
        <v>27.467195385724587</v>
      </c>
      <c r="L5" s="131"/>
      <c r="M5" s="131"/>
    </row>
    <row r="6" spans="1:13" ht="15.75" customHeight="1" x14ac:dyDescent="0.45">
      <c r="A6" s="1" t="s">
        <v>391</v>
      </c>
      <c r="B6" s="107">
        <f>'SAS - Lufthansa'!F14</f>
        <v>1166</v>
      </c>
      <c r="C6" s="107">
        <v>-4385</v>
      </c>
      <c r="D6" s="235">
        <f>E43/1000</f>
        <v>2028.5000000000002</v>
      </c>
      <c r="E6" s="235">
        <f>F43/1000</f>
        <v>-5957.9</v>
      </c>
      <c r="F6" s="107">
        <v>714000</v>
      </c>
      <c r="G6" s="107">
        <v>-8923500</v>
      </c>
      <c r="H6" s="131"/>
      <c r="I6" s="237" t="s">
        <v>359</v>
      </c>
      <c r="J6" s="238">
        <f>'Balance sheet'!P29/'Balance sheet'!P10</f>
        <v>19.689665204004946</v>
      </c>
      <c r="K6" s="238">
        <f>'Balance sheet'!Q29/'Balance sheet'!Q10</f>
        <v>-8.4812041426371572</v>
      </c>
      <c r="L6" s="131"/>
      <c r="M6" s="131"/>
    </row>
    <row r="7" spans="1:13" ht="15.75" customHeight="1" x14ac:dyDescent="0.45">
      <c r="A7" s="1" t="s">
        <v>559</v>
      </c>
      <c r="B7" s="107"/>
      <c r="C7" s="108"/>
      <c r="D7" s="235"/>
      <c r="E7" s="108"/>
      <c r="F7" s="107">
        <f>-'Balance sheet'!P192</f>
        <v>3095600</v>
      </c>
      <c r="G7" s="107">
        <f>-'Balance sheet'!Q192</f>
        <v>2666900</v>
      </c>
      <c r="H7" s="131"/>
      <c r="I7" s="131"/>
      <c r="J7" s="131"/>
      <c r="K7" s="131"/>
      <c r="L7" s="131"/>
      <c r="M7" s="131"/>
    </row>
    <row r="8" spans="1:13" ht="15.75" customHeight="1" x14ac:dyDescent="0.45">
      <c r="A8" s="1" t="s">
        <v>560</v>
      </c>
      <c r="B8" s="107">
        <f>'SAS - Lufthansa'!B41</f>
        <v>28640</v>
      </c>
      <c r="C8" s="107">
        <f>'SAS - Lufthansa'!C41</f>
        <v>46943</v>
      </c>
      <c r="D8" s="107">
        <f>'SAS - Lufthansa'!J44</f>
        <v>32403</v>
      </c>
      <c r="E8" s="107">
        <f>'SAS - Lufthansa'!K44</f>
        <v>38097</v>
      </c>
      <c r="F8" s="107">
        <f>-'Balance sheet'!G187+'Balance sheet'!P185-'Balance sheet'!G198</f>
        <v>81217900</v>
      </c>
      <c r="G8" s="107">
        <f>-'Balance sheet'!H187+'Balance sheet'!Q185-'Balance sheet'!H198</f>
        <v>56177800</v>
      </c>
      <c r="H8" s="131"/>
      <c r="I8" s="131"/>
      <c r="J8" s="131"/>
      <c r="K8" s="131"/>
      <c r="L8" s="131"/>
      <c r="M8" s="131"/>
    </row>
    <row r="9" spans="1:13" ht="15.75" customHeight="1" x14ac:dyDescent="0.3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5.75" customHeight="1" x14ac:dyDescent="0.3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5.75" customHeight="1" x14ac:dyDescent="0.45">
      <c r="A11" s="231" t="s">
        <v>561</v>
      </c>
      <c r="B11" s="283" t="s">
        <v>552</v>
      </c>
      <c r="C11" s="284"/>
      <c r="D11" s="287" t="s">
        <v>368</v>
      </c>
      <c r="E11" s="284"/>
      <c r="F11" s="282" t="s">
        <v>562</v>
      </c>
      <c r="G11" s="285"/>
      <c r="H11" s="131"/>
      <c r="I11" s="232" t="s">
        <v>563</v>
      </c>
      <c r="J11" s="283" t="s">
        <v>552</v>
      </c>
      <c r="K11" s="284"/>
      <c r="L11" s="277" t="s">
        <v>368</v>
      </c>
      <c r="M11" s="278"/>
    </row>
    <row r="12" spans="1:13" ht="15.75" customHeight="1" x14ac:dyDescent="0.45">
      <c r="A12" s="231"/>
      <c r="B12" s="231">
        <v>2019</v>
      </c>
      <c r="C12" s="232">
        <v>2020</v>
      </c>
      <c r="D12" s="110">
        <v>2019</v>
      </c>
      <c r="E12" s="232">
        <v>2020</v>
      </c>
      <c r="F12" s="231">
        <v>2019</v>
      </c>
      <c r="G12" s="231">
        <v>2020</v>
      </c>
      <c r="H12" s="131"/>
      <c r="I12" s="232"/>
      <c r="J12" s="231">
        <v>2019</v>
      </c>
      <c r="K12" s="232">
        <v>2020</v>
      </c>
      <c r="L12" s="231">
        <v>2019</v>
      </c>
      <c r="M12" s="231">
        <v>2020</v>
      </c>
    </row>
    <row r="13" spans="1:13" ht="15.75" customHeight="1" x14ac:dyDescent="0.45">
      <c r="A13" s="1" t="s">
        <v>564</v>
      </c>
      <c r="B13" s="3">
        <f>B4/B5</f>
        <v>6.9403198896763749</v>
      </c>
      <c r="C13" s="58">
        <f>C4/C5</f>
        <v>55.086808065570878</v>
      </c>
      <c r="D13" s="239">
        <f>D4/D5</f>
        <v>8.2905193012723739</v>
      </c>
      <c r="E13" s="58">
        <f>E4/E5</f>
        <v>-15.250102375686666</v>
      </c>
      <c r="F13" s="68">
        <f>(B13+D13)/2</f>
        <v>7.6154195954743749</v>
      </c>
      <c r="G13" s="47">
        <f>(C13+E13)/2</f>
        <v>19.918352844942106</v>
      </c>
      <c r="H13" s="131"/>
      <c r="I13" s="48" t="s">
        <v>565</v>
      </c>
      <c r="J13" s="3">
        <f>'SAS - Lufthansa'!F33</f>
        <v>1568.5884590999999</v>
      </c>
      <c r="K13" s="3">
        <f>'SAS - Lufthansa'!G33</f>
        <v>13224.191511440002</v>
      </c>
      <c r="L13" s="3">
        <f>'SAS - Lufthansa'!N36</f>
        <v>7455.1379999999999</v>
      </c>
      <c r="M13" s="3">
        <f>'SAS - Lufthansa'!O36</f>
        <v>6461.1370000000006</v>
      </c>
    </row>
    <row r="14" spans="1:13" ht="15.75" customHeight="1" x14ac:dyDescent="0.45">
      <c r="A14" s="1" t="s">
        <v>566</v>
      </c>
      <c r="B14" s="38">
        <f>B4/B6</f>
        <v>18.392442932332759</v>
      </c>
      <c r="C14" s="70">
        <f>C4/C6</f>
        <v>-11.387957015151654</v>
      </c>
      <c r="D14" s="240">
        <f>D4/D6</f>
        <v>18.951509982745868</v>
      </c>
      <c r="E14" s="70">
        <f>E4/E6</f>
        <v>-7.1757057016734089</v>
      </c>
      <c r="F14" s="68">
        <f>(B14+D14)/2</f>
        <v>18.671976457539316</v>
      </c>
      <c r="G14" s="69">
        <f>(C14+E14)/2</f>
        <v>-9.281831358412532</v>
      </c>
      <c r="H14" s="131"/>
      <c r="I14" s="241" t="s">
        <v>567</v>
      </c>
      <c r="J14" s="242">
        <f>'SAS - Lufthansa'!B36</f>
        <v>5372</v>
      </c>
      <c r="K14" s="242">
        <f>'SAS - Lufthansa'!C36</f>
        <v>10490</v>
      </c>
      <c r="L14" s="3">
        <f>'SAS - Lufthansa'!J39</f>
        <v>10256</v>
      </c>
      <c r="M14" s="3">
        <f>'SAS - Lufthansa'!K39</f>
        <v>1387</v>
      </c>
    </row>
    <row r="15" spans="1:13" ht="15.75" customHeight="1" x14ac:dyDescent="0.45">
      <c r="A15" s="131"/>
      <c r="B15" s="131"/>
      <c r="C15" s="131"/>
      <c r="D15" s="131"/>
      <c r="E15" s="131"/>
      <c r="F15" s="131"/>
      <c r="G15" s="131"/>
      <c r="H15" s="131"/>
      <c r="I15" s="144" t="s">
        <v>568</v>
      </c>
      <c r="J15" s="185">
        <f t="shared" ref="J15:M15" si="0">J13/J14</f>
        <v>0.29199338404690989</v>
      </c>
      <c r="K15" s="185">
        <f t="shared" si="0"/>
        <v>1.2606474272106769</v>
      </c>
      <c r="L15" s="185">
        <f t="shared" si="0"/>
        <v>0.72690503120124805</v>
      </c>
      <c r="M15" s="185">
        <f t="shared" si="0"/>
        <v>4.6583540014419613</v>
      </c>
    </row>
    <row r="16" spans="1:13" ht="15.75" customHeight="1" x14ac:dyDescent="0.45">
      <c r="A16" s="282" t="s">
        <v>569</v>
      </c>
      <c r="B16" s="282"/>
      <c r="C16" s="282"/>
      <c r="D16" s="282"/>
      <c r="E16" s="282"/>
      <c r="F16" s="131"/>
      <c r="G16" s="131"/>
      <c r="H16" s="131"/>
      <c r="I16" s="131"/>
      <c r="J16" s="131"/>
      <c r="K16" s="131"/>
      <c r="L16" s="131"/>
      <c r="M16" s="131"/>
    </row>
    <row r="17" spans="1:13" ht="15.75" customHeight="1" x14ac:dyDescent="0.45">
      <c r="A17" s="231"/>
      <c r="B17" s="231">
        <v>2019</v>
      </c>
      <c r="C17" s="231">
        <v>2020</v>
      </c>
      <c r="D17" s="231">
        <v>2019</v>
      </c>
      <c r="E17" s="231">
        <v>2020</v>
      </c>
      <c r="F17" s="131"/>
      <c r="G17" s="131"/>
      <c r="H17" s="131"/>
      <c r="I17" s="71" t="s">
        <v>570</v>
      </c>
      <c r="J17" s="71">
        <v>2019</v>
      </c>
      <c r="K17" s="71">
        <v>2020</v>
      </c>
      <c r="L17" s="131"/>
      <c r="M17" s="131"/>
    </row>
    <row r="18" spans="1:13" ht="15.75" customHeight="1" x14ac:dyDescent="0.45">
      <c r="A18" s="1" t="s">
        <v>571</v>
      </c>
      <c r="B18" s="3">
        <f>F5*F13</f>
        <v>51272335.510450326</v>
      </c>
      <c r="C18" s="58">
        <f>G5*G13</f>
        <v>-72283702.474294901</v>
      </c>
      <c r="D18" s="3">
        <f>B18-F8+F7</f>
        <v>-26849964.489549674</v>
      </c>
      <c r="E18" s="3">
        <f>C18-G8+G7</f>
        <v>-125794602.4742949</v>
      </c>
      <c r="F18" s="131"/>
      <c r="G18" s="131"/>
      <c r="H18" s="131"/>
      <c r="I18" s="29"/>
      <c r="J18" s="72">
        <f t="shared" ref="J18" si="1">(J15+L15)/2</f>
        <v>0.50944920762407897</v>
      </c>
      <c r="K18" s="72">
        <f t="shared" ref="K18" si="2">(K15+M15)/2</f>
        <v>2.9595007143263192</v>
      </c>
      <c r="L18" s="131"/>
      <c r="M18" s="131"/>
    </row>
    <row r="19" spans="1:13" ht="15.75" customHeight="1" x14ac:dyDescent="0.45">
      <c r="A19" s="1" t="s">
        <v>572</v>
      </c>
      <c r="B19" s="3">
        <f>F6*F14</f>
        <v>13331791.190683071</v>
      </c>
      <c r="C19" s="58">
        <f>G6*G14</f>
        <v>82826422.126794234</v>
      </c>
      <c r="D19" s="3">
        <f>B19-F8+F7</f>
        <v>-64790508.809316933</v>
      </c>
      <c r="E19" s="3">
        <f>C19-G8+G7</f>
        <v>29315522.126794234</v>
      </c>
      <c r="F19" s="131"/>
      <c r="G19" s="131"/>
      <c r="H19" s="131"/>
      <c r="I19" s="282" t="s">
        <v>573</v>
      </c>
      <c r="J19" s="282"/>
      <c r="K19" s="282"/>
      <c r="L19" s="131"/>
      <c r="M19" s="131"/>
    </row>
    <row r="20" spans="1:13" ht="15.75" customHeight="1" x14ac:dyDescent="0.45">
      <c r="A20" s="243" t="s">
        <v>574</v>
      </c>
      <c r="B20" s="111"/>
      <c r="C20" s="111"/>
      <c r="D20" s="243">
        <f t="shared" ref="D20:E20" si="3">(D18+D19)/2</f>
        <v>-45820236.6494333</v>
      </c>
      <c r="E20" s="243">
        <f t="shared" si="3"/>
        <v>-48239540.173750333</v>
      </c>
      <c r="F20" s="131"/>
      <c r="G20" s="131"/>
      <c r="H20" s="131"/>
      <c r="I20" s="231"/>
      <c r="J20" s="231">
        <v>2019</v>
      </c>
      <c r="K20" s="231">
        <v>2020</v>
      </c>
      <c r="L20" s="131"/>
      <c r="M20" s="131"/>
    </row>
    <row r="21" spans="1:13" ht="15.75" customHeight="1" x14ac:dyDescent="0.45">
      <c r="A21" s="115"/>
      <c r="B21" s="111"/>
      <c r="C21" s="111"/>
      <c r="D21" s="111"/>
      <c r="E21" s="111"/>
      <c r="F21" s="131"/>
      <c r="G21" s="131"/>
      <c r="H21" s="131"/>
      <c r="I21" s="1" t="s">
        <v>575</v>
      </c>
      <c r="J21" s="3">
        <f>'Balance sheet'!P132</f>
        <v>4124900</v>
      </c>
      <c r="K21" s="3">
        <f>'Balance sheet'!Q132</f>
        <v>-6623800</v>
      </c>
      <c r="L21" s="131"/>
      <c r="M21" s="131"/>
    </row>
    <row r="22" spans="1:13" ht="15.75" customHeight="1" x14ac:dyDescent="0.35">
      <c r="A22" s="131"/>
      <c r="B22" s="131"/>
      <c r="C22" s="131"/>
      <c r="D22" s="131"/>
      <c r="E22" s="131"/>
      <c r="F22" s="131"/>
      <c r="G22" s="131"/>
      <c r="H22" s="131"/>
      <c r="I22" s="73" t="s">
        <v>576</v>
      </c>
      <c r="J22" s="112">
        <f>(J15+L15)/2</f>
        <v>0.50944920762407897</v>
      </c>
      <c r="K22" s="112">
        <f>(K15+M15)/2</f>
        <v>2.9595007143263192</v>
      </c>
      <c r="L22" s="131"/>
      <c r="M22" s="131"/>
    </row>
    <row r="23" spans="1:13" ht="15.75" customHeight="1" x14ac:dyDescent="0.45">
      <c r="A23" s="131"/>
      <c r="B23" s="131"/>
      <c r="C23" s="131"/>
      <c r="D23" s="131"/>
      <c r="E23" s="131"/>
      <c r="F23" s="131"/>
      <c r="G23" s="131"/>
      <c r="H23" s="131"/>
      <c r="I23" s="113" t="s">
        <v>339</v>
      </c>
      <c r="J23" s="114">
        <f>J21*J22</f>
        <v>2101427.0365285631</v>
      </c>
      <c r="K23" s="114">
        <f>K21*K22</f>
        <v>-19603140.831554674</v>
      </c>
      <c r="L23" s="131"/>
      <c r="M23" s="131"/>
    </row>
    <row r="24" spans="1:13" ht="15.75" customHeight="1" x14ac:dyDescent="0.45">
      <c r="A24" s="282" t="s">
        <v>577</v>
      </c>
      <c r="B24" s="282"/>
      <c r="C24" s="282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ht="15.75" customHeight="1" x14ac:dyDescent="0.45">
      <c r="A25" s="231" t="s">
        <v>578</v>
      </c>
      <c r="B25" s="231">
        <v>2019</v>
      </c>
      <c r="C25" s="231">
        <v>2020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3" ht="15.75" customHeight="1" x14ac:dyDescent="0.45">
      <c r="A26" s="1" t="s">
        <v>579</v>
      </c>
      <c r="B26" s="3">
        <f t="shared" ref="B26" si="4">D20</f>
        <v>-45820236.6494333</v>
      </c>
      <c r="C26" s="3">
        <f t="shared" ref="C26" si="5">E20</f>
        <v>-48239540.173750333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ht="15.75" customHeight="1" x14ac:dyDescent="0.45">
      <c r="A27" s="1" t="s">
        <v>580</v>
      </c>
      <c r="B27" s="3">
        <f>J23</f>
        <v>2101427.0365285631</v>
      </c>
      <c r="C27" s="3">
        <f>K23</f>
        <v>-19603140.831554674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ht="15.75" customHeight="1" x14ac:dyDescent="0.3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13" ht="15.75" customHeight="1" x14ac:dyDescent="0.3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ht="15.75" customHeight="1" x14ac:dyDescent="0.3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13" ht="15.75" customHeight="1" x14ac:dyDescent="0.3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13" ht="15.75" customHeight="1" x14ac:dyDescent="0.3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6" ht="15.75" customHeight="1" x14ac:dyDescent="0.35">
      <c r="A33" s="131"/>
      <c r="B33" s="131"/>
      <c r="C33" s="131"/>
      <c r="D33" s="131"/>
      <c r="E33" s="286" t="s">
        <v>581</v>
      </c>
      <c r="F33" s="286"/>
    </row>
    <row r="34" spans="1:6" ht="15.75" customHeight="1" x14ac:dyDescent="0.4">
      <c r="A34" s="90" t="s">
        <v>582</v>
      </c>
      <c r="B34" s="90">
        <v>2019</v>
      </c>
      <c r="C34" s="90">
        <v>2020</v>
      </c>
      <c r="D34" s="131"/>
      <c r="E34" s="90">
        <v>2019</v>
      </c>
      <c r="F34" s="90">
        <v>2020</v>
      </c>
    </row>
    <row r="35" spans="1:6" ht="15.45" x14ac:dyDescent="0.4">
      <c r="A35" s="90" t="s">
        <v>464</v>
      </c>
      <c r="B35" s="73" t="s">
        <v>583</v>
      </c>
      <c r="C35" s="88" t="s">
        <v>584</v>
      </c>
      <c r="D35" s="280" t="s">
        <v>585</v>
      </c>
      <c r="E35" s="100">
        <f>6.7327*1000000</f>
        <v>6732700</v>
      </c>
      <c r="F35" s="101">
        <f>-3.629*1000000</f>
        <v>-3629000</v>
      </c>
    </row>
    <row r="36" spans="1:6" ht="15.45" x14ac:dyDescent="0.4">
      <c r="A36" s="90" t="s">
        <v>552</v>
      </c>
      <c r="B36" s="73" t="s">
        <v>586</v>
      </c>
      <c r="C36" s="73" t="s">
        <v>587</v>
      </c>
      <c r="D36" s="281"/>
      <c r="E36" s="100">
        <f>8.5115*1000000</f>
        <v>8511500</v>
      </c>
      <c r="F36" s="100">
        <f>906.5*1000</f>
        <v>906500</v>
      </c>
    </row>
    <row r="37" spans="1:6" ht="15.45" x14ac:dyDescent="0.4">
      <c r="A37" s="90" t="s">
        <v>588</v>
      </c>
      <c r="B37" s="73" t="s">
        <v>589</v>
      </c>
      <c r="C37" s="88" t="s">
        <v>590</v>
      </c>
      <c r="D37" s="281"/>
      <c r="E37" s="100">
        <f>4.637*1000000</f>
        <v>4637000</v>
      </c>
      <c r="F37" s="101">
        <f>-2.8034*1000000</f>
        <v>-2803400</v>
      </c>
    </row>
    <row r="38" spans="1:6" ht="15.75" customHeight="1" x14ac:dyDescent="0.35">
      <c r="A38" s="131"/>
      <c r="B38" s="131"/>
      <c r="C38" s="131"/>
      <c r="D38" s="131"/>
      <c r="E38" s="131"/>
      <c r="F38" s="131"/>
    </row>
    <row r="39" spans="1:6" ht="15.75" customHeight="1" x14ac:dyDescent="0.35">
      <c r="A39" s="131"/>
      <c r="B39" s="131"/>
      <c r="C39" s="131"/>
      <c r="D39" s="131"/>
      <c r="E39" s="286" t="s">
        <v>581</v>
      </c>
      <c r="F39" s="286"/>
    </row>
    <row r="40" spans="1:6" ht="15.75" customHeight="1" x14ac:dyDescent="0.4">
      <c r="A40" s="90" t="s">
        <v>591</v>
      </c>
      <c r="B40" s="90">
        <v>2019</v>
      </c>
      <c r="C40" s="90">
        <v>2020</v>
      </c>
      <c r="D40" s="131"/>
      <c r="E40" s="90">
        <v>2019</v>
      </c>
      <c r="F40" s="90">
        <v>2020</v>
      </c>
    </row>
    <row r="41" spans="1:6" ht="16" customHeight="1" x14ac:dyDescent="0.4">
      <c r="A41" s="90" t="s">
        <v>464</v>
      </c>
      <c r="B41" s="73" t="s">
        <v>592</v>
      </c>
      <c r="C41" s="88" t="s">
        <v>593</v>
      </c>
      <c r="D41" s="280" t="s">
        <v>585</v>
      </c>
      <c r="E41" s="100">
        <f>714*1000</f>
        <v>714000</v>
      </c>
      <c r="F41" s="101">
        <f>-8.9235*1000000</f>
        <v>-8923500</v>
      </c>
    </row>
    <row r="42" spans="1:6" ht="15.45" x14ac:dyDescent="0.4">
      <c r="A42" s="90" t="s">
        <v>552</v>
      </c>
      <c r="B42" s="73" t="s">
        <v>594</v>
      </c>
      <c r="C42" s="88" t="s">
        <v>595</v>
      </c>
      <c r="D42" s="281"/>
      <c r="E42" s="100">
        <f>2.6367*1000000</f>
        <v>2636700</v>
      </c>
      <c r="F42" s="100">
        <f>-4.385*1000000</f>
        <v>-4385000</v>
      </c>
    </row>
    <row r="43" spans="1:6" ht="15.45" x14ac:dyDescent="0.4">
      <c r="A43" s="90" t="s">
        <v>588</v>
      </c>
      <c r="B43" s="73" t="s">
        <v>596</v>
      </c>
      <c r="C43" s="88" t="s">
        <v>597</v>
      </c>
      <c r="D43" s="281"/>
      <c r="E43" s="100">
        <f>2.0285*1000000</f>
        <v>2028500.0000000002</v>
      </c>
      <c r="F43" s="101">
        <f>-5.9579*1000000</f>
        <v>-5957900</v>
      </c>
    </row>
    <row r="44" spans="1:6" ht="15.75" customHeight="1" x14ac:dyDescent="0.35">
      <c r="A44" s="131"/>
      <c r="B44" s="131"/>
      <c r="C44" s="131"/>
      <c r="D44" s="131"/>
      <c r="E44" s="131"/>
      <c r="F44" s="131"/>
    </row>
    <row r="45" spans="1:6" ht="15.75" customHeight="1" x14ac:dyDescent="0.35">
      <c r="A45" s="131"/>
      <c r="B45" s="131"/>
      <c r="C45" s="131"/>
      <c r="D45" s="131"/>
      <c r="E45" s="131"/>
      <c r="F45" s="131"/>
    </row>
    <row r="46" spans="1:6" ht="15.75" customHeight="1" x14ac:dyDescent="0.35">
      <c r="A46" s="131"/>
      <c r="B46" s="131"/>
      <c r="C46" s="131"/>
      <c r="D46" s="131"/>
      <c r="E46" s="131"/>
      <c r="F46" s="131"/>
    </row>
    <row r="47" spans="1:6" ht="15.75" customHeight="1" x14ac:dyDescent="0.35">
      <c r="A47" s="131"/>
      <c r="B47" s="131"/>
      <c r="C47" s="131"/>
      <c r="D47" s="131"/>
      <c r="E47" s="131"/>
      <c r="F47" s="131"/>
    </row>
    <row r="48" spans="1:6" ht="15.75" customHeight="1" x14ac:dyDescent="0.35">
      <c r="A48" s="131"/>
      <c r="B48" s="131"/>
      <c r="C48" s="131"/>
      <c r="D48" s="131"/>
      <c r="E48" s="131"/>
      <c r="F48" s="131"/>
    </row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</sheetData>
  <mergeCells count="17">
    <mergeCell ref="D41:D43"/>
    <mergeCell ref="A1:G1"/>
    <mergeCell ref="A24:C24"/>
    <mergeCell ref="B11:C11"/>
    <mergeCell ref="D11:E11"/>
    <mergeCell ref="F11:G11"/>
    <mergeCell ref="E39:F39"/>
    <mergeCell ref="L11:M11"/>
    <mergeCell ref="J2:K2"/>
    <mergeCell ref="D35:D37"/>
    <mergeCell ref="A16:E16"/>
    <mergeCell ref="J11:K11"/>
    <mergeCell ref="B2:C2"/>
    <mergeCell ref="F2:G2"/>
    <mergeCell ref="I19:K19"/>
    <mergeCell ref="E33:F33"/>
    <mergeCell ref="D2:E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988"/>
  <sheetViews>
    <sheetView zoomScale="75" workbookViewId="0">
      <selection sqref="A1:C1"/>
    </sheetView>
  </sheetViews>
  <sheetFormatPr defaultColWidth="11.3125" defaultRowHeight="15" customHeight="1" x14ac:dyDescent="0.45"/>
  <cols>
    <col min="1" max="1" width="35" style="93" customWidth="1"/>
    <col min="2" max="2" width="14.4375" style="93" customWidth="1"/>
    <col min="3" max="3" width="27" style="93" customWidth="1"/>
    <col min="4" max="4" width="19.6875" style="93" customWidth="1"/>
    <col min="5" max="5" width="22" style="93" bestFit="1" customWidth="1"/>
    <col min="6" max="6" width="17.125" style="93" bestFit="1" customWidth="1"/>
    <col min="7" max="7" width="23.125" style="93" bestFit="1" customWidth="1"/>
    <col min="8" max="8" width="21.6875" style="93" customWidth="1"/>
    <col min="9" max="26" width="10.5625" style="93" customWidth="1"/>
    <col min="27" max="16384" width="11.3125" style="93"/>
  </cols>
  <sheetData>
    <row r="1" spans="1:26" ht="15.75" customHeight="1" x14ac:dyDescent="0.45">
      <c r="A1" s="250" t="s">
        <v>359</v>
      </c>
      <c r="B1" s="250"/>
      <c r="C1" s="25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45">
      <c r="A2" s="244" t="s">
        <v>598</v>
      </c>
      <c r="B2" s="245" t="s">
        <v>599</v>
      </c>
      <c r="C2" s="94" t="s">
        <v>600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45">
      <c r="A3" s="93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45">
      <c r="A4" s="93" t="s">
        <v>601</v>
      </c>
      <c r="B4" s="13">
        <f>B65+B51+B52+B53+B55+B56</f>
        <v>39930300</v>
      </c>
      <c r="C4" s="13">
        <f>E26</f>
        <v>17339662.5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45">
      <c r="A5" s="93" t="s">
        <v>602</v>
      </c>
      <c r="B5" s="3">
        <f>B49</f>
        <v>200900</v>
      </c>
      <c r="C5" s="13">
        <f>C36</f>
        <v>32250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45">
      <c r="A6" s="93" t="s">
        <v>603</v>
      </c>
      <c r="B6" s="3">
        <f>B70</f>
        <v>2666900</v>
      </c>
      <c r="C6" s="3">
        <f>-'Balance sheet'!Q192</f>
        <v>2666900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45">
      <c r="A7" s="93" t="s">
        <v>604</v>
      </c>
      <c r="B7" s="3">
        <f>B59</f>
        <v>3700</v>
      </c>
      <c r="C7" s="3">
        <f>B7</f>
        <v>3700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45">
      <c r="A8" s="93" t="s">
        <v>605</v>
      </c>
      <c r="B8" s="3">
        <f>B66</f>
        <v>64099.999999999993</v>
      </c>
      <c r="C8" s="13">
        <f>C38</f>
        <v>16025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45">
      <c r="A9" s="93" t="s">
        <v>606</v>
      </c>
      <c r="B9" s="3">
        <f>B67+B62</f>
        <v>4641400</v>
      </c>
      <c r="C9" s="93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02" customFormat="1" ht="15.75" customHeight="1" x14ac:dyDescent="0.45">
      <c r="A10" s="102" t="s">
        <v>607</v>
      </c>
      <c r="B10" s="103">
        <f>B50+B60</f>
        <v>2046600</v>
      </c>
      <c r="C10" s="102">
        <v>0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15.75" customHeight="1" x14ac:dyDescent="0.45">
      <c r="A11" s="94" t="s">
        <v>608</v>
      </c>
      <c r="B11" s="74">
        <f>SUM(B4:B10)</f>
        <v>49553900</v>
      </c>
      <c r="C11" s="74">
        <f>SUM(C4:C10)</f>
        <v>20058537.5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45">
      <c r="A12" s="93" t="s">
        <v>609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45">
      <c r="A13" s="93" t="s">
        <v>610</v>
      </c>
      <c r="B13" s="79">
        <f>D66+D58+D62+D64+D70</f>
        <v>9050100</v>
      </c>
      <c r="C13" s="3">
        <f>B13</f>
        <v>9050100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45">
      <c r="A14" s="93" t="s">
        <v>611</v>
      </c>
      <c r="B14" s="3">
        <f>D68</f>
        <v>10328800</v>
      </c>
      <c r="C14" s="3">
        <f>-'Balance sheet'!H194</f>
        <v>10328800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45">
      <c r="A15" s="94" t="s">
        <v>612</v>
      </c>
      <c r="B15" s="99">
        <f>SUM(B13:B14)</f>
        <v>19378900</v>
      </c>
      <c r="C15" s="75">
        <f>SUM(C13:C14)</f>
        <v>19378900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45">
      <c r="A16" s="95" t="s">
        <v>613</v>
      </c>
      <c r="B16" s="96"/>
      <c r="C16" s="76">
        <f>C11-C15</f>
        <v>679637.5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45">
      <c r="A21" s="248" t="s">
        <v>614</v>
      </c>
      <c r="B21" s="248"/>
      <c r="C21" s="248"/>
      <c r="D21" s="248"/>
      <c r="E21" s="24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5">
      <c r="A22" s="244" t="s">
        <v>615</v>
      </c>
      <c r="B22" s="245" t="s">
        <v>616</v>
      </c>
      <c r="C22" s="94" t="s">
        <v>617</v>
      </c>
      <c r="D22" s="94" t="s">
        <v>618</v>
      </c>
      <c r="E22" s="94" t="s">
        <v>619</v>
      </c>
      <c r="F22" s="94" t="s">
        <v>620</v>
      </c>
      <c r="G22" s="94" t="s">
        <v>621</v>
      </c>
      <c r="H22" s="1" t="s">
        <v>622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6" ht="15.75" customHeight="1" x14ac:dyDescent="0.45">
      <c r="A23" s="93" t="s">
        <v>623</v>
      </c>
      <c r="B23" s="93">
        <v>30</v>
      </c>
      <c r="C23" s="77">
        <f>22.5*1000000</f>
        <v>22500000</v>
      </c>
      <c r="D23" s="13">
        <f>(C23*F28)/1000</f>
        <v>192093.75</v>
      </c>
      <c r="E23" s="13">
        <f>D23*B23</f>
        <v>5762812.5</v>
      </c>
      <c r="F23" s="105">
        <f>((89.1+106.1)/2)*1000000</f>
        <v>97600000</v>
      </c>
      <c r="G23" s="105">
        <f>(F23*F28)/1000</f>
        <v>833260</v>
      </c>
      <c r="H23" s="1" t="s">
        <v>624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6" ht="15.75" customHeight="1" x14ac:dyDescent="0.45">
      <c r="A24" s="93" t="s">
        <v>625</v>
      </c>
      <c r="B24" s="93">
        <v>14</v>
      </c>
      <c r="C24" s="97">
        <v>1000000</v>
      </c>
      <c r="D24" s="13">
        <f>(C24*F28)/1000</f>
        <v>8537.5</v>
      </c>
      <c r="E24" s="13">
        <f>D24*B24</f>
        <v>119525</v>
      </c>
      <c r="F24" s="106">
        <f>121.6*1000000</f>
        <v>121600000</v>
      </c>
      <c r="G24" s="105">
        <f>(F24*F28)/1000</f>
        <v>1038160</v>
      </c>
      <c r="H24" s="1" t="s">
        <v>626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6" ht="15.75" customHeight="1" x14ac:dyDescent="0.45">
      <c r="A25" s="93" t="s">
        <v>627</v>
      </c>
      <c r="B25" s="93">
        <v>11</v>
      </c>
      <c r="C25" s="77">
        <f>122*1000000</f>
        <v>122000000</v>
      </c>
      <c r="D25" s="13">
        <f>(C25*F28)/1000</f>
        <v>1041575</v>
      </c>
      <c r="E25" s="13">
        <f>D25*B25</f>
        <v>11457325</v>
      </c>
      <c r="F25" s="105">
        <f>((248.3+292.5)/2)*1000000</f>
        <v>270400000</v>
      </c>
      <c r="G25" s="105">
        <f>(F25*F28)/1000</f>
        <v>2308540</v>
      </c>
      <c r="H25" s="1" t="s">
        <v>628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6" ht="15.75" customHeight="1" x14ac:dyDescent="0.45">
      <c r="A26" s="246" t="s">
        <v>629</v>
      </c>
      <c r="B26" s="182">
        <f t="shared" ref="B26:E26" si="0">SUM(B23:B25)</f>
        <v>55</v>
      </c>
      <c r="C26" s="177">
        <f t="shared" si="0"/>
        <v>145500000</v>
      </c>
      <c r="D26" s="177">
        <f t="shared" si="0"/>
        <v>1242206.25</v>
      </c>
      <c r="E26" s="177">
        <f t="shared" si="0"/>
        <v>17339662.5</v>
      </c>
      <c r="F26" s="247">
        <f>SUM(F23:F25)</f>
        <v>489600000</v>
      </c>
      <c r="G26" s="247">
        <f>SUM(G23:G25)</f>
        <v>4179960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6" ht="15.75" customHeight="1" x14ac:dyDescent="0.45">
      <c r="B27" s="1"/>
      <c r="E27" s="8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5">
      <c r="B28" s="1"/>
      <c r="E28" s="98"/>
      <c r="F28" s="93">
        <v>8.5374999999999996</v>
      </c>
      <c r="G28" s="93" t="s">
        <v>630</v>
      </c>
      <c r="H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5">
      <c r="A30" s="248" t="s">
        <v>631</v>
      </c>
      <c r="B30" s="289"/>
      <c r="C30" s="28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5">
      <c r="A31" s="244" t="s">
        <v>632</v>
      </c>
      <c r="B31" s="245" t="s">
        <v>633</v>
      </c>
      <c r="C31" s="94" t="s">
        <v>600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5">
      <c r="A32" s="93" t="s">
        <v>634</v>
      </c>
      <c r="B32" s="77"/>
      <c r="C32" s="1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5">
      <c r="A33" s="93" t="s">
        <v>635</v>
      </c>
      <c r="B33" s="77">
        <f>43*1000</f>
        <v>43000</v>
      </c>
      <c r="C33" s="13">
        <f>B33*0.75</f>
        <v>32250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5">
      <c r="A34" s="93" t="s">
        <v>636</v>
      </c>
      <c r="B34" s="77">
        <f>104.2*1000</f>
        <v>104200</v>
      </c>
      <c r="C34" s="77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5">
      <c r="A35" s="93" t="s">
        <v>637</v>
      </c>
      <c r="B35" s="13">
        <f>53.8*1000</f>
        <v>53800</v>
      </c>
      <c r="C35" s="77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5">
      <c r="A36" s="94" t="s">
        <v>164</v>
      </c>
      <c r="B36" s="74">
        <f t="shared" ref="B36:C36" si="1">SUM(B33:B35)</f>
        <v>201000</v>
      </c>
      <c r="C36" s="74">
        <f t="shared" si="1"/>
        <v>32250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5">
      <c r="A37" s="1" t="s">
        <v>638</v>
      </c>
      <c r="B37" s="1"/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5">
      <c r="A38" s="93" t="s">
        <v>639</v>
      </c>
      <c r="B38" s="109">
        <v>64100</v>
      </c>
      <c r="C38" s="87">
        <f>0.25*B38</f>
        <v>16025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5">
      <c r="A39" s="94" t="s">
        <v>164</v>
      </c>
      <c r="B39" s="74">
        <f>B38</f>
        <v>64100</v>
      </c>
      <c r="C39" s="74">
        <f>C38</f>
        <v>16025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5">
      <c r="A42" s="248" t="s">
        <v>640</v>
      </c>
      <c r="B42" s="289"/>
      <c r="C42" s="28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5">
      <c r="A43" s="244" t="s">
        <v>632</v>
      </c>
      <c r="B43" s="245" t="s">
        <v>633</v>
      </c>
      <c r="C43" s="9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5">
      <c r="A48" s="137" t="s">
        <v>56</v>
      </c>
      <c r="B48" s="92">
        <v>2020</v>
      </c>
      <c r="C48" s="137" t="s">
        <v>57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5">
      <c r="A49" s="1" t="s">
        <v>58</v>
      </c>
      <c r="B49" s="3">
        <f>200.9*1000</f>
        <v>200900</v>
      </c>
      <c r="C49" s="1" t="s">
        <v>59</v>
      </c>
      <c r="D49" s="3">
        <f>397.5*1000</f>
        <v>397500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1" t="s">
        <v>60</v>
      </c>
      <c r="B50" s="3">
        <f>1966.2*1000</f>
        <v>1966200</v>
      </c>
      <c r="C50" s="1" t="s">
        <v>61</v>
      </c>
      <c r="D50" s="3">
        <f>18805.1*1000</f>
        <v>18805100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1" t="s">
        <v>62</v>
      </c>
      <c r="B51" s="3">
        <v>6129600</v>
      </c>
      <c r="C51" s="1" t="s">
        <v>63</v>
      </c>
      <c r="D51" s="3">
        <f>943.5*1000</f>
        <v>943500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1" t="s">
        <v>64</v>
      </c>
      <c r="B52" s="3">
        <v>2791400</v>
      </c>
      <c r="C52" s="1" t="s">
        <v>65</v>
      </c>
      <c r="D52" s="3">
        <f>112.8*1000</f>
        <v>112800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1" t="s">
        <v>66</v>
      </c>
      <c r="B53" s="3">
        <f>163.2*1000</f>
        <v>163200</v>
      </c>
      <c r="C53" s="1" t="s">
        <v>67</v>
      </c>
      <c r="D53" s="3">
        <f>-26882.7*1000</f>
        <v>-26882700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1" t="s">
        <v>68</v>
      </c>
      <c r="B54" s="3"/>
      <c r="C54" s="144" t="s">
        <v>69</v>
      </c>
      <c r="D54" s="139">
        <f t="shared" ref="D54" si="2">SUM(D49:D53)</f>
        <v>-6623800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1" t="s">
        <v>70</v>
      </c>
      <c r="B55" s="3">
        <f>252.4*1000</f>
        <v>252400</v>
      </c>
      <c r="C55" s="1" t="s">
        <v>71</v>
      </c>
      <c r="D55" s="3">
        <v>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5">
      <c r="A56" s="1" t="s">
        <v>72</v>
      </c>
      <c r="B56" s="3">
        <f>216.6*1000</f>
        <v>216600</v>
      </c>
      <c r="C56" s="144" t="s">
        <v>73</v>
      </c>
      <c r="D56" s="139">
        <f t="shared" ref="D56" si="3">D54+D55</f>
        <v>-6623800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5">
      <c r="A57" s="1" t="s">
        <v>74</v>
      </c>
      <c r="B57" s="3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1" t="s">
        <v>75</v>
      </c>
      <c r="B58" s="3"/>
      <c r="C58" s="1" t="s">
        <v>76</v>
      </c>
      <c r="D58" s="3">
        <f>227.8*1000</f>
        <v>227800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 t="s">
        <v>77</v>
      </c>
      <c r="B59" s="3">
        <f>3.7*1000</f>
        <v>3700</v>
      </c>
      <c r="C59" s="1" t="s">
        <v>78</v>
      </c>
      <c r="D59" s="3">
        <f>1598.8*1000</f>
        <v>1598800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 t="s">
        <v>79</v>
      </c>
      <c r="B60" s="3">
        <f>80.4*1000</f>
        <v>80400</v>
      </c>
      <c r="C60" s="1" t="s">
        <v>80</v>
      </c>
      <c r="D60" s="3">
        <f>13.9*1000</f>
        <v>13900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 t="s">
        <v>81</v>
      </c>
      <c r="B61" s="3">
        <v>0</v>
      </c>
      <c r="C61" s="1" t="s">
        <v>82</v>
      </c>
      <c r="D61" s="3">
        <f>650*1000</f>
        <v>650000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" t="s">
        <v>83</v>
      </c>
      <c r="B62" s="3">
        <f>62.6*1000</f>
        <v>62600</v>
      </c>
      <c r="C62" s="1" t="s">
        <v>84</v>
      </c>
      <c r="D62" s="18"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44" t="s">
        <v>85</v>
      </c>
      <c r="B63" s="139">
        <f t="shared" ref="B63" si="4">SUM(B49:B62)</f>
        <v>11867000</v>
      </c>
      <c r="C63" s="1" t="s">
        <v>86</v>
      </c>
      <c r="D63" s="3">
        <v>185700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"/>
      <c r="B64" s="3"/>
      <c r="C64" s="1" t="s">
        <v>87</v>
      </c>
      <c r="D64" s="3">
        <f>3.2*1000</f>
        <v>3200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" t="s">
        <v>88</v>
      </c>
      <c r="B65" s="3">
        <v>30377100</v>
      </c>
      <c r="C65" s="144" t="s">
        <v>89</v>
      </c>
      <c r="D65" s="139">
        <f t="shared" ref="D65" si="5">SUM(D58:D64)</f>
        <v>2679400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" t="s">
        <v>90</v>
      </c>
      <c r="B66" s="3">
        <v>64099.999999999993</v>
      </c>
      <c r="C66" s="1" t="s">
        <v>84</v>
      </c>
      <c r="D66" s="18">
        <v>8769900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 t="s">
        <v>91</v>
      </c>
      <c r="B67" s="3">
        <v>4578800</v>
      </c>
      <c r="C67" s="1" t="s">
        <v>86</v>
      </c>
      <c r="D67" s="3">
        <v>3165400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 t="s">
        <v>75</v>
      </c>
      <c r="B68" s="3">
        <v>0</v>
      </c>
      <c r="C68" s="1" t="s">
        <v>92</v>
      </c>
      <c r="D68" s="3">
        <f>10328.8*1000</f>
        <v>10328800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" t="s">
        <v>93</v>
      </c>
      <c r="B69" s="3">
        <v>0</v>
      </c>
      <c r="C69" s="1" t="s">
        <v>94</v>
      </c>
      <c r="D69" s="3">
        <v>401500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 t="s">
        <v>95</v>
      </c>
      <c r="B70" s="3">
        <v>2666900</v>
      </c>
      <c r="C70" s="1" t="s">
        <v>75</v>
      </c>
      <c r="D70" s="3">
        <f>49.2*1000</f>
        <v>49200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44" t="s">
        <v>96</v>
      </c>
      <c r="B71" s="139">
        <f t="shared" ref="B71" si="6">SUM(B65:B70)</f>
        <v>37686900</v>
      </c>
      <c r="C71" s="1" t="s">
        <v>97</v>
      </c>
      <c r="D71" s="3">
        <f>15.8*1000</f>
        <v>15800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/>
      <c r="B72" s="3"/>
      <c r="C72" s="1" t="s">
        <v>98</v>
      </c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44" t="s">
        <v>99</v>
      </c>
      <c r="B73" s="139">
        <f t="shared" ref="B73" si="7">B63+B71</f>
        <v>49553900</v>
      </c>
      <c r="C73" s="1" t="s">
        <v>100</v>
      </c>
      <c r="D73" s="3">
        <v>30767800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/>
      <c r="B74" s="1"/>
      <c r="C74" s="144" t="s">
        <v>101</v>
      </c>
      <c r="D74" s="139">
        <f>SUM(D66:D73)</f>
        <v>53498400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/>
      <c r="B75" s="1"/>
      <c r="C75" s="144" t="s">
        <v>102</v>
      </c>
      <c r="D75" s="139">
        <f t="shared" ref="D75" si="8">D65+D74</f>
        <v>56177800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/>
      <c r="B76" s="1"/>
      <c r="C76" s="144"/>
      <c r="D76" s="13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/>
      <c r="B77" s="1"/>
      <c r="C77" s="144" t="s">
        <v>103</v>
      </c>
      <c r="D77" s="139">
        <f t="shared" ref="D77" si="9">D56+D75</f>
        <v>49554000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</sheetData>
  <mergeCells count="4">
    <mergeCell ref="A1:C1"/>
    <mergeCell ref="A30:C30"/>
    <mergeCell ref="A42:C42"/>
    <mergeCell ref="A21:E21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AD8"/>
  </sheetPr>
  <dimension ref="A1:P4"/>
  <sheetViews>
    <sheetView showGridLines="0" zoomScale="89" workbookViewId="0">
      <selection sqref="A1:D1"/>
    </sheetView>
  </sheetViews>
  <sheetFormatPr defaultColWidth="11.5625" defaultRowHeight="15" x14ac:dyDescent="0.35"/>
  <cols>
    <col min="2" max="10" width="5" bestFit="1" customWidth="1"/>
    <col min="11" max="11" width="5.5625" bestFit="1" customWidth="1"/>
    <col min="12" max="13" width="5" bestFit="1" customWidth="1"/>
    <col min="14" max="16" width="5.5625" bestFit="1" customWidth="1"/>
  </cols>
  <sheetData>
    <row r="1" spans="1:16" ht="15.45" x14ac:dyDescent="0.4">
      <c r="A1" s="290" t="s">
        <v>641</v>
      </c>
      <c r="B1" s="290"/>
      <c r="C1" s="290"/>
      <c r="D1" s="29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3" spans="1:16" x14ac:dyDescent="0.35">
      <c r="A3" s="73" t="s">
        <v>642</v>
      </c>
      <c r="B3" s="131">
        <v>2005</v>
      </c>
      <c r="C3" s="131">
        <v>2006</v>
      </c>
      <c r="D3" s="131">
        <v>2007</v>
      </c>
      <c r="E3" s="131">
        <v>2008</v>
      </c>
      <c r="F3" s="131">
        <v>2009</v>
      </c>
      <c r="G3" s="131">
        <v>2010</v>
      </c>
      <c r="H3" s="131">
        <v>2011</v>
      </c>
      <c r="I3" s="131">
        <v>2012</v>
      </c>
      <c r="J3" s="131">
        <v>2013</v>
      </c>
      <c r="K3" s="131">
        <v>2014</v>
      </c>
      <c r="L3" s="131">
        <v>2015</v>
      </c>
      <c r="M3" s="131">
        <v>2016</v>
      </c>
      <c r="N3" s="131">
        <v>2017</v>
      </c>
      <c r="O3" s="131">
        <v>2018</v>
      </c>
      <c r="P3" s="131">
        <v>2019</v>
      </c>
    </row>
    <row r="4" spans="1:16" x14ac:dyDescent="0.35">
      <c r="A4" s="73" t="s">
        <v>643</v>
      </c>
      <c r="B4" s="131">
        <v>28</v>
      </c>
      <c r="C4" s="131">
        <v>-22</v>
      </c>
      <c r="D4" s="131">
        <v>84.6</v>
      </c>
      <c r="E4" s="131">
        <v>3.9</v>
      </c>
      <c r="F4" s="131">
        <v>446.3</v>
      </c>
      <c r="G4" s="131">
        <v>170.9</v>
      </c>
      <c r="H4" s="131">
        <v>122.1</v>
      </c>
      <c r="I4" s="131">
        <v>456.7</v>
      </c>
      <c r="J4" s="131">
        <v>321.60000000000002</v>
      </c>
      <c r="K4" s="131">
        <v>-1069.8</v>
      </c>
      <c r="L4" s="131">
        <v>246.2</v>
      </c>
      <c r="M4" s="131">
        <v>1135</v>
      </c>
      <c r="N4" s="131">
        <v>-1793.7</v>
      </c>
      <c r="O4" s="131">
        <v>-1454.1</v>
      </c>
      <c r="P4" s="131">
        <v>-1609.1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93"/>
  <sheetViews>
    <sheetView zoomScale="50" workbookViewId="0">
      <selection sqref="A1:Q1"/>
    </sheetView>
  </sheetViews>
  <sheetFormatPr defaultColWidth="11.3125" defaultRowHeight="15" customHeight="1" x14ac:dyDescent="0.35"/>
  <cols>
    <col min="1" max="1" width="38.875" customWidth="1"/>
    <col min="2" max="8" width="13.125" customWidth="1"/>
    <col min="9" max="9" width="3.6875" customWidth="1"/>
    <col min="10" max="10" width="56.3125" customWidth="1"/>
    <col min="11" max="17" width="13.125" customWidth="1"/>
    <col min="18" max="18" width="12.875" customWidth="1"/>
    <col min="19" max="26" width="10.5625" customWidth="1"/>
  </cols>
  <sheetData>
    <row r="1" spans="1:26" ht="15.75" customHeight="1" x14ac:dyDescent="0.45">
      <c r="A1" s="250" t="s">
        <v>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45">
      <c r="A2" s="137" t="s">
        <v>56</v>
      </c>
      <c r="B2" s="137">
        <v>2014</v>
      </c>
      <c r="C2" s="137">
        <v>2015</v>
      </c>
      <c r="D2" s="137">
        <v>2016</v>
      </c>
      <c r="E2" s="137">
        <v>2017</v>
      </c>
      <c r="F2" s="137">
        <v>2018</v>
      </c>
      <c r="G2" s="137">
        <v>2019</v>
      </c>
      <c r="H2" s="137">
        <v>2020</v>
      </c>
      <c r="I2" s="132"/>
      <c r="J2" s="137" t="s">
        <v>57</v>
      </c>
      <c r="K2" s="137">
        <v>2014</v>
      </c>
      <c r="L2" s="137">
        <v>2015</v>
      </c>
      <c r="M2" s="137">
        <v>2016</v>
      </c>
      <c r="N2" s="137">
        <v>2017</v>
      </c>
      <c r="O2" s="137">
        <v>2018</v>
      </c>
      <c r="P2" s="137">
        <v>2019</v>
      </c>
      <c r="Q2" s="137">
        <v>2020</v>
      </c>
      <c r="R2" s="132"/>
      <c r="S2" s="1"/>
      <c r="T2" s="132"/>
      <c r="U2" s="132"/>
      <c r="V2" s="132"/>
      <c r="W2" s="132"/>
      <c r="X2" s="132"/>
      <c r="Y2" s="132"/>
      <c r="Z2" s="132"/>
    </row>
    <row r="3" spans="1:26" ht="15.75" customHeight="1" x14ac:dyDescent="0.45">
      <c r="A3" s="1" t="s">
        <v>58</v>
      </c>
      <c r="B3" s="3">
        <v>206826</v>
      </c>
      <c r="C3" s="3">
        <v>206675</v>
      </c>
      <c r="D3" s="3">
        <v>198260</v>
      </c>
      <c r="E3" s="3">
        <v>201383</v>
      </c>
      <c r="F3" s="3">
        <v>212300</v>
      </c>
      <c r="G3" s="3">
        <v>198200</v>
      </c>
      <c r="H3" s="3">
        <f>200.9*1000</f>
        <v>200900</v>
      </c>
      <c r="I3" s="1"/>
      <c r="J3" s="1" t="s">
        <v>59</v>
      </c>
      <c r="K3" s="3">
        <v>3516</v>
      </c>
      <c r="L3" s="3">
        <v>3576</v>
      </c>
      <c r="M3" s="3">
        <v>3576</v>
      </c>
      <c r="N3" s="3">
        <v>3576</v>
      </c>
      <c r="O3" s="3">
        <v>4500</v>
      </c>
      <c r="P3" s="3">
        <v>16300</v>
      </c>
      <c r="Q3" s="3">
        <f>397.5*1000</f>
        <v>397500</v>
      </c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45">
      <c r="A4" s="1" t="s">
        <v>60</v>
      </c>
      <c r="B4" s="3">
        <v>518915</v>
      </c>
      <c r="C4" s="3">
        <v>593626</v>
      </c>
      <c r="D4" s="3">
        <v>241499</v>
      </c>
      <c r="E4" s="3">
        <v>1018927</v>
      </c>
      <c r="F4" s="3">
        <v>2673800</v>
      </c>
      <c r="G4" s="3">
        <v>2672400</v>
      </c>
      <c r="H4" s="3">
        <f>1966.2*1000</f>
        <v>1966200</v>
      </c>
      <c r="I4" s="1"/>
      <c r="J4" s="1" t="s">
        <v>61</v>
      </c>
      <c r="K4" s="3">
        <v>1093549</v>
      </c>
      <c r="L4" s="3">
        <v>1231632</v>
      </c>
      <c r="M4" s="3">
        <v>1231631</v>
      </c>
      <c r="N4" s="3">
        <v>1231631</v>
      </c>
      <c r="O4" s="3">
        <v>2686700</v>
      </c>
      <c r="P4" s="3">
        <v>6664100</v>
      </c>
      <c r="Q4" s="3">
        <f>18805.1*1000</f>
        <v>18805100</v>
      </c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45">
      <c r="A5" s="1" t="s">
        <v>62</v>
      </c>
      <c r="B5" s="3">
        <v>12527932</v>
      </c>
      <c r="C5" s="3">
        <v>18507706</v>
      </c>
      <c r="D5" s="3">
        <v>22571775</v>
      </c>
      <c r="E5" s="3">
        <v>25861883</v>
      </c>
      <c r="F5" s="3">
        <v>31064200</v>
      </c>
      <c r="G5" s="3">
        <v>27392000</v>
      </c>
      <c r="H5" s="3">
        <v>6129600</v>
      </c>
      <c r="I5" s="1"/>
      <c r="J5" s="1" t="s">
        <v>63</v>
      </c>
      <c r="K5" s="3">
        <v>87221</v>
      </c>
      <c r="L5" s="3">
        <v>94362</v>
      </c>
      <c r="M5" s="3">
        <v>110621</v>
      </c>
      <c r="N5" s="3">
        <v>127769</v>
      </c>
      <c r="O5" s="3">
        <v>132900</v>
      </c>
      <c r="P5" s="3">
        <v>149200</v>
      </c>
      <c r="Q5" s="3">
        <f>943.5*1000</f>
        <v>943500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45">
      <c r="A6" s="1" t="s">
        <v>64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33245400</v>
      </c>
      <c r="H6" s="3">
        <v>2791400</v>
      </c>
      <c r="I6" s="1"/>
      <c r="J6" s="1" t="s">
        <v>65</v>
      </c>
      <c r="K6" s="3">
        <v>455099</v>
      </c>
      <c r="L6" s="3">
        <v>876192</v>
      </c>
      <c r="M6" s="3">
        <v>773112</v>
      </c>
      <c r="N6" s="3">
        <v>641437</v>
      </c>
      <c r="O6" s="3">
        <v>1011700</v>
      </c>
      <c r="P6" s="3">
        <v>1085500</v>
      </c>
      <c r="Q6" s="3">
        <f>112.8*1000</f>
        <v>112800</v>
      </c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45">
      <c r="A7" s="1" t="s">
        <v>66</v>
      </c>
      <c r="B7" s="3">
        <v>83687</v>
      </c>
      <c r="C7" s="3">
        <v>79508</v>
      </c>
      <c r="D7" s="3">
        <v>88361</v>
      </c>
      <c r="E7" s="3">
        <v>90458</v>
      </c>
      <c r="F7" s="3">
        <v>211400</v>
      </c>
      <c r="G7" s="3">
        <v>197900</v>
      </c>
      <c r="H7" s="3">
        <f>163.2*1000</f>
        <v>163200</v>
      </c>
      <c r="I7" s="1"/>
      <c r="J7" s="1" t="s">
        <v>67</v>
      </c>
      <c r="K7" s="3">
        <v>468866</v>
      </c>
      <c r="L7" s="3">
        <v>759550</v>
      </c>
      <c r="M7" s="3">
        <v>1919266</v>
      </c>
      <c r="N7" s="3">
        <v>81666</v>
      </c>
      <c r="O7" s="3">
        <v>-2148600</v>
      </c>
      <c r="P7" s="3">
        <v>-3814000</v>
      </c>
      <c r="Q7" s="3">
        <f>-26882.7*1000</f>
        <v>-26882700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45">
      <c r="A8" s="1" t="s">
        <v>68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35700</v>
      </c>
      <c r="H8" s="3"/>
      <c r="I8" s="1"/>
      <c r="J8" s="144" t="s">
        <v>69</v>
      </c>
      <c r="K8" s="139">
        <f t="shared" ref="K8:Q8" si="0">SUM(K3:K7)</f>
        <v>2108251</v>
      </c>
      <c r="L8" s="139">
        <f t="shared" si="0"/>
        <v>2965312</v>
      </c>
      <c r="M8" s="139">
        <f t="shared" si="0"/>
        <v>4038206</v>
      </c>
      <c r="N8" s="139">
        <f t="shared" si="0"/>
        <v>2086079</v>
      </c>
      <c r="O8" s="139">
        <f t="shared" si="0"/>
        <v>1687200</v>
      </c>
      <c r="P8" s="139">
        <f t="shared" si="0"/>
        <v>4101100</v>
      </c>
      <c r="Q8" s="139">
        <f t="shared" si="0"/>
        <v>-6623800</v>
      </c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45">
      <c r="A9" s="1" t="s">
        <v>70</v>
      </c>
      <c r="B9" s="3">
        <v>252236</v>
      </c>
      <c r="C9" s="3">
        <v>285674</v>
      </c>
      <c r="D9" s="3">
        <v>283236</v>
      </c>
      <c r="E9" s="3">
        <v>279463</v>
      </c>
      <c r="F9" s="3">
        <v>269400</v>
      </c>
      <c r="G9" s="3">
        <v>263700</v>
      </c>
      <c r="H9" s="3">
        <f>252.4*1000</f>
        <v>252400</v>
      </c>
      <c r="I9" s="1"/>
      <c r="J9" s="1" t="s">
        <v>71</v>
      </c>
      <c r="K9" s="3">
        <v>0</v>
      </c>
      <c r="L9" s="3">
        <v>0</v>
      </c>
      <c r="M9" s="3">
        <v>10770</v>
      </c>
      <c r="N9" s="3">
        <v>12328</v>
      </c>
      <c r="O9" s="3">
        <v>17300</v>
      </c>
      <c r="P9" s="3">
        <v>23800</v>
      </c>
      <c r="Q9" s="3">
        <v>0</v>
      </c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45">
      <c r="A10" s="1" t="s">
        <v>72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297300</v>
      </c>
      <c r="H10" s="3">
        <f>216.6*1000</f>
        <v>216600</v>
      </c>
      <c r="I10" s="1"/>
      <c r="J10" s="144" t="s">
        <v>73</v>
      </c>
      <c r="K10" s="139">
        <f t="shared" ref="K10:Q10" si="1">K8+K9</f>
        <v>2108251</v>
      </c>
      <c r="L10" s="139">
        <f t="shared" si="1"/>
        <v>2965312</v>
      </c>
      <c r="M10" s="139">
        <f t="shared" si="1"/>
        <v>4048976</v>
      </c>
      <c r="N10" s="139">
        <f t="shared" si="1"/>
        <v>2098407</v>
      </c>
      <c r="O10" s="139">
        <f t="shared" si="1"/>
        <v>1704500</v>
      </c>
      <c r="P10" s="139">
        <f t="shared" si="1"/>
        <v>4124900</v>
      </c>
      <c r="Q10" s="139">
        <f t="shared" si="1"/>
        <v>-6623800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45">
      <c r="A11" s="1" t="s">
        <v>74</v>
      </c>
      <c r="B11" s="3">
        <v>19234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/>
      <c r="I11" s="1"/>
      <c r="J11" s="1"/>
      <c r="K11" s="3"/>
      <c r="L11" s="3"/>
      <c r="M11" s="3"/>
      <c r="N11" s="3"/>
      <c r="O11" s="3"/>
      <c r="P11" s="3"/>
      <c r="Q11" s="3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45">
      <c r="A12" s="1" t="s">
        <v>75</v>
      </c>
      <c r="B12" s="3">
        <v>0</v>
      </c>
      <c r="C12" s="3">
        <v>0</v>
      </c>
      <c r="D12" s="3">
        <v>114476</v>
      </c>
      <c r="E12" s="3">
        <v>31016</v>
      </c>
      <c r="F12" s="3">
        <v>3500</v>
      </c>
      <c r="G12" s="3">
        <v>0</v>
      </c>
      <c r="H12" s="3"/>
      <c r="I12" s="1"/>
      <c r="J12" s="1" t="s">
        <v>76</v>
      </c>
      <c r="K12" s="3">
        <v>201883</v>
      </c>
      <c r="L12" s="3">
        <v>134516</v>
      </c>
      <c r="M12" s="3">
        <v>107379</v>
      </c>
      <c r="N12" s="3">
        <v>149661</v>
      </c>
      <c r="O12" s="3">
        <v>146500</v>
      </c>
      <c r="P12" s="3">
        <v>177500</v>
      </c>
      <c r="Q12" s="3">
        <f>227.8*1000</f>
        <v>227800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45">
      <c r="A13" s="1" t="s">
        <v>77</v>
      </c>
      <c r="B13" s="3">
        <v>82689</v>
      </c>
      <c r="C13" s="3">
        <v>82689</v>
      </c>
      <c r="D13" s="3">
        <v>82689</v>
      </c>
      <c r="E13" s="3">
        <v>2689</v>
      </c>
      <c r="F13" s="3">
        <v>0</v>
      </c>
      <c r="G13" s="3">
        <v>0</v>
      </c>
      <c r="H13" s="3">
        <f>3.7*1000</f>
        <v>3700</v>
      </c>
      <c r="I13" s="1"/>
      <c r="J13" s="1" t="s">
        <v>78</v>
      </c>
      <c r="K13" s="3">
        <v>835480</v>
      </c>
      <c r="L13" s="3">
        <v>1177513</v>
      </c>
      <c r="M13" s="3">
        <v>1376465</v>
      </c>
      <c r="N13" s="3">
        <v>2679400</v>
      </c>
      <c r="O13" s="3">
        <v>3187500</v>
      </c>
      <c r="P13" s="3">
        <v>3879000</v>
      </c>
      <c r="Q13" s="3">
        <f>1598.8*1000</f>
        <v>1598800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45">
      <c r="A14" s="1" t="s">
        <v>79</v>
      </c>
      <c r="B14" s="3">
        <v>223594</v>
      </c>
      <c r="C14" s="3">
        <v>328127</v>
      </c>
      <c r="D14" s="3">
        <v>609110</v>
      </c>
      <c r="E14" s="3">
        <v>832561</v>
      </c>
      <c r="F14" s="3">
        <v>70300</v>
      </c>
      <c r="G14" s="3">
        <v>23700</v>
      </c>
      <c r="H14" s="3">
        <f>80.4*1000</f>
        <v>80400</v>
      </c>
      <c r="I14" s="1"/>
      <c r="J14" s="1" t="s">
        <v>80</v>
      </c>
      <c r="K14" s="3">
        <v>0</v>
      </c>
      <c r="L14" s="3">
        <v>80338</v>
      </c>
      <c r="M14" s="3">
        <v>85166</v>
      </c>
      <c r="N14" s="3">
        <v>137121</v>
      </c>
      <c r="O14" s="3">
        <v>145200</v>
      </c>
      <c r="P14" s="3">
        <v>1100</v>
      </c>
      <c r="Q14" s="3">
        <f>13.9*1000</f>
        <v>13900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45">
      <c r="A15" s="1" t="s">
        <v>81</v>
      </c>
      <c r="B15" s="3">
        <v>4102664</v>
      </c>
      <c r="C15" s="3">
        <v>5939281</v>
      </c>
      <c r="D15" s="3">
        <v>7156303</v>
      </c>
      <c r="E15" s="3">
        <v>5219372</v>
      </c>
      <c r="F15" s="3">
        <v>8561300</v>
      </c>
      <c r="G15" s="3">
        <v>4946600</v>
      </c>
      <c r="H15" s="3">
        <v>0</v>
      </c>
      <c r="I15" s="1"/>
      <c r="J15" s="1" t="s">
        <v>82</v>
      </c>
      <c r="K15" s="3">
        <v>169851</v>
      </c>
      <c r="L15" s="3">
        <v>0</v>
      </c>
      <c r="M15" s="3">
        <v>0</v>
      </c>
      <c r="N15" s="3">
        <v>0</v>
      </c>
      <c r="O15" s="3">
        <v>614500</v>
      </c>
      <c r="P15" s="3">
        <v>540700</v>
      </c>
      <c r="Q15" s="3">
        <f>650*1000</f>
        <v>650000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45">
      <c r="A16" s="1" t="s">
        <v>83</v>
      </c>
      <c r="B16" s="3">
        <v>421060</v>
      </c>
      <c r="C16" s="3">
        <v>501811</v>
      </c>
      <c r="D16" s="3">
        <v>623606</v>
      </c>
      <c r="E16" s="3">
        <v>789974</v>
      </c>
      <c r="F16" s="3">
        <v>1142400</v>
      </c>
      <c r="G16" s="3">
        <v>1461400</v>
      </c>
      <c r="H16" s="3">
        <f>62.6*1000</f>
        <v>62600</v>
      </c>
      <c r="I16" s="1"/>
      <c r="J16" s="1" t="s">
        <v>84</v>
      </c>
      <c r="K16" s="3">
        <v>9950228</v>
      </c>
      <c r="L16" s="3">
        <v>16543405</v>
      </c>
      <c r="M16" s="3">
        <v>18706062</v>
      </c>
      <c r="N16" s="3">
        <v>22060271</v>
      </c>
      <c r="O16" s="3">
        <v>22530000</v>
      </c>
      <c r="P16" s="3">
        <v>22144400</v>
      </c>
      <c r="Q16" s="18"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45">
      <c r="A17" s="144" t="s">
        <v>85</v>
      </c>
      <c r="B17" s="139">
        <f t="shared" ref="B17:H17" si="2">SUM(B3:B16)</f>
        <v>18438837</v>
      </c>
      <c r="C17" s="139">
        <f t="shared" si="2"/>
        <v>26525097</v>
      </c>
      <c r="D17" s="139">
        <f t="shared" si="2"/>
        <v>31969315</v>
      </c>
      <c r="E17" s="139">
        <f t="shared" si="2"/>
        <v>34327726</v>
      </c>
      <c r="F17" s="139">
        <f t="shared" si="2"/>
        <v>44208600</v>
      </c>
      <c r="G17" s="139">
        <f t="shared" si="2"/>
        <v>70734300</v>
      </c>
      <c r="H17" s="139">
        <f t="shared" si="2"/>
        <v>11867000</v>
      </c>
      <c r="I17" s="1"/>
      <c r="J17" s="1" t="s">
        <v>86</v>
      </c>
      <c r="K17" s="3">
        <v>3227</v>
      </c>
      <c r="L17" s="3">
        <v>0</v>
      </c>
      <c r="M17" s="3">
        <v>0</v>
      </c>
      <c r="N17" s="3">
        <v>0</v>
      </c>
      <c r="O17" s="3">
        <v>0</v>
      </c>
      <c r="P17" s="3">
        <v>30079800</v>
      </c>
      <c r="Q17" s="3">
        <v>185700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45">
      <c r="A18" s="1"/>
      <c r="B18" s="3"/>
      <c r="C18" s="3"/>
      <c r="D18" s="3"/>
      <c r="E18" s="3"/>
      <c r="F18" s="3"/>
      <c r="G18" s="3"/>
      <c r="H18" s="3"/>
      <c r="I18" s="1"/>
      <c r="J18" s="1" t="s">
        <v>87</v>
      </c>
      <c r="K18" s="3">
        <v>0</v>
      </c>
      <c r="L18" s="3">
        <v>0</v>
      </c>
      <c r="M18" s="3">
        <v>27939</v>
      </c>
      <c r="N18" s="3">
        <v>0</v>
      </c>
      <c r="O18" s="3">
        <v>38100</v>
      </c>
      <c r="P18" s="3">
        <v>369200</v>
      </c>
      <c r="Q18" s="3">
        <f>3.2*1000</f>
        <v>3200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45">
      <c r="A19" s="1" t="s">
        <v>88</v>
      </c>
      <c r="B19" s="3">
        <v>0</v>
      </c>
      <c r="C19" s="3">
        <v>0</v>
      </c>
      <c r="D19" s="3">
        <v>0</v>
      </c>
      <c r="E19" s="3">
        <v>0</v>
      </c>
      <c r="F19" s="3">
        <v>850600</v>
      </c>
      <c r="G19" s="3">
        <v>1204500</v>
      </c>
      <c r="H19" s="3">
        <v>30377100</v>
      </c>
      <c r="I19" s="1"/>
      <c r="J19" s="144" t="s">
        <v>89</v>
      </c>
      <c r="K19" s="139">
        <f t="shared" ref="K19:Q19" si="3">SUM(K12:K18)</f>
        <v>11160669</v>
      </c>
      <c r="L19" s="139">
        <f t="shared" si="3"/>
        <v>17935772</v>
      </c>
      <c r="M19" s="139">
        <f t="shared" si="3"/>
        <v>20303011</v>
      </c>
      <c r="N19" s="139">
        <f t="shared" si="3"/>
        <v>25026453</v>
      </c>
      <c r="O19" s="139">
        <f t="shared" si="3"/>
        <v>26661800</v>
      </c>
      <c r="P19" s="139">
        <f t="shared" si="3"/>
        <v>57191700</v>
      </c>
      <c r="Q19" s="139">
        <f t="shared" si="3"/>
        <v>2679400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45">
      <c r="A20" s="1" t="s">
        <v>90</v>
      </c>
      <c r="B20" s="3">
        <v>82851</v>
      </c>
      <c r="C20" s="3">
        <v>104141</v>
      </c>
      <c r="D20" s="3">
        <v>102465</v>
      </c>
      <c r="E20" s="3">
        <v>101890</v>
      </c>
      <c r="F20" s="3">
        <v>167300</v>
      </c>
      <c r="G20" s="3">
        <v>175700</v>
      </c>
      <c r="H20" s="3">
        <v>64099.999999999993</v>
      </c>
      <c r="I20" s="1"/>
      <c r="J20" s="1" t="s">
        <v>84</v>
      </c>
      <c r="K20" s="3">
        <v>3330387</v>
      </c>
      <c r="L20" s="3">
        <v>3041388</v>
      </c>
      <c r="M20" s="3">
        <v>4768813</v>
      </c>
      <c r="N20" s="3">
        <v>4244486</v>
      </c>
      <c r="O20" s="3">
        <v>11309100</v>
      </c>
      <c r="P20" s="3">
        <v>4589600</v>
      </c>
      <c r="Q20" s="18">
        <v>8769900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45">
      <c r="A21" s="1" t="s">
        <v>91</v>
      </c>
      <c r="B21" s="3">
        <v>2173522</v>
      </c>
      <c r="C21" s="3">
        <v>2550716</v>
      </c>
      <c r="D21" s="3">
        <v>3013978</v>
      </c>
      <c r="E21" s="3">
        <v>4357571</v>
      </c>
      <c r="F21" s="3">
        <v>6752600</v>
      </c>
      <c r="G21" s="3">
        <v>10132900</v>
      </c>
      <c r="H21" s="3">
        <v>4578800</v>
      </c>
      <c r="I21" s="1"/>
      <c r="J21" s="1" t="s">
        <v>86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4194500</v>
      </c>
      <c r="Q21" s="3">
        <v>3165400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5">
      <c r="A22" s="1" t="s">
        <v>75</v>
      </c>
      <c r="B22" s="3">
        <v>0</v>
      </c>
      <c r="C22" s="3">
        <v>0</v>
      </c>
      <c r="D22" s="3">
        <v>353246</v>
      </c>
      <c r="E22" s="3">
        <v>615707</v>
      </c>
      <c r="F22" s="3">
        <v>32600</v>
      </c>
      <c r="G22" s="3">
        <v>0</v>
      </c>
      <c r="H22" s="3">
        <v>0</v>
      </c>
      <c r="I22" s="1"/>
      <c r="J22" s="1" t="s">
        <v>92</v>
      </c>
      <c r="K22" s="3">
        <v>2680445</v>
      </c>
      <c r="L22" s="3">
        <v>2862566</v>
      </c>
      <c r="M22" s="3">
        <v>3881684</v>
      </c>
      <c r="N22" s="3">
        <v>5568261</v>
      </c>
      <c r="O22" s="3">
        <v>8011800</v>
      </c>
      <c r="P22" s="3">
        <v>9129500</v>
      </c>
      <c r="Q22" s="3">
        <f>10328.8*1000</f>
        <v>10328800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45">
      <c r="A23" s="1" t="s">
        <v>93</v>
      </c>
      <c r="B23" s="3">
        <v>0</v>
      </c>
      <c r="C23" s="3">
        <v>0</v>
      </c>
      <c r="D23" s="3">
        <v>0</v>
      </c>
      <c r="E23" s="3">
        <v>80000</v>
      </c>
      <c r="F23" s="3">
        <v>2051800.0000000002</v>
      </c>
      <c r="G23" s="3">
        <v>0</v>
      </c>
      <c r="H23" s="3">
        <v>0</v>
      </c>
      <c r="I23" s="1"/>
      <c r="J23" s="1" t="s">
        <v>94</v>
      </c>
      <c r="K23" s="3">
        <v>2965427</v>
      </c>
      <c r="L23" s="3">
        <v>4014428</v>
      </c>
      <c r="M23" s="3">
        <v>4666212</v>
      </c>
      <c r="N23" s="3">
        <v>6493615</v>
      </c>
      <c r="O23" s="3">
        <v>6907300</v>
      </c>
      <c r="P23" s="3">
        <v>6106500</v>
      </c>
      <c r="Q23" s="3">
        <v>401500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45">
      <c r="A24" s="1" t="s">
        <v>95</v>
      </c>
      <c r="B24" s="3">
        <v>2011139</v>
      </c>
      <c r="C24" s="3">
        <v>2454160</v>
      </c>
      <c r="D24" s="3">
        <v>2323647</v>
      </c>
      <c r="E24" s="3">
        <v>4039776</v>
      </c>
      <c r="F24" s="3">
        <v>1921700</v>
      </c>
      <c r="G24" s="3">
        <v>3095600</v>
      </c>
      <c r="H24" s="3">
        <v>2666900</v>
      </c>
      <c r="I24" s="1"/>
      <c r="J24" s="1" t="s">
        <v>75</v>
      </c>
      <c r="K24" s="3">
        <v>458958</v>
      </c>
      <c r="L24" s="3">
        <v>782523</v>
      </c>
      <c r="M24" s="3">
        <v>86306</v>
      </c>
      <c r="N24" s="3">
        <v>41819</v>
      </c>
      <c r="O24" s="3">
        <v>1359400</v>
      </c>
      <c r="P24" s="3">
        <v>0</v>
      </c>
      <c r="Q24" s="3">
        <f>49.2*1000</f>
        <v>49200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45">
      <c r="A25" s="144" t="s">
        <v>96</v>
      </c>
      <c r="B25" s="139">
        <f t="shared" ref="B25:H25" si="4">SUM(B19:B24)</f>
        <v>4267512</v>
      </c>
      <c r="C25" s="139">
        <f t="shared" si="4"/>
        <v>5109017</v>
      </c>
      <c r="D25" s="139">
        <f t="shared" si="4"/>
        <v>5793336</v>
      </c>
      <c r="E25" s="139">
        <f t="shared" si="4"/>
        <v>9194944</v>
      </c>
      <c r="F25" s="139">
        <f t="shared" si="4"/>
        <v>11776600</v>
      </c>
      <c r="G25" s="139">
        <f t="shared" si="4"/>
        <v>14608700</v>
      </c>
      <c r="H25" s="139">
        <f t="shared" si="4"/>
        <v>37686900</v>
      </c>
      <c r="I25" s="1"/>
      <c r="J25" s="1" t="s">
        <v>97</v>
      </c>
      <c r="K25" s="3">
        <v>2211</v>
      </c>
      <c r="L25" s="3">
        <v>32123</v>
      </c>
      <c r="M25" s="3">
        <v>7650</v>
      </c>
      <c r="N25" s="3">
        <v>49629</v>
      </c>
      <c r="O25" s="3">
        <v>31400</v>
      </c>
      <c r="P25" s="3">
        <v>6100</v>
      </c>
      <c r="Q25" s="3">
        <f>15.8*1000</f>
        <v>15800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5">
      <c r="A26" s="1"/>
      <c r="B26" s="1"/>
      <c r="C26" s="1"/>
      <c r="D26" s="1"/>
      <c r="E26" s="1"/>
      <c r="F26" s="1"/>
      <c r="G26" s="1"/>
      <c r="H26" s="3"/>
      <c r="I26" s="1"/>
      <c r="J26" s="1" t="s">
        <v>98</v>
      </c>
      <c r="K26" s="3"/>
      <c r="L26" s="3"/>
      <c r="M26" s="3"/>
      <c r="N26" s="3"/>
      <c r="O26" s="3"/>
      <c r="P26" s="3"/>
      <c r="Q26" s="3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5">
      <c r="A27" s="144" t="s">
        <v>99</v>
      </c>
      <c r="B27" s="139">
        <f t="shared" ref="B27:H27" si="5">B17+B25</f>
        <v>22706349</v>
      </c>
      <c r="C27" s="139">
        <f t="shared" si="5"/>
        <v>31634114</v>
      </c>
      <c r="D27" s="139">
        <f t="shared" si="5"/>
        <v>37762651</v>
      </c>
      <c r="E27" s="139">
        <f t="shared" si="5"/>
        <v>43522670</v>
      </c>
      <c r="F27" s="139">
        <f t="shared" si="5"/>
        <v>55985200</v>
      </c>
      <c r="G27" s="139">
        <f t="shared" si="5"/>
        <v>85343000</v>
      </c>
      <c r="H27" s="139">
        <f t="shared" si="5"/>
        <v>49553900</v>
      </c>
      <c r="I27" s="1"/>
      <c r="J27" s="1" t="s">
        <v>100</v>
      </c>
      <c r="K27" s="3"/>
      <c r="L27" s="3"/>
      <c r="M27" s="3"/>
      <c r="N27" s="3"/>
      <c r="O27" s="3"/>
      <c r="P27" s="3"/>
      <c r="Q27" s="3">
        <v>30767800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44" t="s">
        <v>101</v>
      </c>
      <c r="K28" s="139">
        <f t="shared" ref="K28:P28" si="6">SUM(K20:K25)</f>
        <v>9437428</v>
      </c>
      <c r="L28" s="139">
        <f t="shared" si="6"/>
        <v>10733028</v>
      </c>
      <c r="M28" s="139">
        <f t="shared" si="6"/>
        <v>13410665</v>
      </c>
      <c r="N28" s="139">
        <f t="shared" si="6"/>
        <v>16397810</v>
      </c>
      <c r="O28" s="139">
        <f t="shared" si="6"/>
        <v>27619000</v>
      </c>
      <c r="P28" s="139">
        <f t="shared" si="6"/>
        <v>24026200</v>
      </c>
      <c r="Q28" s="139">
        <f>SUM(Q20:Q27)</f>
        <v>53498400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44" t="s">
        <v>102</v>
      </c>
      <c r="K29" s="139">
        <f t="shared" ref="K29:Q29" si="7">K19+K28</f>
        <v>20598097</v>
      </c>
      <c r="L29" s="139">
        <f t="shared" si="7"/>
        <v>28668800</v>
      </c>
      <c r="M29" s="139">
        <f t="shared" si="7"/>
        <v>33713676</v>
      </c>
      <c r="N29" s="139">
        <f t="shared" si="7"/>
        <v>41424263</v>
      </c>
      <c r="O29" s="139">
        <f t="shared" si="7"/>
        <v>54280800</v>
      </c>
      <c r="P29" s="139">
        <f t="shared" si="7"/>
        <v>81217900</v>
      </c>
      <c r="Q29" s="139">
        <f t="shared" si="7"/>
        <v>56177800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44"/>
      <c r="K30" s="139"/>
      <c r="L30" s="139"/>
      <c r="M30" s="139"/>
      <c r="N30" s="139"/>
      <c r="O30" s="139"/>
      <c r="P30" s="139"/>
      <c r="Q30" s="139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5">
      <c r="A31" s="1"/>
      <c r="B31" s="19">
        <f t="shared" ref="B31:H31" si="8">B27-K31</f>
        <v>1</v>
      </c>
      <c r="C31" s="19">
        <f t="shared" si="8"/>
        <v>2</v>
      </c>
      <c r="D31" s="19">
        <f t="shared" si="8"/>
        <v>-1</v>
      </c>
      <c r="E31" s="19">
        <f t="shared" si="8"/>
        <v>0</v>
      </c>
      <c r="F31" s="19">
        <f t="shared" si="8"/>
        <v>-100</v>
      </c>
      <c r="G31" s="19">
        <f t="shared" si="8"/>
        <v>200</v>
      </c>
      <c r="H31" s="19">
        <f t="shared" si="8"/>
        <v>-100</v>
      </c>
      <c r="I31" s="1"/>
      <c r="J31" s="144" t="s">
        <v>103</v>
      </c>
      <c r="K31" s="139">
        <f t="shared" ref="K31:Q31" si="9">K10+K29</f>
        <v>22706348</v>
      </c>
      <c r="L31" s="139">
        <f t="shared" si="9"/>
        <v>31634112</v>
      </c>
      <c r="M31" s="139">
        <f t="shared" si="9"/>
        <v>37762652</v>
      </c>
      <c r="N31" s="139">
        <f t="shared" si="9"/>
        <v>43522670</v>
      </c>
      <c r="O31" s="139">
        <f t="shared" si="9"/>
        <v>55985300</v>
      </c>
      <c r="P31" s="139">
        <f t="shared" si="9"/>
        <v>85342800</v>
      </c>
      <c r="Q31" s="139">
        <f t="shared" si="9"/>
        <v>49554000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5">
      <c r="A32" s="1"/>
      <c r="B32" s="3"/>
      <c r="C32" s="3"/>
      <c r="D32" s="3"/>
      <c r="E32" s="3"/>
      <c r="F32" s="3"/>
      <c r="G32" s="3"/>
      <c r="H32" s="3"/>
      <c r="I32" s="1"/>
      <c r="J32" s="1"/>
      <c r="K32" s="19">
        <f t="shared" ref="K32:Q32" si="10">K31-B27</f>
        <v>-1</v>
      </c>
      <c r="L32" s="19">
        <f t="shared" si="10"/>
        <v>-2</v>
      </c>
      <c r="M32" s="19">
        <f t="shared" si="10"/>
        <v>1</v>
      </c>
      <c r="N32" s="19">
        <f t="shared" si="10"/>
        <v>0</v>
      </c>
      <c r="O32" s="19">
        <f t="shared" si="10"/>
        <v>100</v>
      </c>
      <c r="P32" s="19">
        <f t="shared" si="10"/>
        <v>-200</v>
      </c>
      <c r="Q32" s="19">
        <f t="shared" si="10"/>
        <v>100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5">
      <c r="A33" s="1"/>
      <c r="B33" s="1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5">
      <c r="A35" s="250" t="s">
        <v>104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5">
      <c r="A36" s="137" t="s">
        <v>56</v>
      </c>
      <c r="B36" s="137">
        <v>2014</v>
      </c>
      <c r="C36" s="137">
        <v>2015</v>
      </c>
      <c r="D36" s="137">
        <v>2016</v>
      </c>
      <c r="E36" s="137">
        <v>2017</v>
      </c>
      <c r="F36" s="137">
        <v>2018</v>
      </c>
      <c r="G36" s="137">
        <v>2019</v>
      </c>
      <c r="H36" s="137">
        <v>2020</v>
      </c>
      <c r="I36" s="132"/>
      <c r="J36" s="137" t="s">
        <v>57</v>
      </c>
      <c r="K36" s="137">
        <v>2014</v>
      </c>
      <c r="L36" s="137">
        <v>2015</v>
      </c>
      <c r="M36" s="137">
        <v>2016</v>
      </c>
      <c r="N36" s="137">
        <v>2017</v>
      </c>
      <c r="O36" s="137">
        <v>2018</v>
      </c>
      <c r="P36" s="137">
        <v>2019</v>
      </c>
      <c r="Q36" s="137">
        <v>2020</v>
      </c>
      <c r="R36" s="132"/>
      <c r="S36" s="1"/>
      <c r="T36" s="132"/>
      <c r="U36" s="132"/>
      <c r="V36" s="132"/>
      <c r="W36" s="132"/>
      <c r="X36" s="132"/>
      <c r="Y36" s="132"/>
      <c r="Z36" s="132"/>
    </row>
    <row r="37" spans="1:26" ht="15.75" customHeight="1" x14ac:dyDescent="0.45">
      <c r="A37" s="1" t="s">
        <v>58</v>
      </c>
      <c r="B37" s="3">
        <f t="shared" ref="B37:H37" si="11">B3</f>
        <v>206826</v>
      </c>
      <c r="C37" s="3">
        <f t="shared" si="11"/>
        <v>206675</v>
      </c>
      <c r="D37" s="3">
        <f t="shared" si="11"/>
        <v>198260</v>
      </c>
      <c r="E37" s="3">
        <f t="shared" si="11"/>
        <v>201383</v>
      </c>
      <c r="F37" s="3">
        <f t="shared" si="11"/>
        <v>212300</v>
      </c>
      <c r="G37" s="3">
        <f t="shared" si="11"/>
        <v>198200</v>
      </c>
      <c r="H37" s="3">
        <f t="shared" si="11"/>
        <v>200900</v>
      </c>
      <c r="I37" s="1"/>
      <c r="J37" s="1" t="s">
        <v>59</v>
      </c>
      <c r="K37" s="3">
        <f t="shared" ref="K37:Q37" si="12">K3</f>
        <v>3516</v>
      </c>
      <c r="L37" s="3">
        <f t="shared" si="12"/>
        <v>3576</v>
      </c>
      <c r="M37" s="3">
        <f t="shared" si="12"/>
        <v>3576</v>
      </c>
      <c r="N37" s="3">
        <f t="shared" si="12"/>
        <v>3576</v>
      </c>
      <c r="O37" s="3">
        <f t="shared" si="12"/>
        <v>4500</v>
      </c>
      <c r="P37" s="3">
        <f t="shared" si="12"/>
        <v>16300</v>
      </c>
      <c r="Q37" s="3">
        <f t="shared" si="12"/>
        <v>397500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5">
      <c r="A38" s="1" t="s">
        <v>60</v>
      </c>
      <c r="B38" s="3">
        <f t="shared" ref="B38:H38" si="13">B4</f>
        <v>518915</v>
      </c>
      <c r="C38" s="3">
        <f t="shared" si="13"/>
        <v>593626</v>
      </c>
      <c r="D38" s="3">
        <f t="shared" si="13"/>
        <v>241499</v>
      </c>
      <c r="E38" s="3">
        <f t="shared" si="13"/>
        <v>1018927</v>
      </c>
      <c r="F38" s="3">
        <f t="shared" si="13"/>
        <v>2673800</v>
      </c>
      <c r="G38" s="3">
        <f t="shared" si="13"/>
        <v>2672400</v>
      </c>
      <c r="H38" s="3">
        <f t="shared" si="13"/>
        <v>1966200</v>
      </c>
      <c r="I38" s="1"/>
      <c r="J38" s="1" t="s">
        <v>61</v>
      </c>
      <c r="K38" s="3">
        <f t="shared" ref="K38:Q38" si="14">K4</f>
        <v>1093549</v>
      </c>
      <c r="L38" s="3">
        <f t="shared" si="14"/>
        <v>1231632</v>
      </c>
      <c r="M38" s="3">
        <f t="shared" si="14"/>
        <v>1231631</v>
      </c>
      <c r="N38" s="3">
        <f t="shared" si="14"/>
        <v>1231631</v>
      </c>
      <c r="O38" s="3">
        <f t="shared" si="14"/>
        <v>2686700</v>
      </c>
      <c r="P38" s="3">
        <f t="shared" si="14"/>
        <v>6664100</v>
      </c>
      <c r="Q38" s="3">
        <f t="shared" si="14"/>
        <v>18805100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5">
      <c r="A39" s="1" t="s">
        <v>62</v>
      </c>
      <c r="B39" s="3">
        <f t="shared" ref="B39:H39" si="15">B5</f>
        <v>12527932</v>
      </c>
      <c r="C39" s="3">
        <f t="shared" si="15"/>
        <v>18507706</v>
      </c>
      <c r="D39" s="3">
        <f t="shared" si="15"/>
        <v>22571775</v>
      </c>
      <c r="E39" s="3">
        <f t="shared" si="15"/>
        <v>25861883</v>
      </c>
      <c r="F39" s="3">
        <f t="shared" si="15"/>
        <v>31064200</v>
      </c>
      <c r="G39" s="3">
        <f t="shared" si="15"/>
        <v>27392000</v>
      </c>
      <c r="H39" s="3">
        <f t="shared" si="15"/>
        <v>6129600</v>
      </c>
      <c r="I39" s="1"/>
      <c r="J39" s="1" t="s">
        <v>63</v>
      </c>
      <c r="K39" s="3">
        <f t="shared" ref="K39:Q39" si="16">K5</f>
        <v>87221</v>
      </c>
      <c r="L39" s="3">
        <f t="shared" si="16"/>
        <v>94362</v>
      </c>
      <c r="M39" s="3">
        <f t="shared" si="16"/>
        <v>110621</v>
      </c>
      <c r="N39" s="3">
        <f t="shared" si="16"/>
        <v>127769</v>
      </c>
      <c r="O39" s="3">
        <f t="shared" si="16"/>
        <v>132900</v>
      </c>
      <c r="P39" s="3">
        <f t="shared" si="16"/>
        <v>149200</v>
      </c>
      <c r="Q39" s="3">
        <f t="shared" si="16"/>
        <v>943500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5">
      <c r="A40" s="1" t="s">
        <v>64</v>
      </c>
      <c r="B40" s="3">
        <f t="shared" ref="B40:H40" si="17">B6</f>
        <v>0</v>
      </c>
      <c r="C40" s="3">
        <f t="shared" si="17"/>
        <v>0</v>
      </c>
      <c r="D40" s="3">
        <f t="shared" si="17"/>
        <v>0</v>
      </c>
      <c r="E40" s="3">
        <f t="shared" si="17"/>
        <v>0</v>
      </c>
      <c r="F40" s="3">
        <f t="shared" si="17"/>
        <v>0</v>
      </c>
      <c r="G40" s="3">
        <f t="shared" si="17"/>
        <v>33245400</v>
      </c>
      <c r="H40" s="3">
        <f t="shared" si="17"/>
        <v>2791400</v>
      </c>
      <c r="I40" s="1"/>
      <c r="J40" s="1" t="s">
        <v>65</v>
      </c>
      <c r="K40" s="3">
        <f t="shared" ref="K40:Q40" si="18">K6</f>
        <v>455099</v>
      </c>
      <c r="L40" s="3">
        <f t="shared" si="18"/>
        <v>876192</v>
      </c>
      <c r="M40" s="3">
        <f t="shared" si="18"/>
        <v>773112</v>
      </c>
      <c r="N40" s="3">
        <f t="shared" si="18"/>
        <v>641437</v>
      </c>
      <c r="O40" s="3">
        <f t="shared" si="18"/>
        <v>1011700</v>
      </c>
      <c r="P40" s="3">
        <f t="shared" si="18"/>
        <v>1085500</v>
      </c>
      <c r="Q40" s="3">
        <f t="shared" si="18"/>
        <v>112800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5">
      <c r="A41" s="1" t="s">
        <v>66</v>
      </c>
      <c r="B41" s="3">
        <f t="shared" ref="B41:H41" si="19">B7</f>
        <v>83687</v>
      </c>
      <c r="C41" s="3">
        <f t="shared" si="19"/>
        <v>79508</v>
      </c>
      <c r="D41" s="3">
        <f t="shared" si="19"/>
        <v>88361</v>
      </c>
      <c r="E41" s="3">
        <f t="shared" si="19"/>
        <v>90458</v>
      </c>
      <c r="F41" s="3">
        <f t="shared" si="19"/>
        <v>211400</v>
      </c>
      <c r="G41" s="3">
        <f t="shared" si="19"/>
        <v>197900</v>
      </c>
      <c r="H41" s="3">
        <f t="shared" si="19"/>
        <v>163200</v>
      </c>
      <c r="I41" s="1"/>
      <c r="J41" s="1" t="s">
        <v>67</v>
      </c>
      <c r="K41" s="3">
        <f t="shared" ref="K41:Q41" si="20">K7</f>
        <v>468866</v>
      </c>
      <c r="L41" s="3">
        <f t="shared" si="20"/>
        <v>759550</v>
      </c>
      <c r="M41" s="3">
        <f t="shared" si="20"/>
        <v>1919266</v>
      </c>
      <c r="N41" s="3">
        <f t="shared" si="20"/>
        <v>81666</v>
      </c>
      <c r="O41" s="3">
        <f t="shared" si="20"/>
        <v>-2148600</v>
      </c>
      <c r="P41" s="3">
        <f t="shared" si="20"/>
        <v>-3814000</v>
      </c>
      <c r="Q41" s="3">
        <f t="shared" si="20"/>
        <v>-26882700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5">
      <c r="A42" s="1" t="s">
        <v>68</v>
      </c>
      <c r="B42" s="3">
        <f t="shared" ref="B42:H42" si="21">B8</f>
        <v>0</v>
      </c>
      <c r="C42" s="3">
        <f t="shared" si="21"/>
        <v>0</v>
      </c>
      <c r="D42" s="3">
        <f t="shared" si="21"/>
        <v>0</v>
      </c>
      <c r="E42" s="3">
        <f t="shared" si="21"/>
        <v>0</v>
      </c>
      <c r="F42" s="3">
        <f t="shared" si="21"/>
        <v>0</v>
      </c>
      <c r="G42" s="3">
        <f t="shared" si="21"/>
        <v>35700</v>
      </c>
      <c r="H42" s="3">
        <f t="shared" si="21"/>
        <v>0</v>
      </c>
      <c r="I42" s="1"/>
      <c r="J42" s="144" t="s">
        <v>69</v>
      </c>
      <c r="K42" s="139">
        <f t="shared" ref="K42:Q42" si="22">K8</f>
        <v>2108251</v>
      </c>
      <c r="L42" s="139">
        <f t="shared" si="22"/>
        <v>2965312</v>
      </c>
      <c r="M42" s="139">
        <f t="shared" si="22"/>
        <v>4038206</v>
      </c>
      <c r="N42" s="139">
        <f t="shared" si="22"/>
        <v>2086079</v>
      </c>
      <c r="O42" s="139">
        <f t="shared" si="22"/>
        <v>1687200</v>
      </c>
      <c r="P42" s="139">
        <f t="shared" si="22"/>
        <v>4101100</v>
      </c>
      <c r="Q42" s="139">
        <f t="shared" si="22"/>
        <v>-6623800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5">
      <c r="A43" s="1" t="s">
        <v>70</v>
      </c>
      <c r="B43" s="3">
        <f t="shared" ref="B43:H43" si="23">B9</f>
        <v>252236</v>
      </c>
      <c r="C43" s="3">
        <f t="shared" si="23"/>
        <v>285674</v>
      </c>
      <c r="D43" s="3">
        <f t="shared" si="23"/>
        <v>283236</v>
      </c>
      <c r="E43" s="3">
        <f t="shared" si="23"/>
        <v>279463</v>
      </c>
      <c r="F43" s="3">
        <f t="shared" si="23"/>
        <v>269400</v>
      </c>
      <c r="G43" s="3">
        <f t="shared" si="23"/>
        <v>263700</v>
      </c>
      <c r="H43" s="3">
        <f t="shared" si="23"/>
        <v>252400</v>
      </c>
      <c r="I43" s="1"/>
      <c r="J43" s="1" t="s">
        <v>71</v>
      </c>
      <c r="K43" s="3">
        <f t="shared" ref="K43:Q43" si="24">K9</f>
        <v>0</v>
      </c>
      <c r="L43" s="3">
        <f t="shared" si="24"/>
        <v>0</v>
      </c>
      <c r="M43" s="3">
        <f t="shared" si="24"/>
        <v>10770</v>
      </c>
      <c r="N43" s="3">
        <f t="shared" si="24"/>
        <v>12328</v>
      </c>
      <c r="O43" s="3">
        <f t="shared" si="24"/>
        <v>17300</v>
      </c>
      <c r="P43" s="3">
        <f t="shared" si="24"/>
        <v>23800</v>
      </c>
      <c r="Q43" s="3">
        <f t="shared" si="24"/>
        <v>0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5">
      <c r="A44" s="1" t="s">
        <v>72</v>
      </c>
      <c r="B44" s="3">
        <f t="shared" ref="B44:H44" si="25">B10</f>
        <v>0</v>
      </c>
      <c r="C44" s="3">
        <f t="shared" si="25"/>
        <v>0</v>
      </c>
      <c r="D44" s="3">
        <f t="shared" si="25"/>
        <v>0</v>
      </c>
      <c r="E44" s="3">
        <f t="shared" si="25"/>
        <v>0</v>
      </c>
      <c r="F44" s="3">
        <f t="shared" si="25"/>
        <v>0</v>
      </c>
      <c r="G44" s="3">
        <f t="shared" si="25"/>
        <v>297300</v>
      </c>
      <c r="H44" s="3">
        <f t="shared" si="25"/>
        <v>216600</v>
      </c>
      <c r="I44" s="1"/>
      <c r="J44" s="144" t="s">
        <v>73</v>
      </c>
      <c r="K44" s="139">
        <f t="shared" ref="K44:Q44" si="26">K10</f>
        <v>2108251</v>
      </c>
      <c r="L44" s="139">
        <f t="shared" si="26"/>
        <v>2965312</v>
      </c>
      <c r="M44" s="139">
        <f t="shared" si="26"/>
        <v>4048976</v>
      </c>
      <c r="N44" s="139">
        <f t="shared" si="26"/>
        <v>2098407</v>
      </c>
      <c r="O44" s="139">
        <f t="shared" si="26"/>
        <v>1704500</v>
      </c>
      <c r="P44" s="139">
        <f t="shared" si="26"/>
        <v>4124900</v>
      </c>
      <c r="Q44" s="139">
        <f t="shared" si="26"/>
        <v>-6623800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5">
      <c r="A45" s="1" t="s">
        <v>74</v>
      </c>
      <c r="B45" s="3">
        <f t="shared" ref="B45:H45" si="27">B11</f>
        <v>19234</v>
      </c>
      <c r="C45" s="3">
        <f t="shared" si="27"/>
        <v>0</v>
      </c>
      <c r="D45" s="3">
        <f t="shared" si="27"/>
        <v>0</v>
      </c>
      <c r="E45" s="3">
        <f t="shared" si="27"/>
        <v>0</v>
      </c>
      <c r="F45" s="3">
        <f t="shared" si="27"/>
        <v>0</v>
      </c>
      <c r="G45" s="3">
        <f t="shared" si="27"/>
        <v>0</v>
      </c>
      <c r="H45" s="3">
        <f t="shared" si="27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5">
      <c r="A46" s="1" t="s">
        <v>79</v>
      </c>
      <c r="B46" s="3">
        <f t="shared" ref="B46:H46" si="28">B14</f>
        <v>223594</v>
      </c>
      <c r="C46" s="3">
        <f t="shared" si="28"/>
        <v>328127</v>
      </c>
      <c r="D46" s="3">
        <f t="shared" si="28"/>
        <v>609110</v>
      </c>
      <c r="E46" s="3">
        <f t="shared" si="28"/>
        <v>832561</v>
      </c>
      <c r="F46" s="3">
        <f t="shared" si="28"/>
        <v>70300</v>
      </c>
      <c r="G46" s="3">
        <f t="shared" si="28"/>
        <v>23700</v>
      </c>
      <c r="H46" s="3">
        <f t="shared" si="28"/>
        <v>80400</v>
      </c>
      <c r="I46" s="1"/>
      <c r="J46" s="1" t="s">
        <v>78</v>
      </c>
      <c r="K46" s="3">
        <f t="shared" ref="K46:Q46" si="29">K13</f>
        <v>835480</v>
      </c>
      <c r="L46" s="3">
        <f t="shared" si="29"/>
        <v>1177513</v>
      </c>
      <c r="M46" s="3">
        <f t="shared" si="29"/>
        <v>1376465</v>
      </c>
      <c r="N46" s="3">
        <f t="shared" si="29"/>
        <v>2679400</v>
      </c>
      <c r="O46" s="3">
        <f t="shared" si="29"/>
        <v>3187500</v>
      </c>
      <c r="P46" s="3">
        <f t="shared" si="29"/>
        <v>3879000</v>
      </c>
      <c r="Q46" s="3">
        <f t="shared" si="29"/>
        <v>1598800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5">
      <c r="A47" s="1" t="s">
        <v>81</v>
      </c>
      <c r="B47" s="3">
        <f t="shared" ref="B47:H47" si="30">B15</f>
        <v>4102664</v>
      </c>
      <c r="C47" s="3">
        <f t="shared" si="30"/>
        <v>5939281</v>
      </c>
      <c r="D47" s="3">
        <f t="shared" si="30"/>
        <v>7156303</v>
      </c>
      <c r="E47" s="3">
        <f t="shared" si="30"/>
        <v>5219372</v>
      </c>
      <c r="F47" s="3">
        <f t="shared" si="30"/>
        <v>8561300</v>
      </c>
      <c r="G47" s="3">
        <f t="shared" si="30"/>
        <v>4946600</v>
      </c>
      <c r="H47" s="3">
        <f t="shared" si="30"/>
        <v>0</v>
      </c>
      <c r="I47" s="1"/>
      <c r="J47" s="1" t="s">
        <v>80</v>
      </c>
      <c r="K47" s="3">
        <f t="shared" ref="K47:Q47" si="31">K14</f>
        <v>0</v>
      </c>
      <c r="L47" s="3">
        <f t="shared" si="31"/>
        <v>80338</v>
      </c>
      <c r="M47" s="3">
        <f t="shared" si="31"/>
        <v>85166</v>
      </c>
      <c r="N47" s="3">
        <f t="shared" si="31"/>
        <v>137121</v>
      </c>
      <c r="O47" s="3">
        <f t="shared" si="31"/>
        <v>145200</v>
      </c>
      <c r="P47" s="3">
        <f t="shared" si="31"/>
        <v>1100</v>
      </c>
      <c r="Q47" s="3">
        <f t="shared" si="31"/>
        <v>13900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5">
      <c r="A48" s="1" t="s">
        <v>83</v>
      </c>
      <c r="B48" s="3">
        <f t="shared" ref="B48:H48" si="32">B16</f>
        <v>421060</v>
      </c>
      <c r="C48" s="3">
        <f t="shared" si="32"/>
        <v>501811</v>
      </c>
      <c r="D48" s="3">
        <f t="shared" si="32"/>
        <v>623606</v>
      </c>
      <c r="E48" s="3">
        <f t="shared" si="32"/>
        <v>789974</v>
      </c>
      <c r="F48" s="3">
        <f t="shared" si="32"/>
        <v>1142400</v>
      </c>
      <c r="G48" s="3">
        <f t="shared" si="32"/>
        <v>1461400</v>
      </c>
      <c r="H48" s="3">
        <f t="shared" si="32"/>
        <v>62600</v>
      </c>
      <c r="I48" s="1"/>
      <c r="J48" s="1" t="s">
        <v>82</v>
      </c>
      <c r="K48" s="3">
        <f t="shared" ref="K48:Q48" si="33">K15</f>
        <v>169851</v>
      </c>
      <c r="L48" s="3">
        <f t="shared" si="33"/>
        <v>0</v>
      </c>
      <c r="M48" s="3">
        <f t="shared" si="33"/>
        <v>0</v>
      </c>
      <c r="N48" s="3">
        <f t="shared" si="33"/>
        <v>0</v>
      </c>
      <c r="O48" s="3">
        <f t="shared" si="33"/>
        <v>614500</v>
      </c>
      <c r="P48" s="3">
        <f t="shared" si="33"/>
        <v>540700</v>
      </c>
      <c r="Q48" s="3">
        <f t="shared" si="33"/>
        <v>650000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5">
      <c r="A49" s="140" t="s">
        <v>105</v>
      </c>
      <c r="B49" s="141">
        <f t="shared" ref="B49:H49" si="34">SUM(B37:B48)</f>
        <v>18356148</v>
      </c>
      <c r="C49" s="141">
        <f t="shared" si="34"/>
        <v>26442408</v>
      </c>
      <c r="D49" s="141">
        <f t="shared" si="34"/>
        <v>31772150</v>
      </c>
      <c r="E49" s="141">
        <f t="shared" si="34"/>
        <v>34294021</v>
      </c>
      <c r="F49" s="141">
        <f t="shared" si="34"/>
        <v>44205100</v>
      </c>
      <c r="G49" s="141">
        <f t="shared" si="34"/>
        <v>70734300</v>
      </c>
      <c r="H49" s="141">
        <f t="shared" si="34"/>
        <v>11863300</v>
      </c>
      <c r="I49" s="1"/>
      <c r="J49" s="1" t="s">
        <v>86</v>
      </c>
      <c r="K49" s="3">
        <f t="shared" ref="K49:Q49" si="35">K17</f>
        <v>3227</v>
      </c>
      <c r="L49" s="3">
        <f t="shared" si="35"/>
        <v>0</v>
      </c>
      <c r="M49" s="3">
        <f t="shared" si="35"/>
        <v>0</v>
      </c>
      <c r="N49" s="3">
        <f t="shared" si="35"/>
        <v>0</v>
      </c>
      <c r="O49" s="3">
        <f t="shared" si="35"/>
        <v>0</v>
      </c>
      <c r="P49" s="3">
        <f t="shared" si="35"/>
        <v>30079800</v>
      </c>
      <c r="Q49" s="3">
        <f t="shared" si="35"/>
        <v>185700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40" t="s">
        <v>106</v>
      </c>
      <c r="K50" s="141">
        <f t="shared" ref="K50:Q50" si="36">SUM(K46:K49)</f>
        <v>1008558</v>
      </c>
      <c r="L50" s="141">
        <f t="shared" si="36"/>
        <v>1257851</v>
      </c>
      <c r="M50" s="141">
        <f t="shared" si="36"/>
        <v>1461631</v>
      </c>
      <c r="N50" s="141">
        <f t="shared" si="36"/>
        <v>2816521</v>
      </c>
      <c r="O50" s="141">
        <f t="shared" si="36"/>
        <v>3947200</v>
      </c>
      <c r="P50" s="141">
        <f t="shared" si="36"/>
        <v>34500600</v>
      </c>
      <c r="Q50" s="141">
        <f t="shared" si="36"/>
        <v>2448400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1" t="s">
        <v>90</v>
      </c>
      <c r="B51" s="3">
        <f t="shared" ref="B51:H51" si="37">B20</f>
        <v>82851</v>
      </c>
      <c r="C51" s="3">
        <f t="shared" si="37"/>
        <v>104141</v>
      </c>
      <c r="D51" s="3">
        <f t="shared" si="37"/>
        <v>102465</v>
      </c>
      <c r="E51" s="3">
        <f t="shared" si="37"/>
        <v>101890</v>
      </c>
      <c r="F51" s="3">
        <f t="shared" si="37"/>
        <v>167300</v>
      </c>
      <c r="G51" s="3">
        <f t="shared" si="37"/>
        <v>175700</v>
      </c>
      <c r="H51" s="3">
        <f t="shared" si="37"/>
        <v>64099.999999999993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1" t="s">
        <v>91</v>
      </c>
      <c r="B52" s="3">
        <f t="shared" ref="B52:H52" si="38">B21</f>
        <v>2173522</v>
      </c>
      <c r="C52" s="3">
        <f t="shared" si="38"/>
        <v>2550716</v>
      </c>
      <c r="D52" s="3">
        <f t="shared" si="38"/>
        <v>3013978</v>
      </c>
      <c r="E52" s="3">
        <f t="shared" si="38"/>
        <v>4357571</v>
      </c>
      <c r="F52" s="3">
        <f t="shared" si="38"/>
        <v>6752600</v>
      </c>
      <c r="G52" s="3">
        <f t="shared" si="38"/>
        <v>10132900</v>
      </c>
      <c r="H52" s="3">
        <f t="shared" si="38"/>
        <v>4578800</v>
      </c>
      <c r="I52" s="1"/>
      <c r="J52" s="1" t="s">
        <v>76</v>
      </c>
      <c r="K52" s="3">
        <f t="shared" ref="K52:Q52" si="39">K12</f>
        <v>201883</v>
      </c>
      <c r="L52" s="3">
        <f t="shared" si="39"/>
        <v>134516</v>
      </c>
      <c r="M52" s="3">
        <f t="shared" si="39"/>
        <v>107379</v>
      </c>
      <c r="N52" s="3">
        <f t="shared" si="39"/>
        <v>149661</v>
      </c>
      <c r="O52" s="3">
        <f t="shared" si="39"/>
        <v>146500</v>
      </c>
      <c r="P52" s="3">
        <f t="shared" si="39"/>
        <v>177500</v>
      </c>
      <c r="Q52" s="3">
        <f t="shared" si="39"/>
        <v>227800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140" t="s">
        <v>107</v>
      </c>
      <c r="B53" s="141">
        <f t="shared" ref="B53:H53" si="40">SUM(B51:B52)</f>
        <v>2256373</v>
      </c>
      <c r="C53" s="141">
        <f t="shared" si="40"/>
        <v>2654857</v>
      </c>
      <c r="D53" s="141">
        <f t="shared" si="40"/>
        <v>3116443</v>
      </c>
      <c r="E53" s="141">
        <f t="shared" si="40"/>
        <v>4459461</v>
      </c>
      <c r="F53" s="141">
        <f t="shared" si="40"/>
        <v>6919900</v>
      </c>
      <c r="G53" s="141">
        <f t="shared" si="40"/>
        <v>10308600</v>
      </c>
      <c r="H53" s="141">
        <f t="shared" si="40"/>
        <v>4642900</v>
      </c>
      <c r="I53" s="1"/>
      <c r="J53" s="1" t="s">
        <v>84</v>
      </c>
      <c r="K53" s="3">
        <f t="shared" ref="K53:Q53" si="41">K16</f>
        <v>9950228</v>
      </c>
      <c r="L53" s="3">
        <f t="shared" si="41"/>
        <v>16543405</v>
      </c>
      <c r="M53" s="3">
        <f t="shared" si="41"/>
        <v>18706062</v>
      </c>
      <c r="N53" s="3">
        <f t="shared" si="41"/>
        <v>22060271</v>
      </c>
      <c r="O53" s="3">
        <f t="shared" si="41"/>
        <v>22530000</v>
      </c>
      <c r="P53" s="3">
        <f t="shared" si="41"/>
        <v>22144400</v>
      </c>
      <c r="Q53" s="3">
        <f t="shared" si="41"/>
        <v>0</v>
      </c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 t="s">
        <v>87</v>
      </c>
      <c r="K54" s="3">
        <f t="shared" ref="K54:Q54" si="42">K18</f>
        <v>0</v>
      </c>
      <c r="L54" s="3">
        <f t="shared" si="42"/>
        <v>0</v>
      </c>
      <c r="M54" s="3">
        <f t="shared" si="42"/>
        <v>27939</v>
      </c>
      <c r="N54" s="3">
        <f t="shared" si="42"/>
        <v>0</v>
      </c>
      <c r="O54" s="3">
        <f t="shared" si="42"/>
        <v>38100</v>
      </c>
      <c r="P54" s="3">
        <f t="shared" si="42"/>
        <v>369200</v>
      </c>
      <c r="Q54" s="3">
        <f t="shared" si="42"/>
        <v>3200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1" t="s">
        <v>75</v>
      </c>
      <c r="B55" s="3">
        <f t="shared" ref="B55:H55" si="43">B12</f>
        <v>0</v>
      </c>
      <c r="C55" s="3">
        <f t="shared" si="43"/>
        <v>0</v>
      </c>
      <c r="D55" s="3">
        <f t="shared" si="43"/>
        <v>114476</v>
      </c>
      <c r="E55" s="3">
        <f t="shared" si="43"/>
        <v>31016</v>
      </c>
      <c r="F55" s="3">
        <f t="shared" si="43"/>
        <v>3500</v>
      </c>
      <c r="G55" s="3">
        <f t="shared" si="43"/>
        <v>0</v>
      </c>
      <c r="H55" s="3">
        <f t="shared" si="43"/>
        <v>0</v>
      </c>
      <c r="I55" s="1"/>
      <c r="J55" s="140" t="s">
        <v>108</v>
      </c>
      <c r="K55" s="141">
        <f t="shared" ref="K55:Q55" si="44">SUM(K52:K54)</f>
        <v>10152111</v>
      </c>
      <c r="L55" s="141">
        <f t="shared" si="44"/>
        <v>16677921</v>
      </c>
      <c r="M55" s="141">
        <f t="shared" si="44"/>
        <v>18841380</v>
      </c>
      <c r="N55" s="141">
        <f t="shared" si="44"/>
        <v>22209932</v>
      </c>
      <c r="O55" s="141">
        <f t="shared" si="44"/>
        <v>22714600</v>
      </c>
      <c r="P55" s="141">
        <f t="shared" si="44"/>
        <v>22691100</v>
      </c>
      <c r="Q55" s="141">
        <f t="shared" si="44"/>
        <v>231000</v>
      </c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5">
      <c r="A56" s="1" t="s">
        <v>77</v>
      </c>
      <c r="B56" s="3">
        <f t="shared" ref="B56:H56" si="45">B13</f>
        <v>82689</v>
      </c>
      <c r="C56" s="3">
        <f t="shared" si="45"/>
        <v>82689</v>
      </c>
      <c r="D56" s="3">
        <f t="shared" si="45"/>
        <v>82689</v>
      </c>
      <c r="E56" s="3">
        <f t="shared" si="45"/>
        <v>2689</v>
      </c>
      <c r="F56" s="3">
        <f t="shared" si="45"/>
        <v>0</v>
      </c>
      <c r="G56" s="3">
        <f t="shared" si="45"/>
        <v>0</v>
      </c>
      <c r="H56" s="3">
        <f t="shared" si="45"/>
        <v>3700</v>
      </c>
      <c r="I56" s="1"/>
      <c r="J56" s="1" t="s">
        <v>84</v>
      </c>
      <c r="K56" s="3">
        <f t="shared" ref="K56:Q56" si="46">K20</f>
        <v>3330387</v>
      </c>
      <c r="L56" s="3">
        <f t="shared" si="46"/>
        <v>3041388</v>
      </c>
      <c r="M56" s="3">
        <f t="shared" si="46"/>
        <v>4768813</v>
      </c>
      <c r="N56" s="3">
        <f t="shared" si="46"/>
        <v>4244486</v>
      </c>
      <c r="O56" s="3">
        <f t="shared" si="46"/>
        <v>11309100</v>
      </c>
      <c r="P56" s="3">
        <f t="shared" si="46"/>
        <v>4589600</v>
      </c>
      <c r="Q56" s="3">
        <f t="shared" si="46"/>
        <v>8769900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5">
      <c r="A57" s="140" t="s">
        <v>109</v>
      </c>
      <c r="B57" s="141">
        <f t="shared" ref="B57:H57" si="47">SUM(B55:B56)</f>
        <v>82689</v>
      </c>
      <c r="C57" s="141">
        <f t="shared" si="47"/>
        <v>82689</v>
      </c>
      <c r="D57" s="141">
        <f t="shared" si="47"/>
        <v>197165</v>
      </c>
      <c r="E57" s="141">
        <f t="shared" si="47"/>
        <v>33705</v>
      </c>
      <c r="F57" s="141">
        <f t="shared" si="47"/>
        <v>3500</v>
      </c>
      <c r="G57" s="141">
        <f t="shared" si="47"/>
        <v>0</v>
      </c>
      <c r="H57" s="141">
        <f t="shared" si="47"/>
        <v>3700</v>
      </c>
      <c r="I57" s="1"/>
      <c r="J57" s="1" t="s">
        <v>75</v>
      </c>
      <c r="K57" s="3">
        <f t="shared" ref="K57:Q57" si="48">K24</f>
        <v>458958</v>
      </c>
      <c r="L57" s="3">
        <f t="shared" si="48"/>
        <v>782523</v>
      </c>
      <c r="M57" s="3">
        <f t="shared" si="48"/>
        <v>86306</v>
      </c>
      <c r="N57" s="3">
        <f t="shared" si="48"/>
        <v>41819</v>
      </c>
      <c r="O57" s="3">
        <f t="shared" si="48"/>
        <v>1359400</v>
      </c>
      <c r="P57" s="3">
        <f t="shared" si="48"/>
        <v>0</v>
      </c>
      <c r="Q57" s="3">
        <f t="shared" si="48"/>
        <v>49200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1" t="s">
        <v>88</v>
      </c>
      <c r="B58" s="3">
        <f t="shared" ref="B58:H58" si="49">B19</f>
        <v>0</v>
      </c>
      <c r="C58" s="3">
        <f t="shared" si="49"/>
        <v>0</v>
      </c>
      <c r="D58" s="3">
        <f t="shared" si="49"/>
        <v>0</v>
      </c>
      <c r="E58" s="3">
        <f t="shared" si="49"/>
        <v>0</v>
      </c>
      <c r="F58" s="3">
        <f t="shared" si="49"/>
        <v>850600</v>
      </c>
      <c r="G58" s="3">
        <f t="shared" si="49"/>
        <v>1204500</v>
      </c>
      <c r="H58" s="3">
        <f t="shared" si="49"/>
        <v>30377100</v>
      </c>
      <c r="I58" s="1"/>
      <c r="J58" s="1" t="s">
        <v>100</v>
      </c>
      <c r="K58" s="3">
        <f t="shared" ref="K58:Q58" si="50">K27</f>
        <v>0</v>
      </c>
      <c r="L58" s="3">
        <f t="shared" si="50"/>
        <v>0</v>
      </c>
      <c r="M58" s="3">
        <f t="shared" si="50"/>
        <v>0</v>
      </c>
      <c r="N58" s="3">
        <f t="shared" si="50"/>
        <v>0</v>
      </c>
      <c r="O58" s="3">
        <f t="shared" si="50"/>
        <v>0</v>
      </c>
      <c r="P58" s="3">
        <f t="shared" si="50"/>
        <v>0</v>
      </c>
      <c r="Q58" s="3">
        <f t="shared" si="50"/>
        <v>30767800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 t="s">
        <v>75</v>
      </c>
      <c r="B59" s="3">
        <f t="shared" ref="B59:H59" si="51">B22</f>
        <v>0</v>
      </c>
      <c r="C59" s="3">
        <f t="shared" si="51"/>
        <v>0</v>
      </c>
      <c r="D59" s="3">
        <f t="shared" si="51"/>
        <v>353246</v>
      </c>
      <c r="E59" s="3">
        <f t="shared" si="51"/>
        <v>615707</v>
      </c>
      <c r="F59" s="3">
        <f t="shared" si="51"/>
        <v>32600</v>
      </c>
      <c r="G59" s="3">
        <f t="shared" si="51"/>
        <v>0</v>
      </c>
      <c r="H59" s="3">
        <f t="shared" si="51"/>
        <v>0</v>
      </c>
      <c r="I59" s="1"/>
      <c r="J59" s="140" t="s">
        <v>110</v>
      </c>
      <c r="K59" s="141">
        <f t="shared" ref="K59:Q59" si="52">SUM(K56:K58)</f>
        <v>3789345</v>
      </c>
      <c r="L59" s="141">
        <f t="shared" si="52"/>
        <v>3823911</v>
      </c>
      <c r="M59" s="141">
        <f t="shared" si="52"/>
        <v>4855119</v>
      </c>
      <c r="N59" s="141">
        <f t="shared" si="52"/>
        <v>4286305</v>
      </c>
      <c r="O59" s="141">
        <f t="shared" si="52"/>
        <v>12668500</v>
      </c>
      <c r="P59" s="141">
        <f t="shared" si="52"/>
        <v>4589600</v>
      </c>
      <c r="Q59" s="141">
        <f t="shared" si="52"/>
        <v>39586900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 t="s">
        <v>93</v>
      </c>
      <c r="B60" s="3">
        <f t="shared" ref="B60:H60" si="53">B23</f>
        <v>0</v>
      </c>
      <c r="C60" s="3">
        <f t="shared" si="53"/>
        <v>0</v>
      </c>
      <c r="D60" s="3">
        <f t="shared" si="53"/>
        <v>0</v>
      </c>
      <c r="E60" s="3">
        <f t="shared" si="53"/>
        <v>80000</v>
      </c>
      <c r="F60" s="3">
        <f t="shared" si="53"/>
        <v>2051800.0000000002</v>
      </c>
      <c r="G60" s="3">
        <f t="shared" si="53"/>
        <v>0</v>
      </c>
      <c r="H60" s="3">
        <f t="shared" si="53"/>
        <v>0</v>
      </c>
      <c r="I60" s="1"/>
      <c r="J60" s="140" t="s">
        <v>111</v>
      </c>
      <c r="K60" s="141">
        <f t="shared" ref="K60:Q60" si="54">K55+K59</f>
        <v>13941456</v>
      </c>
      <c r="L60" s="141">
        <f t="shared" si="54"/>
        <v>20501832</v>
      </c>
      <c r="M60" s="141">
        <f t="shared" si="54"/>
        <v>23696499</v>
      </c>
      <c r="N60" s="141">
        <f t="shared" si="54"/>
        <v>26496237</v>
      </c>
      <c r="O60" s="141">
        <f t="shared" si="54"/>
        <v>35383100</v>
      </c>
      <c r="P60" s="141">
        <f t="shared" si="54"/>
        <v>27280700</v>
      </c>
      <c r="Q60" s="141">
        <f t="shared" si="54"/>
        <v>39817900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 t="s">
        <v>95</v>
      </c>
      <c r="B61" s="3">
        <f t="shared" ref="B61:H61" si="55">B24</f>
        <v>2011139</v>
      </c>
      <c r="C61" s="3">
        <f t="shared" si="55"/>
        <v>2454160</v>
      </c>
      <c r="D61" s="3">
        <f t="shared" si="55"/>
        <v>2323647</v>
      </c>
      <c r="E61" s="3">
        <f t="shared" si="55"/>
        <v>4039776</v>
      </c>
      <c r="F61" s="3">
        <f t="shared" si="55"/>
        <v>1921700</v>
      </c>
      <c r="G61" s="3">
        <f t="shared" si="55"/>
        <v>3095600</v>
      </c>
      <c r="H61" s="3">
        <f t="shared" si="55"/>
        <v>2666900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40" t="s">
        <v>112</v>
      </c>
      <c r="B62" s="141">
        <f t="shared" ref="B62:H62" si="56">SUM(B58:B61)</f>
        <v>2011139</v>
      </c>
      <c r="C62" s="141">
        <f t="shared" si="56"/>
        <v>2454160</v>
      </c>
      <c r="D62" s="141">
        <f t="shared" si="56"/>
        <v>2676893</v>
      </c>
      <c r="E62" s="141">
        <f t="shared" si="56"/>
        <v>4735483</v>
      </c>
      <c r="F62" s="141">
        <f t="shared" si="56"/>
        <v>4856700</v>
      </c>
      <c r="G62" s="141">
        <f t="shared" si="56"/>
        <v>4300100</v>
      </c>
      <c r="H62" s="141">
        <f t="shared" si="56"/>
        <v>33044000</v>
      </c>
      <c r="I62" s="1"/>
      <c r="J62" s="1" t="s">
        <v>86</v>
      </c>
      <c r="K62" s="3">
        <f t="shared" ref="K62:Q62" si="57">K21</f>
        <v>0</v>
      </c>
      <c r="L62" s="3">
        <f t="shared" si="57"/>
        <v>0</v>
      </c>
      <c r="M62" s="3">
        <f t="shared" si="57"/>
        <v>0</v>
      </c>
      <c r="N62" s="3">
        <f t="shared" si="57"/>
        <v>0</v>
      </c>
      <c r="O62" s="3">
        <f t="shared" si="57"/>
        <v>0</v>
      </c>
      <c r="P62" s="3">
        <f t="shared" si="57"/>
        <v>4194500</v>
      </c>
      <c r="Q62" s="3">
        <f t="shared" si="57"/>
        <v>3165400</v>
      </c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40" t="s">
        <v>113</v>
      </c>
      <c r="B63" s="141">
        <f t="shared" ref="B63:H63" si="58">B57+B62</f>
        <v>2093828</v>
      </c>
      <c r="C63" s="141">
        <f t="shared" si="58"/>
        <v>2536849</v>
      </c>
      <c r="D63" s="141">
        <f t="shared" si="58"/>
        <v>2874058</v>
      </c>
      <c r="E63" s="141">
        <f t="shared" si="58"/>
        <v>4769188</v>
      </c>
      <c r="F63" s="141">
        <f t="shared" si="58"/>
        <v>4860200</v>
      </c>
      <c r="G63" s="141">
        <f t="shared" si="58"/>
        <v>4300100</v>
      </c>
      <c r="H63" s="141">
        <f t="shared" si="58"/>
        <v>33047700</v>
      </c>
      <c r="I63" s="1"/>
      <c r="J63" s="1" t="s">
        <v>92</v>
      </c>
      <c r="K63" s="3">
        <f t="shared" ref="K63:Q63" si="59">K22</f>
        <v>2680445</v>
      </c>
      <c r="L63" s="3">
        <f t="shared" si="59"/>
        <v>2862566</v>
      </c>
      <c r="M63" s="3">
        <f t="shared" si="59"/>
        <v>3881684</v>
      </c>
      <c r="N63" s="3">
        <f t="shared" si="59"/>
        <v>5568261</v>
      </c>
      <c r="O63" s="3">
        <f t="shared" si="59"/>
        <v>8011800</v>
      </c>
      <c r="P63" s="3">
        <f t="shared" si="59"/>
        <v>9129500</v>
      </c>
      <c r="Q63" s="3">
        <f t="shared" si="59"/>
        <v>10328800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 t="s">
        <v>94</v>
      </c>
      <c r="K64" s="3">
        <f t="shared" ref="K64:Q64" si="60">K23</f>
        <v>2965427</v>
      </c>
      <c r="L64" s="3">
        <f t="shared" si="60"/>
        <v>4014428</v>
      </c>
      <c r="M64" s="3">
        <f t="shared" si="60"/>
        <v>4666212</v>
      </c>
      <c r="N64" s="3">
        <f t="shared" si="60"/>
        <v>6493615</v>
      </c>
      <c r="O64" s="3">
        <f t="shared" si="60"/>
        <v>6907300</v>
      </c>
      <c r="P64" s="3">
        <f t="shared" si="60"/>
        <v>6106500</v>
      </c>
      <c r="Q64" s="3">
        <f t="shared" si="60"/>
        <v>401500</v>
      </c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32" t="s">
        <v>114</v>
      </c>
      <c r="B65" s="20">
        <f t="shared" ref="B65:H65" si="61">B49+B63+B53</f>
        <v>22706349</v>
      </c>
      <c r="C65" s="20">
        <f t="shared" si="61"/>
        <v>31634114</v>
      </c>
      <c r="D65" s="20">
        <f t="shared" si="61"/>
        <v>37762651</v>
      </c>
      <c r="E65" s="20">
        <f t="shared" si="61"/>
        <v>43522670</v>
      </c>
      <c r="F65" s="20">
        <f t="shared" si="61"/>
        <v>55985200</v>
      </c>
      <c r="G65" s="20">
        <f t="shared" si="61"/>
        <v>85343000</v>
      </c>
      <c r="H65" s="20">
        <f t="shared" si="61"/>
        <v>49553900</v>
      </c>
      <c r="I65" s="1"/>
      <c r="J65" s="1" t="s">
        <v>97</v>
      </c>
      <c r="K65" s="3">
        <f t="shared" ref="K65:Q65" si="62">K25</f>
        <v>2211</v>
      </c>
      <c r="L65" s="3">
        <f t="shared" si="62"/>
        <v>32123</v>
      </c>
      <c r="M65" s="3">
        <f t="shared" si="62"/>
        <v>7650</v>
      </c>
      <c r="N65" s="3">
        <f t="shared" si="62"/>
        <v>49629</v>
      </c>
      <c r="O65" s="3">
        <f t="shared" si="62"/>
        <v>31400</v>
      </c>
      <c r="P65" s="3">
        <f t="shared" si="62"/>
        <v>6100</v>
      </c>
      <c r="Q65" s="3">
        <f t="shared" si="62"/>
        <v>15800</v>
      </c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 t="s">
        <v>98</v>
      </c>
      <c r="K66" s="3">
        <f t="shared" ref="K66:Q66" si="63">K26</f>
        <v>0</v>
      </c>
      <c r="L66" s="3">
        <f t="shared" si="63"/>
        <v>0</v>
      </c>
      <c r="M66" s="3">
        <f t="shared" si="63"/>
        <v>0</v>
      </c>
      <c r="N66" s="3">
        <f t="shared" si="63"/>
        <v>0</v>
      </c>
      <c r="O66" s="3">
        <f t="shared" si="63"/>
        <v>0</v>
      </c>
      <c r="P66" s="3">
        <f t="shared" si="63"/>
        <v>0</v>
      </c>
      <c r="Q66" s="3">
        <f t="shared" si="63"/>
        <v>0</v>
      </c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40" t="s">
        <v>115</v>
      </c>
      <c r="K67" s="141">
        <f t="shared" ref="K67:Q67" si="64">SUM(K62:K66)</f>
        <v>5648083</v>
      </c>
      <c r="L67" s="141">
        <f t="shared" si="64"/>
        <v>6909117</v>
      </c>
      <c r="M67" s="141">
        <f t="shared" si="64"/>
        <v>8555546</v>
      </c>
      <c r="N67" s="141">
        <f t="shared" si="64"/>
        <v>12111505</v>
      </c>
      <c r="O67" s="141">
        <f t="shared" si="64"/>
        <v>14950500</v>
      </c>
      <c r="P67" s="141">
        <f t="shared" si="64"/>
        <v>19436600</v>
      </c>
      <c r="Q67" s="141">
        <f t="shared" si="64"/>
        <v>13911500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32" t="s">
        <v>116</v>
      </c>
      <c r="K69" s="20">
        <f t="shared" ref="K69:Q69" si="65">K44+K50+K60+K67</f>
        <v>22706348</v>
      </c>
      <c r="L69" s="20">
        <f t="shared" si="65"/>
        <v>31634112</v>
      </c>
      <c r="M69" s="20">
        <f t="shared" si="65"/>
        <v>37762652</v>
      </c>
      <c r="N69" s="20">
        <f t="shared" si="65"/>
        <v>43522670</v>
      </c>
      <c r="O69" s="20">
        <f t="shared" si="65"/>
        <v>55985300</v>
      </c>
      <c r="P69" s="20">
        <f t="shared" si="65"/>
        <v>85342800</v>
      </c>
      <c r="Q69" s="20">
        <f t="shared" si="65"/>
        <v>49554000</v>
      </c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250" t="s">
        <v>117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37" t="s">
        <v>56</v>
      </c>
      <c r="B73" s="137">
        <v>2014</v>
      </c>
      <c r="C73" s="137">
        <v>2015</v>
      </c>
      <c r="D73" s="137">
        <v>2016</v>
      </c>
      <c r="E73" s="137">
        <v>2017</v>
      </c>
      <c r="F73" s="137">
        <v>2018</v>
      </c>
      <c r="G73" s="137">
        <v>2019</v>
      </c>
      <c r="H73" s="137">
        <v>2020</v>
      </c>
      <c r="I73" s="132"/>
      <c r="J73" s="137" t="s">
        <v>57</v>
      </c>
      <c r="K73" s="137">
        <v>2014</v>
      </c>
      <c r="L73" s="137">
        <v>2015</v>
      </c>
      <c r="M73" s="137">
        <v>2016</v>
      </c>
      <c r="N73" s="137">
        <v>2017</v>
      </c>
      <c r="O73" s="137">
        <v>2018</v>
      </c>
      <c r="P73" s="137">
        <v>2019</v>
      </c>
      <c r="Q73" s="137">
        <v>2020</v>
      </c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 t="s">
        <v>58</v>
      </c>
      <c r="B74" s="3">
        <f t="shared" ref="B74:H74" si="66">B37</f>
        <v>206826</v>
      </c>
      <c r="C74" s="3">
        <f t="shared" si="66"/>
        <v>206675</v>
      </c>
      <c r="D74" s="3">
        <f t="shared" si="66"/>
        <v>198260</v>
      </c>
      <c r="E74" s="3">
        <f t="shared" si="66"/>
        <v>201383</v>
      </c>
      <c r="F74" s="3">
        <f t="shared" si="66"/>
        <v>212300</v>
      </c>
      <c r="G74" s="3">
        <f t="shared" si="66"/>
        <v>198200</v>
      </c>
      <c r="H74" s="3">
        <f t="shared" si="66"/>
        <v>200900</v>
      </c>
      <c r="I74" s="1"/>
      <c r="J74" s="1" t="s">
        <v>59</v>
      </c>
      <c r="K74" s="3">
        <f t="shared" ref="K74:Q74" si="67">K37</f>
        <v>3516</v>
      </c>
      <c r="L74" s="3">
        <f t="shared" si="67"/>
        <v>3576</v>
      </c>
      <c r="M74" s="3">
        <f t="shared" si="67"/>
        <v>3576</v>
      </c>
      <c r="N74" s="3">
        <f t="shared" si="67"/>
        <v>3576</v>
      </c>
      <c r="O74" s="3">
        <f t="shared" si="67"/>
        <v>4500</v>
      </c>
      <c r="P74" s="3">
        <f t="shared" si="67"/>
        <v>16300</v>
      </c>
      <c r="Q74" s="3">
        <f t="shared" si="67"/>
        <v>397500</v>
      </c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 t="s">
        <v>60</v>
      </c>
      <c r="B75" s="3">
        <f t="shared" ref="B75:H75" si="68">B38</f>
        <v>518915</v>
      </c>
      <c r="C75" s="3">
        <f t="shared" si="68"/>
        <v>593626</v>
      </c>
      <c r="D75" s="3">
        <f t="shared" si="68"/>
        <v>241499</v>
      </c>
      <c r="E75" s="3">
        <f t="shared" si="68"/>
        <v>1018927</v>
      </c>
      <c r="F75" s="3">
        <f t="shared" si="68"/>
        <v>2673800</v>
      </c>
      <c r="G75" s="3">
        <f t="shared" si="68"/>
        <v>2672400</v>
      </c>
      <c r="H75" s="3">
        <f t="shared" si="68"/>
        <v>1966200</v>
      </c>
      <c r="I75" s="1"/>
      <c r="J75" s="1" t="s">
        <v>61</v>
      </c>
      <c r="K75" s="3">
        <f t="shared" ref="K75:Q75" si="69">K38</f>
        <v>1093549</v>
      </c>
      <c r="L75" s="3">
        <f t="shared" si="69"/>
        <v>1231632</v>
      </c>
      <c r="M75" s="3">
        <f t="shared" si="69"/>
        <v>1231631</v>
      </c>
      <c r="N75" s="3">
        <f t="shared" si="69"/>
        <v>1231631</v>
      </c>
      <c r="O75" s="3">
        <f t="shared" si="69"/>
        <v>2686700</v>
      </c>
      <c r="P75" s="3">
        <f t="shared" si="69"/>
        <v>6664100</v>
      </c>
      <c r="Q75" s="3">
        <f t="shared" si="69"/>
        <v>18805100</v>
      </c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 t="s">
        <v>62</v>
      </c>
      <c r="B76" s="3">
        <f t="shared" ref="B76:H76" si="70">B39</f>
        <v>12527932</v>
      </c>
      <c r="C76" s="3">
        <f t="shared" si="70"/>
        <v>18507706</v>
      </c>
      <c r="D76" s="3">
        <f t="shared" si="70"/>
        <v>22571775</v>
      </c>
      <c r="E76" s="3">
        <f t="shared" si="70"/>
        <v>25861883</v>
      </c>
      <c r="F76" s="3">
        <f t="shared" si="70"/>
        <v>31064200</v>
      </c>
      <c r="G76" s="3">
        <f t="shared" si="70"/>
        <v>27392000</v>
      </c>
      <c r="H76" s="3">
        <f t="shared" si="70"/>
        <v>6129600</v>
      </c>
      <c r="I76" s="1"/>
      <c r="J76" s="1" t="s">
        <v>63</v>
      </c>
      <c r="K76" s="3">
        <f t="shared" ref="K76:Q76" si="71">K39</f>
        <v>87221</v>
      </c>
      <c r="L76" s="3">
        <f t="shared" si="71"/>
        <v>94362</v>
      </c>
      <c r="M76" s="3">
        <f t="shared" si="71"/>
        <v>110621</v>
      </c>
      <c r="N76" s="3">
        <f t="shared" si="71"/>
        <v>127769</v>
      </c>
      <c r="O76" s="3">
        <f t="shared" si="71"/>
        <v>132900</v>
      </c>
      <c r="P76" s="3">
        <f t="shared" si="71"/>
        <v>149200</v>
      </c>
      <c r="Q76" s="3">
        <f t="shared" si="71"/>
        <v>943500</v>
      </c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 t="s">
        <v>64</v>
      </c>
      <c r="B77" s="3">
        <f t="shared" ref="B77:H77" si="72">B40</f>
        <v>0</v>
      </c>
      <c r="C77" s="3">
        <f t="shared" si="72"/>
        <v>0</v>
      </c>
      <c r="D77" s="3">
        <f t="shared" si="72"/>
        <v>0</v>
      </c>
      <c r="E77" s="3">
        <f t="shared" si="72"/>
        <v>0</v>
      </c>
      <c r="F77" s="3">
        <f t="shared" si="72"/>
        <v>0</v>
      </c>
      <c r="G77" s="3">
        <f t="shared" si="72"/>
        <v>33245400</v>
      </c>
      <c r="H77" s="3">
        <f t="shared" si="72"/>
        <v>2791400</v>
      </c>
      <c r="I77" s="1"/>
      <c r="J77" s="1" t="s">
        <v>65</v>
      </c>
      <c r="K77" s="3">
        <f t="shared" ref="K77:Q77" si="73">K40</f>
        <v>455099</v>
      </c>
      <c r="L77" s="3">
        <f t="shared" si="73"/>
        <v>876192</v>
      </c>
      <c r="M77" s="3">
        <f t="shared" si="73"/>
        <v>773112</v>
      </c>
      <c r="N77" s="3">
        <f t="shared" si="73"/>
        <v>641437</v>
      </c>
      <c r="O77" s="3">
        <f t="shared" si="73"/>
        <v>1011700</v>
      </c>
      <c r="P77" s="3">
        <f t="shared" si="73"/>
        <v>1085500</v>
      </c>
      <c r="Q77" s="3">
        <f t="shared" si="73"/>
        <v>112800</v>
      </c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 t="s">
        <v>66</v>
      </c>
      <c r="B78" s="3">
        <f t="shared" ref="B78:H78" si="74">B41</f>
        <v>83687</v>
      </c>
      <c r="C78" s="3">
        <f t="shared" si="74"/>
        <v>79508</v>
      </c>
      <c r="D78" s="3">
        <f t="shared" si="74"/>
        <v>88361</v>
      </c>
      <c r="E78" s="3">
        <f t="shared" si="74"/>
        <v>90458</v>
      </c>
      <c r="F78" s="3">
        <f t="shared" si="74"/>
        <v>211400</v>
      </c>
      <c r="G78" s="3">
        <f t="shared" si="74"/>
        <v>197900</v>
      </c>
      <c r="H78" s="3">
        <f t="shared" si="74"/>
        <v>163200</v>
      </c>
      <c r="I78" s="1"/>
      <c r="J78" s="1" t="s">
        <v>67</v>
      </c>
      <c r="K78" s="3">
        <f t="shared" ref="K78:Q78" si="75">K41</f>
        <v>468866</v>
      </c>
      <c r="L78" s="3">
        <f t="shared" si="75"/>
        <v>759550</v>
      </c>
      <c r="M78" s="3">
        <f t="shared" si="75"/>
        <v>1919266</v>
      </c>
      <c r="N78" s="3">
        <f t="shared" si="75"/>
        <v>81666</v>
      </c>
      <c r="O78" s="3">
        <f t="shared" si="75"/>
        <v>-2148600</v>
      </c>
      <c r="P78" s="3">
        <f t="shared" si="75"/>
        <v>-3814000</v>
      </c>
      <c r="Q78" s="3">
        <f t="shared" si="75"/>
        <v>-26882700</v>
      </c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 t="s">
        <v>68</v>
      </c>
      <c r="B79" s="3">
        <f t="shared" ref="B79:H79" si="76">B42</f>
        <v>0</v>
      </c>
      <c r="C79" s="3">
        <f t="shared" si="76"/>
        <v>0</v>
      </c>
      <c r="D79" s="3">
        <f t="shared" si="76"/>
        <v>0</v>
      </c>
      <c r="E79" s="3">
        <f t="shared" si="76"/>
        <v>0</v>
      </c>
      <c r="F79" s="3">
        <f t="shared" si="76"/>
        <v>0</v>
      </c>
      <c r="G79" s="3">
        <f t="shared" si="76"/>
        <v>35700</v>
      </c>
      <c r="H79" s="3">
        <f t="shared" si="76"/>
        <v>0</v>
      </c>
      <c r="I79" s="1"/>
      <c r="J79" s="144" t="s">
        <v>69</v>
      </c>
      <c r="K79" s="139">
        <f t="shared" ref="K79:Q79" si="77">K42</f>
        <v>2108251</v>
      </c>
      <c r="L79" s="139">
        <f t="shared" si="77"/>
        <v>2965312</v>
      </c>
      <c r="M79" s="139">
        <f t="shared" si="77"/>
        <v>4038206</v>
      </c>
      <c r="N79" s="139">
        <f t="shared" si="77"/>
        <v>2086079</v>
      </c>
      <c r="O79" s="139">
        <f t="shared" si="77"/>
        <v>1687200</v>
      </c>
      <c r="P79" s="139">
        <f t="shared" si="77"/>
        <v>4101100</v>
      </c>
      <c r="Q79" s="139">
        <f t="shared" si="77"/>
        <v>-6623800</v>
      </c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 t="s">
        <v>70</v>
      </c>
      <c r="B80" s="3">
        <f t="shared" ref="B80:H80" si="78">B43</f>
        <v>252236</v>
      </c>
      <c r="C80" s="3">
        <f t="shared" si="78"/>
        <v>285674</v>
      </c>
      <c r="D80" s="3">
        <f t="shared" si="78"/>
        <v>283236</v>
      </c>
      <c r="E80" s="3">
        <f t="shared" si="78"/>
        <v>279463</v>
      </c>
      <c r="F80" s="3">
        <f t="shared" si="78"/>
        <v>269400</v>
      </c>
      <c r="G80" s="3">
        <f t="shared" si="78"/>
        <v>263700</v>
      </c>
      <c r="H80" s="3">
        <f t="shared" si="78"/>
        <v>252400</v>
      </c>
      <c r="I80" s="1"/>
      <c r="J80" s="1" t="s">
        <v>71</v>
      </c>
      <c r="K80" s="3">
        <f t="shared" ref="K80:Q80" si="79">K43</f>
        <v>0</v>
      </c>
      <c r="L80" s="3">
        <f t="shared" si="79"/>
        <v>0</v>
      </c>
      <c r="M80" s="3">
        <f t="shared" si="79"/>
        <v>10770</v>
      </c>
      <c r="N80" s="3">
        <f t="shared" si="79"/>
        <v>12328</v>
      </c>
      <c r="O80" s="3">
        <f t="shared" si="79"/>
        <v>17300</v>
      </c>
      <c r="P80" s="3">
        <f t="shared" si="79"/>
        <v>23800</v>
      </c>
      <c r="Q80" s="3">
        <f t="shared" si="79"/>
        <v>0</v>
      </c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 t="s">
        <v>72</v>
      </c>
      <c r="B81" s="3">
        <f t="shared" ref="B81:H81" si="80">B44</f>
        <v>0</v>
      </c>
      <c r="C81" s="3">
        <f t="shared" si="80"/>
        <v>0</v>
      </c>
      <c r="D81" s="3">
        <f t="shared" si="80"/>
        <v>0</v>
      </c>
      <c r="E81" s="3">
        <f t="shared" si="80"/>
        <v>0</v>
      </c>
      <c r="F81" s="3">
        <f t="shared" si="80"/>
        <v>0</v>
      </c>
      <c r="G81" s="3">
        <f t="shared" si="80"/>
        <v>297300</v>
      </c>
      <c r="H81" s="3">
        <f t="shared" si="80"/>
        <v>216600</v>
      </c>
      <c r="I81" s="1"/>
      <c r="J81" s="144" t="s">
        <v>73</v>
      </c>
      <c r="K81" s="139">
        <f t="shared" ref="K81:Q81" si="81">K44</f>
        <v>2108251</v>
      </c>
      <c r="L81" s="139">
        <f t="shared" si="81"/>
        <v>2965312</v>
      </c>
      <c r="M81" s="139">
        <f t="shared" si="81"/>
        <v>4048976</v>
      </c>
      <c r="N81" s="139">
        <f t="shared" si="81"/>
        <v>2098407</v>
      </c>
      <c r="O81" s="139">
        <f t="shared" si="81"/>
        <v>1704500</v>
      </c>
      <c r="P81" s="139">
        <f t="shared" si="81"/>
        <v>4124900</v>
      </c>
      <c r="Q81" s="139">
        <f t="shared" si="81"/>
        <v>-6623800</v>
      </c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 t="s">
        <v>74</v>
      </c>
      <c r="B82" s="3">
        <f t="shared" ref="B82:H82" si="82">B45</f>
        <v>19234</v>
      </c>
      <c r="C82" s="3">
        <f t="shared" si="82"/>
        <v>0</v>
      </c>
      <c r="D82" s="3">
        <f t="shared" si="82"/>
        <v>0</v>
      </c>
      <c r="E82" s="3">
        <f t="shared" si="82"/>
        <v>0</v>
      </c>
      <c r="F82" s="3">
        <f t="shared" si="82"/>
        <v>0</v>
      </c>
      <c r="G82" s="3">
        <f t="shared" si="82"/>
        <v>0</v>
      </c>
      <c r="H82" s="3">
        <f t="shared" si="82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 t="s">
        <v>79</v>
      </c>
      <c r="B83" s="3">
        <f t="shared" ref="B83:H83" si="83">B46</f>
        <v>223594</v>
      </c>
      <c r="C83" s="3">
        <f t="shared" si="83"/>
        <v>328127</v>
      </c>
      <c r="D83" s="3">
        <f t="shared" si="83"/>
        <v>609110</v>
      </c>
      <c r="E83" s="3">
        <f t="shared" si="83"/>
        <v>832561</v>
      </c>
      <c r="F83" s="3">
        <f t="shared" si="83"/>
        <v>70300</v>
      </c>
      <c r="G83" s="3">
        <f t="shared" si="83"/>
        <v>23700</v>
      </c>
      <c r="H83" s="3">
        <f t="shared" si="83"/>
        <v>80400</v>
      </c>
      <c r="I83" s="1"/>
      <c r="J83" s="1" t="s">
        <v>76</v>
      </c>
      <c r="K83" s="3">
        <f t="shared" ref="K83:Q83" si="84">K52</f>
        <v>201883</v>
      </c>
      <c r="L83" s="3">
        <f t="shared" si="84"/>
        <v>134516</v>
      </c>
      <c r="M83" s="3">
        <f t="shared" si="84"/>
        <v>107379</v>
      </c>
      <c r="N83" s="3">
        <f t="shared" si="84"/>
        <v>149661</v>
      </c>
      <c r="O83" s="3">
        <f t="shared" si="84"/>
        <v>146500</v>
      </c>
      <c r="P83" s="3">
        <f t="shared" si="84"/>
        <v>177500</v>
      </c>
      <c r="Q83" s="3">
        <f t="shared" si="84"/>
        <v>227800</v>
      </c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 t="s">
        <v>81</v>
      </c>
      <c r="B84" s="3">
        <f t="shared" ref="B84:H84" si="85">B47</f>
        <v>4102664</v>
      </c>
      <c r="C84" s="3">
        <f t="shared" si="85"/>
        <v>5939281</v>
      </c>
      <c r="D84" s="3">
        <f t="shared" si="85"/>
        <v>7156303</v>
      </c>
      <c r="E84" s="3">
        <f t="shared" si="85"/>
        <v>5219372</v>
      </c>
      <c r="F84" s="3">
        <f t="shared" si="85"/>
        <v>8561300</v>
      </c>
      <c r="G84" s="3">
        <f t="shared" si="85"/>
        <v>4946600</v>
      </c>
      <c r="H84" s="3">
        <f t="shared" si="85"/>
        <v>0</v>
      </c>
      <c r="I84" s="1"/>
      <c r="J84" s="1" t="s">
        <v>84</v>
      </c>
      <c r="K84" s="3">
        <f t="shared" ref="K84:Q84" si="86">K53</f>
        <v>9950228</v>
      </c>
      <c r="L84" s="3">
        <f t="shared" si="86"/>
        <v>16543405</v>
      </c>
      <c r="M84" s="3">
        <f t="shared" si="86"/>
        <v>18706062</v>
      </c>
      <c r="N84" s="3">
        <f t="shared" si="86"/>
        <v>22060271</v>
      </c>
      <c r="O84" s="3">
        <f t="shared" si="86"/>
        <v>22530000</v>
      </c>
      <c r="P84" s="3">
        <f t="shared" si="86"/>
        <v>22144400</v>
      </c>
      <c r="Q84" s="3">
        <f t="shared" si="86"/>
        <v>0</v>
      </c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 t="s">
        <v>83</v>
      </c>
      <c r="B85" s="3">
        <f t="shared" ref="B85:H85" si="87">B48</f>
        <v>421060</v>
      </c>
      <c r="C85" s="3">
        <f t="shared" si="87"/>
        <v>501811</v>
      </c>
      <c r="D85" s="3">
        <f t="shared" si="87"/>
        <v>623606</v>
      </c>
      <c r="E85" s="3">
        <f t="shared" si="87"/>
        <v>789974</v>
      </c>
      <c r="F85" s="3">
        <f t="shared" si="87"/>
        <v>1142400</v>
      </c>
      <c r="G85" s="3">
        <f t="shared" si="87"/>
        <v>1461400</v>
      </c>
      <c r="H85" s="3">
        <f t="shared" si="87"/>
        <v>62600</v>
      </c>
      <c r="I85" s="1"/>
      <c r="J85" s="1" t="s">
        <v>87</v>
      </c>
      <c r="K85" s="3">
        <f t="shared" ref="K85:Q85" si="88">K54</f>
        <v>0</v>
      </c>
      <c r="L85" s="3">
        <f t="shared" si="88"/>
        <v>0</v>
      </c>
      <c r="M85" s="3">
        <f t="shared" si="88"/>
        <v>27939</v>
      </c>
      <c r="N85" s="3">
        <f t="shared" si="88"/>
        <v>0</v>
      </c>
      <c r="O85" s="3">
        <f t="shared" si="88"/>
        <v>38100</v>
      </c>
      <c r="P85" s="3">
        <f t="shared" si="88"/>
        <v>369200</v>
      </c>
      <c r="Q85" s="3">
        <f t="shared" si="88"/>
        <v>3200</v>
      </c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40" t="s">
        <v>105</v>
      </c>
      <c r="B86" s="141">
        <f t="shared" ref="B86:H86" si="89">B49</f>
        <v>18356148</v>
      </c>
      <c r="C86" s="141">
        <f t="shared" si="89"/>
        <v>26442408</v>
      </c>
      <c r="D86" s="141">
        <f t="shared" si="89"/>
        <v>31772150</v>
      </c>
      <c r="E86" s="141">
        <f t="shared" si="89"/>
        <v>34294021</v>
      </c>
      <c r="F86" s="141">
        <f t="shared" si="89"/>
        <v>44205100</v>
      </c>
      <c r="G86" s="141">
        <f t="shared" si="89"/>
        <v>70734300</v>
      </c>
      <c r="H86" s="141">
        <f t="shared" si="89"/>
        <v>11863300</v>
      </c>
      <c r="I86" s="1"/>
      <c r="J86" s="140" t="s">
        <v>108</v>
      </c>
      <c r="K86" s="141">
        <f t="shared" ref="K86:Q86" si="90">K55</f>
        <v>10152111</v>
      </c>
      <c r="L86" s="141">
        <f t="shared" si="90"/>
        <v>16677921</v>
      </c>
      <c r="M86" s="141">
        <f t="shared" si="90"/>
        <v>18841380</v>
      </c>
      <c r="N86" s="141">
        <f t="shared" si="90"/>
        <v>22209932</v>
      </c>
      <c r="O86" s="141">
        <f t="shared" si="90"/>
        <v>22714600</v>
      </c>
      <c r="P86" s="141">
        <f t="shared" si="90"/>
        <v>22691100</v>
      </c>
      <c r="Q86" s="141">
        <f t="shared" si="90"/>
        <v>231000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5" t="s">
        <v>78</v>
      </c>
      <c r="B87" s="3">
        <f t="shared" ref="B87:H87" si="91">-K46</f>
        <v>-835480</v>
      </c>
      <c r="C87" s="3">
        <f t="shared" si="91"/>
        <v>-1177513</v>
      </c>
      <c r="D87" s="3">
        <f t="shared" si="91"/>
        <v>-1376465</v>
      </c>
      <c r="E87" s="3">
        <f t="shared" si="91"/>
        <v>-2679400</v>
      </c>
      <c r="F87" s="3">
        <f t="shared" si="91"/>
        <v>-3187500</v>
      </c>
      <c r="G87" s="3">
        <f t="shared" si="91"/>
        <v>-3879000</v>
      </c>
      <c r="H87" s="3">
        <f t="shared" si="91"/>
        <v>-1598800</v>
      </c>
      <c r="I87" s="1"/>
      <c r="J87" s="1" t="s">
        <v>84</v>
      </c>
      <c r="K87" s="3">
        <f t="shared" ref="K87:Q87" si="92">K56</f>
        <v>3330387</v>
      </c>
      <c r="L87" s="3">
        <f t="shared" si="92"/>
        <v>3041388</v>
      </c>
      <c r="M87" s="3">
        <f t="shared" si="92"/>
        <v>4768813</v>
      </c>
      <c r="N87" s="3">
        <f t="shared" si="92"/>
        <v>4244486</v>
      </c>
      <c r="O87" s="3">
        <f t="shared" si="92"/>
        <v>11309100</v>
      </c>
      <c r="P87" s="3">
        <f t="shared" si="92"/>
        <v>4589600</v>
      </c>
      <c r="Q87" s="3">
        <f t="shared" si="92"/>
        <v>8769900</v>
      </c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5" t="s">
        <v>80</v>
      </c>
      <c r="B88" s="3">
        <f t="shared" ref="B88:H88" si="93">-K47</f>
        <v>0</v>
      </c>
      <c r="C88" s="3">
        <f t="shared" si="93"/>
        <v>-80338</v>
      </c>
      <c r="D88" s="3">
        <f t="shared" si="93"/>
        <v>-85166</v>
      </c>
      <c r="E88" s="3">
        <f t="shared" si="93"/>
        <v>-137121</v>
      </c>
      <c r="F88" s="3">
        <f t="shared" si="93"/>
        <v>-145200</v>
      </c>
      <c r="G88" s="3">
        <f t="shared" si="93"/>
        <v>-1100</v>
      </c>
      <c r="H88" s="3">
        <f t="shared" si="93"/>
        <v>-13900</v>
      </c>
      <c r="I88" s="1"/>
      <c r="J88" s="1" t="s">
        <v>75</v>
      </c>
      <c r="K88" s="3">
        <f t="shared" ref="K88:Q88" si="94">K57</f>
        <v>458958</v>
      </c>
      <c r="L88" s="3">
        <f t="shared" si="94"/>
        <v>782523</v>
      </c>
      <c r="M88" s="3">
        <f t="shared" si="94"/>
        <v>86306</v>
      </c>
      <c r="N88" s="3">
        <f t="shared" si="94"/>
        <v>41819</v>
      </c>
      <c r="O88" s="3">
        <f t="shared" si="94"/>
        <v>1359400</v>
      </c>
      <c r="P88" s="3">
        <f t="shared" si="94"/>
        <v>0</v>
      </c>
      <c r="Q88" s="3">
        <f t="shared" si="94"/>
        <v>49200</v>
      </c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5" t="s">
        <v>82</v>
      </c>
      <c r="B89" s="3">
        <f t="shared" ref="B89:H89" si="95">-K48</f>
        <v>-169851</v>
      </c>
      <c r="C89" s="3">
        <f t="shared" si="95"/>
        <v>0</v>
      </c>
      <c r="D89" s="3">
        <f t="shared" si="95"/>
        <v>0</v>
      </c>
      <c r="E89" s="3">
        <f t="shared" si="95"/>
        <v>0</v>
      </c>
      <c r="F89" s="3">
        <f t="shared" si="95"/>
        <v>-614500</v>
      </c>
      <c r="G89" s="3">
        <f t="shared" si="95"/>
        <v>-540700</v>
      </c>
      <c r="H89" s="3">
        <f t="shared" si="95"/>
        <v>-650000</v>
      </c>
      <c r="I89" s="1"/>
      <c r="J89" s="1" t="s">
        <v>100</v>
      </c>
      <c r="K89" s="3">
        <f t="shared" ref="K89:Q89" si="96">K58</f>
        <v>0</v>
      </c>
      <c r="L89" s="3">
        <f t="shared" si="96"/>
        <v>0</v>
      </c>
      <c r="M89" s="3">
        <f t="shared" si="96"/>
        <v>0</v>
      </c>
      <c r="N89" s="3">
        <f t="shared" si="96"/>
        <v>0</v>
      </c>
      <c r="O89" s="3">
        <f t="shared" si="96"/>
        <v>0</v>
      </c>
      <c r="P89" s="3">
        <f t="shared" si="96"/>
        <v>0</v>
      </c>
      <c r="Q89" s="3">
        <f t="shared" si="96"/>
        <v>30767800</v>
      </c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5" t="s">
        <v>86</v>
      </c>
      <c r="B90" s="3">
        <f t="shared" ref="B90:H90" si="97">-K49</f>
        <v>-3227</v>
      </c>
      <c r="C90" s="3">
        <f t="shared" si="97"/>
        <v>0</v>
      </c>
      <c r="D90" s="3">
        <f t="shared" si="97"/>
        <v>0</v>
      </c>
      <c r="E90" s="3">
        <f t="shared" si="97"/>
        <v>0</v>
      </c>
      <c r="F90" s="3">
        <f t="shared" si="97"/>
        <v>0</v>
      </c>
      <c r="G90" s="3">
        <f t="shared" si="97"/>
        <v>-30079800</v>
      </c>
      <c r="H90" s="3">
        <f t="shared" si="97"/>
        <v>-185700</v>
      </c>
      <c r="I90" s="1"/>
      <c r="J90" s="140" t="s">
        <v>110</v>
      </c>
      <c r="K90" s="141">
        <f t="shared" ref="K90:Q90" si="98">K59</f>
        <v>3789345</v>
      </c>
      <c r="L90" s="141">
        <f t="shared" si="98"/>
        <v>3823911</v>
      </c>
      <c r="M90" s="141">
        <f t="shared" si="98"/>
        <v>4855119</v>
      </c>
      <c r="N90" s="141">
        <f t="shared" si="98"/>
        <v>4286305</v>
      </c>
      <c r="O90" s="141">
        <f t="shared" si="98"/>
        <v>12668500</v>
      </c>
      <c r="P90" s="141">
        <f t="shared" si="98"/>
        <v>4589600</v>
      </c>
      <c r="Q90" s="141">
        <f t="shared" si="98"/>
        <v>39586900</v>
      </c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55" t="s">
        <v>106</v>
      </c>
      <c r="B91" s="141">
        <f t="shared" ref="B91:H91" si="99">-K50</f>
        <v>-1008558</v>
      </c>
      <c r="C91" s="141">
        <f t="shared" si="99"/>
        <v>-1257851</v>
      </c>
      <c r="D91" s="141">
        <f t="shared" si="99"/>
        <v>-1461631</v>
      </c>
      <c r="E91" s="141">
        <f t="shared" si="99"/>
        <v>-2816521</v>
      </c>
      <c r="F91" s="141">
        <f t="shared" si="99"/>
        <v>-3947200</v>
      </c>
      <c r="G91" s="141">
        <f t="shared" si="99"/>
        <v>-34500600</v>
      </c>
      <c r="H91" s="141">
        <f t="shared" si="99"/>
        <v>-2448400</v>
      </c>
      <c r="I91" s="1"/>
      <c r="J91" s="140" t="s">
        <v>111</v>
      </c>
      <c r="K91" s="141">
        <f t="shared" ref="K91:Q91" si="100">K60</f>
        <v>13941456</v>
      </c>
      <c r="L91" s="141">
        <f t="shared" si="100"/>
        <v>20501832</v>
      </c>
      <c r="M91" s="141">
        <f t="shared" si="100"/>
        <v>23696499</v>
      </c>
      <c r="N91" s="141">
        <f t="shared" si="100"/>
        <v>26496237</v>
      </c>
      <c r="O91" s="141">
        <f t="shared" si="100"/>
        <v>35383100</v>
      </c>
      <c r="P91" s="141">
        <f t="shared" si="100"/>
        <v>27280700</v>
      </c>
      <c r="Q91" s="141">
        <f t="shared" si="100"/>
        <v>39817900</v>
      </c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5" t="s">
        <v>118</v>
      </c>
      <c r="B92" s="141">
        <f t="shared" ref="B92:H92" si="101">B86+B91</f>
        <v>17347590</v>
      </c>
      <c r="C92" s="141">
        <f t="shared" si="101"/>
        <v>25184557</v>
      </c>
      <c r="D92" s="141">
        <f t="shared" si="101"/>
        <v>30310519</v>
      </c>
      <c r="E92" s="141">
        <f t="shared" si="101"/>
        <v>31477500</v>
      </c>
      <c r="F92" s="141">
        <f t="shared" si="101"/>
        <v>40257900</v>
      </c>
      <c r="G92" s="141">
        <f t="shared" si="101"/>
        <v>36233700</v>
      </c>
      <c r="H92" s="141">
        <f t="shared" si="101"/>
        <v>9414900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40" t="s">
        <v>119</v>
      </c>
      <c r="K93" s="141">
        <f t="shared" ref="K93:Q93" si="102">K81+K91</f>
        <v>16049707</v>
      </c>
      <c r="L93" s="141">
        <f t="shared" si="102"/>
        <v>23467144</v>
      </c>
      <c r="M93" s="141">
        <f t="shared" si="102"/>
        <v>27745475</v>
      </c>
      <c r="N93" s="141">
        <f t="shared" si="102"/>
        <v>28594644</v>
      </c>
      <c r="O93" s="141">
        <f t="shared" si="102"/>
        <v>37087600</v>
      </c>
      <c r="P93" s="141">
        <f t="shared" si="102"/>
        <v>31405600</v>
      </c>
      <c r="Q93" s="141">
        <f t="shared" si="102"/>
        <v>33194100</v>
      </c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 t="s">
        <v>90</v>
      </c>
      <c r="B94" s="3">
        <f t="shared" ref="B94:H94" si="103">B51</f>
        <v>82851</v>
      </c>
      <c r="C94" s="3">
        <f t="shared" si="103"/>
        <v>104141</v>
      </c>
      <c r="D94" s="3">
        <f t="shared" si="103"/>
        <v>102465</v>
      </c>
      <c r="E94" s="3">
        <f t="shared" si="103"/>
        <v>101890</v>
      </c>
      <c r="F94" s="3">
        <f t="shared" si="103"/>
        <v>167300</v>
      </c>
      <c r="G94" s="3">
        <f t="shared" si="103"/>
        <v>175700</v>
      </c>
      <c r="H94" s="3">
        <f t="shared" si="103"/>
        <v>64099.999999999993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 t="s">
        <v>91</v>
      </c>
      <c r="B95" s="3">
        <f t="shared" ref="B95:H95" si="104">B52</f>
        <v>2173522</v>
      </c>
      <c r="C95" s="3">
        <f t="shared" si="104"/>
        <v>2550716</v>
      </c>
      <c r="D95" s="3">
        <f t="shared" si="104"/>
        <v>3013978</v>
      </c>
      <c r="E95" s="3">
        <f t="shared" si="104"/>
        <v>4357571</v>
      </c>
      <c r="F95" s="3">
        <f t="shared" si="104"/>
        <v>6752600</v>
      </c>
      <c r="G95" s="3">
        <f t="shared" si="104"/>
        <v>10132900</v>
      </c>
      <c r="H95" s="3">
        <f t="shared" si="104"/>
        <v>4578800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40" t="s">
        <v>107</v>
      </c>
      <c r="B96" s="141">
        <f t="shared" ref="B96:H96" si="105">B53</f>
        <v>2256373</v>
      </c>
      <c r="C96" s="141">
        <f t="shared" si="105"/>
        <v>2654857</v>
      </c>
      <c r="D96" s="141">
        <f t="shared" si="105"/>
        <v>3116443</v>
      </c>
      <c r="E96" s="141">
        <f t="shared" si="105"/>
        <v>4459461</v>
      </c>
      <c r="F96" s="141">
        <f t="shared" si="105"/>
        <v>6919900</v>
      </c>
      <c r="G96" s="141">
        <f t="shared" si="105"/>
        <v>10308600</v>
      </c>
      <c r="H96" s="141">
        <f t="shared" si="105"/>
        <v>4642900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5" t="s">
        <v>86</v>
      </c>
      <c r="B97" s="3">
        <f t="shared" ref="B97:H97" si="106">-K62</f>
        <v>0</v>
      </c>
      <c r="C97" s="3">
        <f t="shared" si="106"/>
        <v>0</v>
      </c>
      <c r="D97" s="3">
        <f t="shared" si="106"/>
        <v>0</v>
      </c>
      <c r="E97" s="3">
        <f t="shared" si="106"/>
        <v>0</v>
      </c>
      <c r="F97" s="3">
        <f t="shared" si="106"/>
        <v>0</v>
      </c>
      <c r="G97" s="3">
        <f t="shared" si="106"/>
        <v>-4194500</v>
      </c>
      <c r="H97" s="3">
        <f t="shared" si="106"/>
        <v>-3165400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5" t="s">
        <v>92</v>
      </c>
      <c r="B98" s="3">
        <f t="shared" ref="B98:H98" si="107">-K63</f>
        <v>-2680445</v>
      </c>
      <c r="C98" s="3">
        <f t="shared" si="107"/>
        <v>-2862566</v>
      </c>
      <c r="D98" s="3">
        <f t="shared" si="107"/>
        <v>-3881684</v>
      </c>
      <c r="E98" s="3">
        <f t="shared" si="107"/>
        <v>-5568261</v>
      </c>
      <c r="F98" s="3">
        <f t="shared" si="107"/>
        <v>-8011800</v>
      </c>
      <c r="G98" s="3">
        <f t="shared" si="107"/>
        <v>-9129500</v>
      </c>
      <c r="H98" s="3">
        <f t="shared" si="107"/>
        <v>-10328800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5" t="s">
        <v>94</v>
      </c>
      <c r="B99" s="3">
        <f t="shared" ref="B99:H99" si="108">-K64</f>
        <v>-2965427</v>
      </c>
      <c r="C99" s="3">
        <f t="shared" si="108"/>
        <v>-4014428</v>
      </c>
      <c r="D99" s="3">
        <f t="shared" si="108"/>
        <v>-4666212</v>
      </c>
      <c r="E99" s="3">
        <f t="shared" si="108"/>
        <v>-6493615</v>
      </c>
      <c r="F99" s="3">
        <f t="shared" si="108"/>
        <v>-6907300</v>
      </c>
      <c r="G99" s="3">
        <f t="shared" si="108"/>
        <v>-6106500</v>
      </c>
      <c r="H99" s="3">
        <f t="shared" si="108"/>
        <v>-401500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5" t="s">
        <v>97</v>
      </c>
      <c r="B100" s="3">
        <f t="shared" ref="B100:H100" si="109">-K65</f>
        <v>-2211</v>
      </c>
      <c r="C100" s="3">
        <f t="shared" si="109"/>
        <v>-32123</v>
      </c>
      <c r="D100" s="3">
        <f t="shared" si="109"/>
        <v>-7650</v>
      </c>
      <c r="E100" s="3">
        <f t="shared" si="109"/>
        <v>-49629</v>
      </c>
      <c r="F100" s="3">
        <f t="shared" si="109"/>
        <v>-31400</v>
      </c>
      <c r="G100" s="3">
        <f t="shared" si="109"/>
        <v>-6100</v>
      </c>
      <c r="H100" s="3">
        <f t="shared" si="109"/>
        <v>-15800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5" t="s">
        <v>98</v>
      </c>
      <c r="B101" s="3">
        <f t="shared" ref="B101:H101" si="110">-K66</f>
        <v>0</v>
      </c>
      <c r="C101" s="3">
        <f t="shared" si="110"/>
        <v>0</v>
      </c>
      <c r="D101" s="3">
        <f t="shared" si="110"/>
        <v>0</v>
      </c>
      <c r="E101" s="3">
        <f t="shared" si="110"/>
        <v>0</v>
      </c>
      <c r="F101" s="3">
        <f t="shared" si="110"/>
        <v>0</v>
      </c>
      <c r="G101" s="3">
        <f t="shared" si="110"/>
        <v>0</v>
      </c>
      <c r="H101" s="3">
        <f t="shared" si="110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55" t="s">
        <v>115</v>
      </c>
      <c r="B102" s="141">
        <f t="shared" ref="B102:H102" si="111">-K67</f>
        <v>-5648083</v>
      </c>
      <c r="C102" s="141">
        <f t="shared" si="111"/>
        <v>-6909117</v>
      </c>
      <c r="D102" s="141">
        <f t="shared" si="111"/>
        <v>-8555546</v>
      </c>
      <c r="E102" s="141">
        <f t="shared" si="111"/>
        <v>-12111505</v>
      </c>
      <c r="F102" s="141">
        <f t="shared" si="111"/>
        <v>-14950500</v>
      </c>
      <c r="G102" s="141">
        <f t="shared" si="111"/>
        <v>-19436600</v>
      </c>
      <c r="H102" s="141">
        <f t="shared" si="111"/>
        <v>-13911500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43" t="s">
        <v>120</v>
      </c>
      <c r="B103" s="141">
        <f t="shared" ref="B103:H103" si="112">B96+B102</f>
        <v>-3391710</v>
      </c>
      <c r="C103" s="141">
        <f t="shared" si="112"/>
        <v>-4254260</v>
      </c>
      <c r="D103" s="141">
        <f t="shared" si="112"/>
        <v>-5439103</v>
      </c>
      <c r="E103" s="141">
        <f t="shared" si="112"/>
        <v>-7652044</v>
      </c>
      <c r="F103" s="141">
        <f t="shared" si="112"/>
        <v>-8030600</v>
      </c>
      <c r="G103" s="141">
        <f t="shared" si="112"/>
        <v>-9128000</v>
      </c>
      <c r="H103" s="141">
        <f t="shared" si="112"/>
        <v>-9268600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40" t="s">
        <v>121</v>
      </c>
      <c r="B105" s="141">
        <f t="shared" ref="B105:H105" si="113">B92+B103</f>
        <v>13955880</v>
      </c>
      <c r="C105" s="141">
        <f t="shared" si="113"/>
        <v>20930297</v>
      </c>
      <c r="D105" s="141">
        <f t="shared" si="113"/>
        <v>24871416</v>
      </c>
      <c r="E105" s="141">
        <f t="shared" si="113"/>
        <v>23825456</v>
      </c>
      <c r="F105" s="141">
        <f t="shared" si="113"/>
        <v>32227300</v>
      </c>
      <c r="G105" s="141">
        <f t="shared" si="113"/>
        <v>27105700</v>
      </c>
      <c r="H105" s="141">
        <f t="shared" si="113"/>
        <v>146300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 t="s">
        <v>75</v>
      </c>
      <c r="B107" s="3">
        <f t="shared" ref="B107:H107" si="114">B55</f>
        <v>0</v>
      </c>
      <c r="C107" s="3">
        <f t="shared" si="114"/>
        <v>0</v>
      </c>
      <c r="D107" s="3">
        <f t="shared" si="114"/>
        <v>114476</v>
      </c>
      <c r="E107" s="3">
        <f t="shared" si="114"/>
        <v>31016</v>
      </c>
      <c r="F107" s="3">
        <f t="shared" si="114"/>
        <v>3500</v>
      </c>
      <c r="G107" s="3">
        <f t="shared" si="114"/>
        <v>0</v>
      </c>
      <c r="H107" s="3">
        <f t="shared" si="114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 t="s">
        <v>77</v>
      </c>
      <c r="B108" s="3">
        <f t="shared" ref="B108:H108" si="115">B56</f>
        <v>82689</v>
      </c>
      <c r="C108" s="3">
        <f t="shared" si="115"/>
        <v>82689</v>
      </c>
      <c r="D108" s="3">
        <f t="shared" si="115"/>
        <v>82689</v>
      </c>
      <c r="E108" s="3">
        <f t="shared" si="115"/>
        <v>2689</v>
      </c>
      <c r="F108" s="3">
        <f t="shared" si="115"/>
        <v>0</v>
      </c>
      <c r="G108" s="3">
        <f t="shared" si="115"/>
        <v>0</v>
      </c>
      <c r="H108" s="3">
        <f t="shared" si="115"/>
        <v>3700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40" t="s">
        <v>109</v>
      </c>
      <c r="B109" s="141">
        <f t="shared" ref="B109:H109" si="116">B57</f>
        <v>82689</v>
      </c>
      <c r="C109" s="141">
        <f t="shared" si="116"/>
        <v>82689</v>
      </c>
      <c r="D109" s="141">
        <f t="shared" si="116"/>
        <v>197165</v>
      </c>
      <c r="E109" s="141">
        <f t="shared" si="116"/>
        <v>33705</v>
      </c>
      <c r="F109" s="141">
        <f t="shared" si="116"/>
        <v>3500</v>
      </c>
      <c r="G109" s="141">
        <f t="shared" si="116"/>
        <v>0</v>
      </c>
      <c r="H109" s="141">
        <f t="shared" si="116"/>
        <v>3700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 t="s">
        <v>88</v>
      </c>
      <c r="B110" s="3">
        <f t="shared" ref="B110:H110" si="117">B58</f>
        <v>0</v>
      </c>
      <c r="C110" s="3">
        <f t="shared" si="117"/>
        <v>0</v>
      </c>
      <c r="D110" s="3">
        <f t="shared" si="117"/>
        <v>0</v>
      </c>
      <c r="E110" s="3">
        <f t="shared" si="117"/>
        <v>0</v>
      </c>
      <c r="F110" s="3">
        <f t="shared" si="117"/>
        <v>850600</v>
      </c>
      <c r="G110" s="3">
        <f t="shared" si="117"/>
        <v>1204500</v>
      </c>
      <c r="H110" s="3">
        <f t="shared" si="117"/>
        <v>30377100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 t="s">
        <v>75</v>
      </c>
      <c r="B111" s="3">
        <f t="shared" ref="B111:H111" si="118">B59</f>
        <v>0</v>
      </c>
      <c r="C111" s="3">
        <f t="shared" si="118"/>
        <v>0</v>
      </c>
      <c r="D111" s="3">
        <f t="shared" si="118"/>
        <v>353246</v>
      </c>
      <c r="E111" s="3">
        <f t="shared" si="118"/>
        <v>615707</v>
      </c>
      <c r="F111" s="3">
        <f t="shared" si="118"/>
        <v>32600</v>
      </c>
      <c r="G111" s="3">
        <f t="shared" si="118"/>
        <v>0</v>
      </c>
      <c r="H111" s="3">
        <f t="shared" si="118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 t="s">
        <v>93</v>
      </c>
      <c r="B112" s="3">
        <f t="shared" ref="B112:H112" si="119">B60</f>
        <v>0</v>
      </c>
      <c r="C112" s="3">
        <f t="shared" si="119"/>
        <v>0</v>
      </c>
      <c r="D112" s="3">
        <f t="shared" si="119"/>
        <v>0</v>
      </c>
      <c r="E112" s="3">
        <f t="shared" si="119"/>
        <v>80000</v>
      </c>
      <c r="F112" s="3">
        <f t="shared" si="119"/>
        <v>2051800.0000000002</v>
      </c>
      <c r="G112" s="3">
        <f t="shared" si="119"/>
        <v>0</v>
      </c>
      <c r="H112" s="3">
        <f t="shared" si="119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 t="s">
        <v>95</v>
      </c>
      <c r="B113" s="3">
        <f t="shared" ref="B113:H113" si="120">B61</f>
        <v>2011139</v>
      </c>
      <c r="C113" s="3">
        <f t="shared" si="120"/>
        <v>2454160</v>
      </c>
      <c r="D113" s="3">
        <f t="shared" si="120"/>
        <v>2323647</v>
      </c>
      <c r="E113" s="3">
        <f t="shared" si="120"/>
        <v>4039776</v>
      </c>
      <c r="F113" s="3">
        <f t="shared" si="120"/>
        <v>1921700</v>
      </c>
      <c r="G113" s="3">
        <f t="shared" si="120"/>
        <v>3095600</v>
      </c>
      <c r="H113" s="3">
        <f t="shared" si="120"/>
        <v>2666900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40" t="s">
        <v>112</v>
      </c>
      <c r="B114" s="141">
        <f t="shared" ref="B114:H114" si="121">B62</f>
        <v>2011139</v>
      </c>
      <c r="C114" s="141">
        <f t="shared" si="121"/>
        <v>2454160</v>
      </c>
      <c r="D114" s="141">
        <f t="shared" si="121"/>
        <v>2676893</v>
      </c>
      <c r="E114" s="141">
        <f t="shared" si="121"/>
        <v>4735483</v>
      </c>
      <c r="F114" s="141">
        <f t="shared" si="121"/>
        <v>4856700</v>
      </c>
      <c r="G114" s="141">
        <f t="shared" si="121"/>
        <v>4300100</v>
      </c>
      <c r="H114" s="141">
        <f t="shared" si="121"/>
        <v>33044000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40" t="s">
        <v>113</v>
      </c>
      <c r="B115" s="141">
        <f t="shared" ref="B115:H115" si="122">B63</f>
        <v>2093828</v>
      </c>
      <c r="C115" s="141">
        <f t="shared" si="122"/>
        <v>2536849</v>
      </c>
      <c r="D115" s="141">
        <f t="shared" si="122"/>
        <v>2874058</v>
      </c>
      <c r="E115" s="141">
        <f t="shared" si="122"/>
        <v>4769188</v>
      </c>
      <c r="F115" s="141">
        <f t="shared" si="122"/>
        <v>4860200</v>
      </c>
      <c r="G115" s="141">
        <f t="shared" si="122"/>
        <v>4300100</v>
      </c>
      <c r="H115" s="141">
        <f t="shared" si="122"/>
        <v>33047700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32" t="s">
        <v>122</v>
      </c>
      <c r="B117" s="20">
        <f t="shared" ref="B117:H117" si="123">B105+B115</f>
        <v>16049708</v>
      </c>
      <c r="C117" s="20">
        <f t="shared" si="123"/>
        <v>23467146</v>
      </c>
      <c r="D117" s="20">
        <f t="shared" si="123"/>
        <v>27745474</v>
      </c>
      <c r="E117" s="20">
        <f t="shared" si="123"/>
        <v>28594644</v>
      </c>
      <c r="F117" s="20">
        <f t="shared" si="123"/>
        <v>37087500</v>
      </c>
      <c r="G117" s="20">
        <f t="shared" si="123"/>
        <v>31405800</v>
      </c>
      <c r="H117" s="20">
        <f t="shared" si="123"/>
        <v>33194000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250" t="s">
        <v>123</v>
      </c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37" t="s">
        <v>56</v>
      </c>
      <c r="B124" s="137">
        <v>2014</v>
      </c>
      <c r="C124" s="137">
        <v>2015</v>
      </c>
      <c r="D124" s="137">
        <v>2016</v>
      </c>
      <c r="E124" s="137">
        <v>2017</v>
      </c>
      <c r="F124" s="137">
        <v>2018</v>
      </c>
      <c r="G124" s="137">
        <v>2019</v>
      </c>
      <c r="H124" s="137">
        <v>2020</v>
      </c>
      <c r="I124" s="132"/>
      <c r="J124" s="137" t="s">
        <v>57</v>
      </c>
      <c r="K124" s="137">
        <v>2014</v>
      </c>
      <c r="L124" s="137">
        <v>2015</v>
      </c>
      <c r="M124" s="137">
        <v>2016</v>
      </c>
      <c r="N124" s="137">
        <v>2017</v>
      </c>
      <c r="O124" s="137">
        <v>2018</v>
      </c>
      <c r="P124" s="137">
        <v>2019</v>
      </c>
      <c r="Q124" s="137">
        <v>2020</v>
      </c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 t="s">
        <v>58</v>
      </c>
      <c r="B125" s="3">
        <f t="shared" ref="B125:H125" si="124">B74</f>
        <v>206826</v>
      </c>
      <c r="C125" s="3">
        <f t="shared" si="124"/>
        <v>206675</v>
      </c>
      <c r="D125" s="3">
        <f t="shared" si="124"/>
        <v>198260</v>
      </c>
      <c r="E125" s="3">
        <f t="shared" si="124"/>
        <v>201383</v>
      </c>
      <c r="F125" s="3">
        <f t="shared" si="124"/>
        <v>212300</v>
      </c>
      <c r="G125" s="3">
        <f t="shared" si="124"/>
        <v>198200</v>
      </c>
      <c r="H125" s="3">
        <f t="shared" si="124"/>
        <v>200900</v>
      </c>
      <c r="I125" s="1"/>
      <c r="J125" s="1" t="s">
        <v>59</v>
      </c>
      <c r="K125" s="3">
        <f t="shared" ref="K125:Q125" si="125">K74</f>
        <v>3516</v>
      </c>
      <c r="L125" s="3">
        <f t="shared" si="125"/>
        <v>3576</v>
      </c>
      <c r="M125" s="3">
        <f t="shared" si="125"/>
        <v>3576</v>
      </c>
      <c r="N125" s="3">
        <f t="shared" si="125"/>
        <v>3576</v>
      </c>
      <c r="O125" s="3">
        <f t="shared" si="125"/>
        <v>4500</v>
      </c>
      <c r="P125" s="3">
        <f t="shared" si="125"/>
        <v>16300</v>
      </c>
      <c r="Q125" s="3">
        <f t="shared" si="125"/>
        <v>397500</v>
      </c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 t="s">
        <v>60</v>
      </c>
      <c r="B126" s="3">
        <f t="shared" ref="B126:H126" si="126">B75</f>
        <v>518915</v>
      </c>
      <c r="C126" s="3">
        <f t="shared" si="126"/>
        <v>593626</v>
      </c>
      <c r="D126" s="3">
        <f t="shared" si="126"/>
        <v>241499</v>
      </c>
      <c r="E126" s="3">
        <f t="shared" si="126"/>
        <v>1018927</v>
      </c>
      <c r="F126" s="3">
        <f t="shared" si="126"/>
        <v>2673800</v>
      </c>
      <c r="G126" s="3">
        <f t="shared" si="126"/>
        <v>2672400</v>
      </c>
      <c r="H126" s="3">
        <f t="shared" si="126"/>
        <v>1966200</v>
      </c>
      <c r="I126" s="1"/>
      <c r="J126" s="1" t="s">
        <v>61</v>
      </c>
      <c r="K126" s="3">
        <f t="shared" ref="K126:Q126" si="127">K75</f>
        <v>1093549</v>
      </c>
      <c r="L126" s="3">
        <f t="shared" si="127"/>
        <v>1231632</v>
      </c>
      <c r="M126" s="3">
        <f t="shared" si="127"/>
        <v>1231631</v>
      </c>
      <c r="N126" s="3">
        <f t="shared" si="127"/>
        <v>1231631</v>
      </c>
      <c r="O126" s="3">
        <f t="shared" si="127"/>
        <v>2686700</v>
      </c>
      <c r="P126" s="3">
        <f t="shared" si="127"/>
        <v>6664100</v>
      </c>
      <c r="Q126" s="3">
        <f t="shared" si="127"/>
        <v>18805100</v>
      </c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 t="s">
        <v>62</v>
      </c>
      <c r="B127" s="3">
        <f t="shared" ref="B127:H127" si="128">B76</f>
        <v>12527932</v>
      </c>
      <c r="C127" s="3">
        <f t="shared" si="128"/>
        <v>18507706</v>
      </c>
      <c r="D127" s="3">
        <f t="shared" si="128"/>
        <v>22571775</v>
      </c>
      <c r="E127" s="3">
        <f t="shared" si="128"/>
        <v>25861883</v>
      </c>
      <c r="F127" s="3">
        <f t="shared" si="128"/>
        <v>31064200</v>
      </c>
      <c r="G127" s="3">
        <f t="shared" si="128"/>
        <v>27392000</v>
      </c>
      <c r="H127" s="3">
        <f t="shared" si="128"/>
        <v>6129600</v>
      </c>
      <c r="I127" s="1"/>
      <c r="J127" s="1" t="s">
        <v>63</v>
      </c>
      <c r="K127" s="3">
        <f t="shared" ref="K127:Q127" si="129">K76</f>
        <v>87221</v>
      </c>
      <c r="L127" s="3">
        <f t="shared" si="129"/>
        <v>94362</v>
      </c>
      <c r="M127" s="3">
        <f t="shared" si="129"/>
        <v>110621</v>
      </c>
      <c r="N127" s="3">
        <f t="shared" si="129"/>
        <v>127769</v>
      </c>
      <c r="O127" s="3">
        <f t="shared" si="129"/>
        <v>132900</v>
      </c>
      <c r="P127" s="3">
        <f t="shared" si="129"/>
        <v>149200</v>
      </c>
      <c r="Q127" s="3">
        <f t="shared" si="129"/>
        <v>943500</v>
      </c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 t="s">
        <v>64</v>
      </c>
      <c r="B128" s="3">
        <f t="shared" ref="B128:H128" si="130">B77</f>
        <v>0</v>
      </c>
      <c r="C128" s="3">
        <f t="shared" si="130"/>
        <v>0</v>
      </c>
      <c r="D128" s="3">
        <f t="shared" si="130"/>
        <v>0</v>
      </c>
      <c r="E128" s="3">
        <f t="shared" si="130"/>
        <v>0</v>
      </c>
      <c r="F128" s="3">
        <f t="shared" si="130"/>
        <v>0</v>
      </c>
      <c r="G128" s="3">
        <f t="shared" si="130"/>
        <v>33245400</v>
      </c>
      <c r="H128" s="3">
        <f t="shared" si="130"/>
        <v>2791400</v>
      </c>
      <c r="I128" s="1"/>
      <c r="J128" s="1" t="s">
        <v>65</v>
      </c>
      <c r="K128" s="3">
        <f t="shared" ref="K128:Q128" si="131">K77</f>
        <v>455099</v>
      </c>
      <c r="L128" s="3">
        <f t="shared" si="131"/>
        <v>876192</v>
      </c>
      <c r="M128" s="3">
        <f t="shared" si="131"/>
        <v>773112</v>
      </c>
      <c r="N128" s="3">
        <f t="shared" si="131"/>
        <v>641437</v>
      </c>
      <c r="O128" s="3">
        <f t="shared" si="131"/>
        <v>1011700</v>
      </c>
      <c r="P128" s="3">
        <f t="shared" si="131"/>
        <v>1085500</v>
      </c>
      <c r="Q128" s="3">
        <f t="shared" si="131"/>
        <v>112800</v>
      </c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 t="s">
        <v>66</v>
      </c>
      <c r="B129" s="3">
        <f t="shared" ref="B129:H129" si="132">B78</f>
        <v>83687</v>
      </c>
      <c r="C129" s="3">
        <f t="shared" si="132"/>
        <v>79508</v>
      </c>
      <c r="D129" s="3">
        <f t="shared" si="132"/>
        <v>88361</v>
      </c>
      <c r="E129" s="3">
        <f t="shared" si="132"/>
        <v>90458</v>
      </c>
      <c r="F129" s="3">
        <f t="shared" si="132"/>
        <v>211400</v>
      </c>
      <c r="G129" s="3">
        <f t="shared" si="132"/>
        <v>197900</v>
      </c>
      <c r="H129" s="3">
        <f t="shared" si="132"/>
        <v>163200</v>
      </c>
      <c r="I129" s="1"/>
      <c r="J129" s="1" t="s">
        <v>67</v>
      </c>
      <c r="K129" s="3">
        <f t="shared" ref="K129:Q129" si="133">K78</f>
        <v>468866</v>
      </c>
      <c r="L129" s="3">
        <f t="shared" si="133"/>
        <v>759550</v>
      </c>
      <c r="M129" s="3">
        <f t="shared" si="133"/>
        <v>1919266</v>
      </c>
      <c r="N129" s="3">
        <f t="shared" si="133"/>
        <v>81666</v>
      </c>
      <c r="O129" s="3">
        <f t="shared" si="133"/>
        <v>-2148600</v>
      </c>
      <c r="P129" s="3">
        <f t="shared" si="133"/>
        <v>-3814000</v>
      </c>
      <c r="Q129" s="3">
        <f t="shared" si="133"/>
        <v>-26882700</v>
      </c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 t="s">
        <v>68</v>
      </c>
      <c r="B130" s="3">
        <f t="shared" ref="B130:H130" si="134">B79</f>
        <v>0</v>
      </c>
      <c r="C130" s="3">
        <f t="shared" si="134"/>
        <v>0</v>
      </c>
      <c r="D130" s="3">
        <f t="shared" si="134"/>
        <v>0</v>
      </c>
      <c r="E130" s="3">
        <f t="shared" si="134"/>
        <v>0</v>
      </c>
      <c r="F130" s="3">
        <f t="shared" si="134"/>
        <v>0</v>
      </c>
      <c r="G130" s="3">
        <f t="shared" si="134"/>
        <v>35700</v>
      </c>
      <c r="H130" s="3">
        <f t="shared" si="134"/>
        <v>0</v>
      </c>
      <c r="I130" s="1"/>
      <c r="J130" s="144" t="s">
        <v>69</v>
      </c>
      <c r="K130" s="139">
        <f t="shared" ref="K130:Q130" si="135">K79</f>
        <v>2108251</v>
      </c>
      <c r="L130" s="139">
        <f t="shared" si="135"/>
        <v>2965312</v>
      </c>
      <c r="M130" s="139">
        <f t="shared" si="135"/>
        <v>4038206</v>
      </c>
      <c r="N130" s="139">
        <f t="shared" si="135"/>
        <v>2086079</v>
      </c>
      <c r="O130" s="139">
        <f t="shared" si="135"/>
        <v>1687200</v>
      </c>
      <c r="P130" s="139">
        <f t="shared" si="135"/>
        <v>4101100</v>
      </c>
      <c r="Q130" s="139">
        <f t="shared" si="135"/>
        <v>-6623800</v>
      </c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 t="s">
        <v>70</v>
      </c>
      <c r="B131" s="3">
        <f t="shared" ref="B131:H131" si="136">B80</f>
        <v>252236</v>
      </c>
      <c r="C131" s="3">
        <f t="shared" si="136"/>
        <v>285674</v>
      </c>
      <c r="D131" s="3">
        <f t="shared" si="136"/>
        <v>283236</v>
      </c>
      <c r="E131" s="3">
        <f t="shared" si="136"/>
        <v>279463</v>
      </c>
      <c r="F131" s="3">
        <f t="shared" si="136"/>
        <v>269400</v>
      </c>
      <c r="G131" s="3">
        <f t="shared" si="136"/>
        <v>263700</v>
      </c>
      <c r="H131" s="3">
        <f t="shared" si="136"/>
        <v>252400</v>
      </c>
      <c r="I131" s="1"/>
      <c r="J131" s="1" t="s">
        <v>71</v>
      </c>
      <c r="K131" s="3">
        <f t="shared" ref="K131:Q131" si="137">K80</f>
        <v>0</v>
      </c>
      <c r="L131" s="3">
        <f t="shared" si="137"/>
        <v>0</v>
      </c>
      <c r="M131" s="3">
        <f t="shared" si="137"/>
        <v>10770</v>
      </c>
      <c r="N131" s="3">
        <f t="shared" si="137"/>
        <v>12328</v>
      </c>
      <c r="O131" s="3">
        <f t="shared" si="137"/>
        <v>17300</v>
      </c>
      <c r="P131" s="3">
        <f t="shared" si="137"/>
        <v>23800</v>
      </c>
      <c r="Q131" s="3">
        <f t="shared" si="137"/>
        <v>0</v>
      </c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 t="s">
        <v>72</v>
      </c>
      <c r="B132" s="3">
        <f t="shared" ref="B132:H132" si="138">B81</f>
        <v>0</v>
      </c>
      <c r="C132" s="3">
        <f t="shared" si="138"/>
        <v>0</v>
      </c>
      <c r="D132" s="3">
        <f t="shared" si="138"/>
        <v>0</v>
      </c>
      <c r="E132" s="3">
        <f t="shared" si="138"/>
        <v>0</v>
      </c>
      <c r="F132" s="3">
        <f t="shared" si="138"/>
        <v>0</v>
      </c>
      <c r="G132" s="3">
        <f t="shared" si="138"/>
        <v>297300</v>
      </c>
      <c r="H132" s="3">
        <f t="shared" si="138"/>
        <v>216600</v>
      </c>
      <c r="I132" s="1"/>
      <c r="J132" s="144" t="s">
        <v>73</v>
      </c>
      <c r="K132" s="139">
        <f t="shared" ref="K132:Q132" si="139">K81</f>
        <v>2108251</v>
      </c>
      <c r="L132" s="139">
        <f t="shared" si="139"/>
        <v>2965312</v>
      </c>
      <c r="M132" s="139">
        <f t="shared" si="139"/>
        <v>4048976</v>
      </c>
      <c r="N132" s="139">
        <f t="shared" si="139"/>
        <v>2098407</v>
      </c>
      <c r="O132" s="139">
        <f t="shared" si="139"/>
        <v>1704500</v>
      </c>
      <c r="P132" s="139">
        <f t="shared" si="139"/>
        <v>4124900</v>
      </c>
      <c r="Q132" s="139">
        <f t="shared" si="139"/>
        <v>-6623800</v>
      </c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 t="s">
        <v>74</v>
      </c>
      <c r="B133" s="3">
        <f t="shared" ref="B133:H133" si="140">B82</f>
        <v>19234</v>
      </c>
      <c r="C133" s="3">
        <f t="shared" si="140"/>
        <v>0</v>
      </c>
      <c r="D133" s="3">
        <f t="shared" si="140"/>
        <v>0</v>
      </c>
      <c r="E133" s="3">
        <f t="shared" si="140"/>
        <v>0</v>
      </c>
      <c r="F133" s="3">
        <f t="shared" si="140"/>
        <v>0</v>
      </c>
      <c r="G133" s="3">
        <f t="shared" si="140"/>
        <v>0</v>
      </c>
      <c r="H133" s="3">
        <f t="shared" si="140"/>
        <v>0</v>
      </c>
      <c r="I133" s="1"/>
      <c r="J133" s="1"/>
      <c r="K133" s="1">
        <f t="shared" ref="K133:Q133" si="141">K82</f>
        <v>0</v>
      </c>
      <c r="L133" s="1">
        <f t="shared" si="141"/>
        <v>0</v>
      </c>
      <c r="M133" s="1">
        <f t="shared" si="141"/>
        <v>0</v>
      </c>
      <c r="N133" s="1">
        <f t="shared" si="141"/>
        <v>0</v>
      </c>
      <c r="O133" s="1">
        <f t="shared" si="141"/>
        <v>0</v>
      </c>
      <c r="P133" s="1">
        <f t="shared" si="141"/>
        <v>0</v>
      </c>
      <c r="Q133" s="1">
        <f t="shared" si="141"/>
        <v>0</v>
      </c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 t="s">
        <v>79</v>
      </c>
      <c r="B134" s="3">
        <f t="shared" ref="B134:H134" si="142">B83</f>
        <v>223594</v>
      </c>
      <c r="C134" s="3">
        <f t="shared" si="142"/>
        <v>328127</v>
      </c>
      <c r="D134" s="3">
        <f t="shared" si="142"/>
        <v>609110</v>
      </c>
      <c r="E134" s="3">
        <f t="shared" si="142"/>
        <v>832561</v>
      </c>
      <c r="F134" s="3">
        <f t="shared" si="142"/>
        <v>70300</v>
      </c>
      <c r="G134" s="3">
        <f t="shared" si="142"/>
        <v>23700</v>
      </c>
      <c r="H134" s="3">
        <f t="shared" si="142"/>
        <v>80400</v>
      </c>
      <c r="I134" s="1"/>
      <c r="J134" s="1" t="s">
        <v>76</v>
      </c>
      <c r="K134" s="3">
        <f t="shared" ref="K134:Q134" si="143">K83</f>
        <v>201883</v>
      </c>
      <c r="L134" s="3">
        <f t="shared" si="143"/>
        <v>134516</v>
      </c>
      <c r="M134" s="3">
        <f t="shared" si="143"/>
        <v>107379</v>
      </c>
      <c r="N134" s="3">
        <f t="shared" si="143"/>
        <v>149661</v>
      </c>
      <c r="O134" s="3">
        <f t="shared" si="143"/>
        <v>146500</v>
      </c>
      <c r="P134" s="3">
        <f t="shared" si="143"/>
        <v>177500</v>
      </c>
      <c r="Q134" s="3">
        <f t="shared" si="143"/>
        <v>227800</v>
      </c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 t="s">
        <v>81</v>
      </c>
      <c r="B135" s="3">
        <f t="shared" ref="B135:H135" si="144">B84</f>
        <v>4102664</v>
      </c>
      <c r="C135" s="3">
        <f t="shared" si="144"/>
        <v>5939281</v>
      </c>
      <c r="D135" s="3">
        <f t="shared" si="144"/>
        <v>7156303</v>
      </c>
      <c r="E135" s="3">
        <f t="shared" si="144"/>
        <v>5219372</v>
      </c>
      <c r="F135" s="3">
        <f t="shared" si="144"/>
        <v>8561300</v>
      </c>
      <c r="G135" s="3">
        <f t="shared" si="144"/>
        <v>4946600</v>
      </c>
      <c r="H135" s="3">
        <f t="shared" si="144"/>
        <v>0</v>
      </c>
      <c r="I135" s="1"/>
      <c r="J135" s="1" t="s">
        <v>84</v>
      </c>
      <c r="K135" s="3">
        <f t="shared" ref="K135:Q135" si="145">K84</f>
        <v>9950228</v>
      </c>
      <c r="L135" s="3">
        <f t="shared" si="145"/>
        <v>16543405</v>
      </c>
      <c r="M135" s="3">
        <f t="shared" si="145"/>
        <v>18706062</v>
      </c>
      <c r="N135" s="3">
        <f t="shared" si="145"/>
        <v>22060271</v>
      </c>
      <c r="O135" s="3">
        <f t="shared" si="145"/>
        <v>22530000</v>
      </c>
      <c r="P135" s="3">
        <f t="shared" si="145"/>
        <v>22144400</v>
      </c>
      <c r="Q135" s="3">
        <f t="shared" si="145"/>
        <v>0</v>
      </c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 t="s">
        <v>83</v>
      </c>
      <c r="B136" s="3">
        <f t="shared" ref="B136:H136" si="146">B85</f>
        <v>421060</v>
      </c>
      <c r="C136" s="3">
        <f t="shared" si="146"/>
        <v>501811</v>
      </c>
      <c r="D136" s="3">
        <f t="shared" si="146"/>
        <v>623606</v>
      </c>
      <c r="E136" s="3">
        <f t="shared" si="146"/>
        <v>789974</v>
      </c>
      <c r="F136" s="3">
        <f t="shared" si="146"/>
        <v>1142400</v>
      </c>
      <c r="G136" s="3">
        <f t="shared" si="146"/>
        <v>1461400</v>
      </c>
      <c r="H136" s="3">
        <f t="shared" si="146"/>
        <v>62600</v>
      </c>
      <c r="I136" s="1"/>
      <c r="J136" s="1" t="s">
        <v>87</v>
      </c>
      <c r="K136" s="3">
        <f t="shared" ref="K136:Q136" si="147">K85</f>
        <v>0</v>
      </c>
      <c r="L136" s="3">
        <f t="shared" si="147"/>
        <v>0</v>
      </c>
      <c r="M136" s="3">
        <f t="shared" si="147"/>
        <v>27939</v>
      </c>
      <c r="N136" s="3">
        <f t="shared" si="147"/>
        <v>0</v>
      </c>
      <c r="O136" s="3">
        <f t="shared" si="147"/>
        <v>38100</v>
      </c>
      <c r="P136" s="3">
        <f t="shared" si="147"/>
        <v>369200</v>
      </c>
      <c r="Q136" s="3">
        <f t="shared" si="147"/>
        <v>3200</v>
      </c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40" t="s">
        <v>105</v>
      </c>
      <c r="B137" s="141">
        <f t="shared" ref="B137:H137" si="148">B86</f>
        <v>18356148</v>
      </c>
      <c r="C137" s="141">
        <f t="shared" si="148"/>
        <v>26442408</v>
      </c>
      <c r="D137" s="141">
        <f t="shared" si="148"/>
        <v>31772150</v>
      </c>
      <c r="E137" s="141">
        <f t="shared" si="148"/>
        <v>34294021</v>
      </c>
      <c r="F137" s="141">
        <f t="shared" si="148"/>
        <v>44205100</v>
      </c>
      <c r="G137" s="141">
        <f t="shared" si="148"/>
        <v>70734300</v>
      </c>
      <c r="H137" s="141">
        <f t="shared" si="148"/>
        <v>11863300</v>
      </c>
      <c r="I137" s="1"/>
      <c r="J137" s="140" t="s">
        <v>108</v>
      </c>
      <c r="K137" s="141">
        <f t="shared" ref="K137:Q137" si="149">K86</f>
        <v>10152111</v>
      </c>
      <c r="L137" s="141">
        <f t="shared" si="149"/>
        <v>16677921</v>
      </c>
      <c r="M137" s="141">
        <f t="shared" si="149"/>
        <v>18841380</v>
      </c>
      <c r="N137" s="141">
        <f t="shared" si="149"/>
        <v>22209932</v>
      </c>
      <c r="O137" s="141">
        <f t="shared" si="149"/>
        <v>22714600</v>
      </c>
      <c r="P137" s="141">
        <f t="shared" si="149"/>
        <v>22691100</v>
      </c>
      <c r="Q137" s="141">
        <f t="shared" si="149"/>
        <v>231000</v>
      </c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5" t="s">
        <v>78</v>
      </c>
      <c r="B138" s="3">
        <f t="shared" ref="B138:H138" si="150">B87</f>
        <v>-835480</v>
      </c>
      <c r="C138" s="3">
        <f t="shared" si="150"/>
        <v>-1177513</v>
      </c>
      <c r="D138" s="3">
        <f t="shared" si="150"/>
        <v>-1376465</v>
      </c>
      <c r="E138" s="3">
        <f t="shared" si="150"/>
        <v>-2679400</v>
      </c>
      <c r="F138" s="3">
        <f t="shared" si="150"/>
        <v>-3187500</v>
      </c>
      <c r="G138" s="3">
        <f t="shared" si="150"/>
        <v>-3879000</v>
      </c>
      <c r="H138" s="3">
        <f t="shared" si="150"/>
        <v>-1598800</v>
      </c>
      <c r="I138" s="1"/>
      <c r="J138" s="1" t="s">
        <v>84</v>
      </c>
      <c r="K138" s="3">
        <f t="shared" ref="K138:Q138" si="151">K87</f>
        <v>3330387</v>
      </c>
      <c r="L138" s="3">
        <f t="shared" si="151"/>
        <v>3041388</v>
      </c>
      <c r="M138" s="3">
        <f t="shared" si="151"/>
        <v>4768813</v>
      </c>
      <c r="N138" s="3">
        <f t="shared" si="151"/>
        <v>4244486</v>
      </c>
      <c r="O138" s="3">
        <f t="shared" si="151"/>
        <v>11309100</v>
      </c>
      <c r="P138" s="3">
        <f t="shared" si="151"/>
        <v>4589600</v>
      </c>
      <c r="Q138" s="3">
        <f t="shared" si="151"/>
        <v>8769900</v>
      </c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5" t="s">
        <v>80</v>
      </c>
      <c r="B139" s="3">
        <f t="shared" ref="B139:H139" si="152">B88</f>
        <v>0</v>
      </c>
      <c r="C139" s="3">
        <f t="shared" si="152"/>
        <v>-80338</v>
      </c>
      <c r="D139" s="3">
        <f t="shared" si="152"/>
        <v>-85166</v>
      </c>
      <c r="E139" s="3">
        <f t="shared" si="152"/>
        <v>-137121</v>
      </c>
      <c r="F139" s="3">
        <f t="shared" si="152"/>
        <v>-145200</v>
      </c>
      <c r="G139" s="3">
        <f t="shared" si="152"/>
        <v>-1100</v>
      </c>
      <c r="H139" s="3">
        <f t="shared" si="152"/>
        <v>-13900</v>
      </c>
      <c r="I139" s="1"/>
      <c r="J139" s="1" t="s">
        <v>75</v>
      </c>
      <c r="K139" s="3">
        <f t="shared" ref="K139:Q139" si="153">K88</f>
        <v>458958</v>
      </c>
      <c r="L139" s="3">
        <f t="shared" si="153"/>
        <v>782523</v>
      </c>
      <c r="M139" s="3">
        <f t="shared" si="153"/>
        <v>86306</v>
      </c>
      <c r="N139" s="3">
        <f t="shared" si="153"/>
        <v>41819</v>
      </c>
      <c r="O139" s="3">
        <f t="shared" si="153"/>
        <v>1359400</v>
      </c>
      <c r="P139" s="3">
        <f t="shared" si="153"/>
        <v>0</v>
      </c>
      <c r="Q139" s="3">
        <f t="shared" si="153"/>
        <v>49200</v>
      </c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5" t="s">
        <v>82</v>
      </c>
      <c r="B140" s="3">
        <f t="shared" ref="B140:H140" si="154">B89</f>
        <v>-169851</v>
      </c>
      <c r="C140" s="3">
        <f t="shared" si="154"/>
        <v>0</v>
      </c>
      <c r="D140" s="3">
        <f t="shared" si="154"/>
        <v>0</v>
      </c>
      <c r="E140" s="3">
        <f t="shared" si="154"/>
        <v>0</v>
      </c>
      <c r="F140" s="3">
        <f t="shared" si="154"/>
        <v>-614500</v>
      </c>
      <c r="G140" s="3">
        <f t="shared" si="154"/>
        <v>-540700</v>
      </c>
      <c r="H140" s="3">
        <f t="shared" si="154"/>
        <v>-650000</v>
      </c>
      <c r="I140" s="1"/>
      <c r="J140" s="1" t="s">
        <v>100</v>
      </c>
      <c r="K140" s="3">
        <f t="shared" ref="K140:Q140" si="155">K89</f>
        <v>0</v>
      </c>
      <c r="L140" s="3">
        <f t="shared" si="155"/>
        <v>0</v>
      </c>
      <c r="M140" s="3">
        <f t="shared" si="155"/>
        <v>0</v>
      </c>
      <c r="N140" s="3">
        <f t="shared" si="155"/>
        <v>0</v>
      </c>
      <c r="O140" s="3">
        <f t="shared" si="155"/>
        <v>0</v>
      </c>
      <c r="P140" s="3">
        <f t="shared" si="155"/>
        <v>0</v>
      </c>
      <c r="Q140" s="3">
        <f t="shared" si="155"/>
        <v>30767800</v>
      </c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5" t="s">
        <v>86</v>
      </c>
      <c r="B141" s="3">
        <f t="shared" ref="B141:B156" si="156">B90</f>
        <v>-3227</v>
      </c>
      <c r="C141" s="3"/>
      <c r="D141" s="3">
        <f t="shared" ref="D141:H141" si="157">D90</f>
        <v>0</v>
      </c>
      <c r="E141" s="3">
        <f t="shared" si="157"/>
        <v>0</v>
      </c>
      <c r="F141" s="3">
        <f t="shared" si="157"/>
        <v>0</v>
      </c>
      <c r="G141" s="3">
        <f t="shared" si="157"/>
        <v>-30079800</v>
      </c>
      <c r="H141" s="3">
        <f t="shared" si="157"/>
        <v>-185700</v>
      </c>
      <c r="I141" s="1"/>
      <c r="J141" s="140" t="s">
        <v>110</v>
      </c>
      <c r="K141" s="141">
        <f t="shared" ref="K141:Q141" si="158">K90</f>
        <v>3789345</v>
      </c>
      <c r="L141" s="141">
        <f t="shared" si="158"/>
        <v>3823911</v>
      </c>
      <c r="M141" s="141">
        <f t="shared" si="158"/>
        <v>4855119</v>
      </c>
      <c r="N141" s="141">
        <f t="shared" si="158"/>
        <v>4286305</v>
      </c>
      <c r="O141" s="141">
        <f t="shared" si="158"/>
        <v>12668500</v>
      </c>
      <c r="P141" s="141">
        <f t="shared" si="158"/>
        <v>4589600</v>
      </c>
      <c r="Q141" s="141">
        <f t="shared" si="158"/>
        <v>39586900</v>
      </c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55" t="s">
        <v>106</v>
      </c>
      <c r="B142" s="141">
        <f t="shared" si="156"/>
        <v>-1008558</v>
      </c>
      <c r="C142" s="141">
        <f t="shared" ref="C142:H142" si="159">C91</f>
        <v>-1257851</v>
      </c>
      <c r="D142" s="141">
        <f t="shared" si="159"/>
        <v>-1461631</v>
      </c>
      <c r="E142" s="141">
        <f t="shared" si="159"/>
        <v>-2816521</v>
      </c>
      <c r="F142" s="141">
        <f t="shared" si="159"/>
        <v>-3947200</v>
      </c>
      <c r="G142" s="141">
        <f t="shared" si="159"/>
        <v>-34500600</v>
      </c>
      <c r="H142" s="141">
        <f t="shared" si="159"/>
        <v>-2448400</v>
      </c>
      <c r="I142" s="1"/>
      <c r="J142" s="140" t="s">
        <v>111</v>
      </c>
      <c r="K142" s="141">
        <f t="shared" ref="K142:Q142" si="160">K91</f>
        <v>13941456</v>
      </c>
      <c r="L142" s="141">
        <f t="shared" si="160"/>
        <v>20501832</v>
      </c>
      <c r="M142" s="141">
        <f t="shared" si="160"/>
        <v>23696499</v>
      </c>
      <c r="N142" s="141">
        <f t="shared" si="160"/>
        <v>26496237</v>
      </c>
      <c r="O142" s="141">
        <f t="shared" si="160"/>
        <v>35383100</v>
      </c>
      <c r="P142" s="141">
        <f t="shared" si="160"/>
        <v>27280700</v>
      </c>
      <c r="Q142" s="141">
        <f t="shared" si="160"/>
        <v>39817900</v>
      </c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5" t="s">
        <v>118</v>
      </c>
      <c r="B143" s="141">
        <f t="shared" si="156"/>
        <v>17347590</v>
      </c>
      <c r="C143" s="141">
        <f t="shared" ref="C143:H143" si="161">C92</f>
        <v>25184557</v>
      </c>
      <c r="D143" s="141">
        <f t="shared" si="161"/>
        <v>30310519</v>
      </c>
      <c r="E143" s="141">
        <f t="shared" si="161"/>
        <v>31477500</v>
      </c>
      <c r="F143" s="141">
        <f t="shared" si="161"/>
        <v>40257900</v>
      </c>
      <c r="G143" s="141">
        <f t="shared" si="161"/>
        <v>36233700</v>
      </c>
      <c r="H143" s="141">
        <f t="shared" si="161"/>
        <v>9414900</v>
      </c>
      <c r="I143" s="1"/>
      <c r="J143" s="5" t="s">
        <v>75</v>
      </c>
      <c r="K143" s="3">
        <f t="shared" ref="K143:Q143" si="162">-B107</f>
        <v>0</v>
      </c>
      <c r="L143" s="3">
        <f t="shared" si="162"/>
        <v>0</v>
      </c>
      <c r="M143" s="3">
        <f t="shared" si="162"/>
        <v>-114476</v>
      </c>
      <c r="N143" s="3">
        <f t="shared" si="162"/>
        <v>-31016</v>
      </c>
      <c r="O143" s="3">
        <f t="shared" si="162"/>
        <v>-3500</v>
      </c>
      <c r="P143" s="3">
        <f t="shared" si="162"/>
        <v>0</v>
      </c>
      <c r="Q143" s="3">
        <f t="shared" si="162"/>
        <v>0</v>
      </c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>
        <f t="shared" si="156"/>
        <v>0</v>
      </c>
      <c r="C144" s="1">
        <f t="shared" ref="C144:H144" si="163">C93</f>
        <v>0</v>
      </c>
      <c r="D144" s="1">
        <f t="shared" si="163"/>
        <v>0</v>
      </c>
      <c r="E144" s="1">
        <f t="shared" si="163"/>
        <v>0</v>
      </c>
      <c r="F144" s="1">
        <f t="shared" si="163"/>
        <v>0</v>
      </c>
      <c r="G144" s="1">
        <f t="shared" si="163"/>
        <v>0</v>
      </c>
      <c r="H144" s="1">
        <f t="shared" si="163"/>
        <v>0</v>
      </c>
      <c r="I144" s="1"/>
      <c r="J144" s="5" t="s">
        <v>77</v>
      </c>
      <c r="K144" s="3">
        <f t="shared" ref="K144:Q144" si="164">-B108</f>
        <v>-82689</v>
      </c>
      <c r="L144" s="3">
        <f t="shared" si="164"/>
        <v>-82689</v>
      </c>
      <c r="M144" s="3">
        <f t="shared" si="164"/>
        <v>-82689</v>
      </c>
      <c r="N144" s="3">
        <f t="shared" si="164"/>
        <v>-2689</v>
      </c>
      <c r="O144" s="3">
        <f t="shared" si="164"/>
        <v>0</v>
      </c>
      <c r="P144" s="3">
        <f t="shared" si="164"/>
        <v>0</v>
      </c>
      <c r="Q144" s="3">
        <f t="shared" si="164"/>
        <v>-3700</v>
      </c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 t="s">
        <v>90</v>
      </c>
      <c r="B145" s="3">
        <f t="shared" si="156"/>
        <v>82851</v>
      </c>
      <c r="C145" s="3">
        <f t="shared" ref="C145:H145" si="165">C94</f>
        <v>104141</v>
      </c>
      <c r="D145" s="3">
        <f t="shared" si="165"/>
        <v>102465</v>
      </c>
      <c r="E145" s="3">
        <f t="shared" si="165"/>
        <v>101890</v>
      </c>
      <c r="F145" s="3">
        <f t="shared" si="165"/>
        <v>167300</v>
      </c>
      <c r="G145" s="3">
        <f t="shared" si="165"/>
        <v>175700</v>
      </c>
      <c r="H145" s="3">
        <f t="shared" si="165"/>
        <v>64099.999999999993</v>
      </c>
      <c r="I145" s="1"/>
      <c r="J145" s="155" t="s">
        <v>109</v>
      </c>
      <c r="K145" s="141">
        <f t="shared" ref="K145:Q145" si="166">-B109</f>
        <v>-82689</v>
      </c>
      <c r="L145" s="141">
        <f t="shared" si="166"/>
        <v>-82689</v>
      </c>
      <c r="M145" s="141">
        <f t="shared" si="166"/>
        <v>-197165</v>
      </c>
      <c r="N145" s="141">
        <f t="shared" si="166"/>
        <v>-33705</v>
      </c>
      <c r="O145" s="141">
        <f t="shared" si="166"/>
        <v>-3500</v>
      </c>
      <c r="P145" s="141">
        <f t="shared" si="166"/>
        <v>0</v>
      </c>
      <c r="Q145" s="141">
        <f t="shared" si="166"/>
        <v>-3700</v>
      </c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 t="s">
        <v>91</v>
      </c>
      <c r="B146" s="3">
        <f t="shared" si="156"/>
        <v>2173522</v>
      </c>
      <c r="C146" s="3">
        <f t="shared" ref="C146:H146" si="167">C95</f>
        <v>2550716</v>
      </c>
      <c r="D146" s="3">
        <f t="shared" si="167"/>
        <v>3013978</v>
      </c>
      <c r="E146" s="3">
        <f t="shared" si="167"/>
        <v>4357571</v>
      </c>
      <c r="F146" s="3">
        <f t="shared" si="167"/>
        <v>6752600</v>
      </c>
      <c r="G146" s="3">
        <f t="shared" si="167"/>
        <v>10132900</v>
      </c>
      <c r="H146" s="3">
        <f t="shared" si="167"/>
        <v>4578800</v>
      </c>
      <c r="I146" s="1"/>
      <c r="J146" s="5" t="s">
        <v>88</v>
      </c>
      <c r="K146" s="3">
        <f t="shared" ref="K146:Q146" si="168">-B110</f>
        <v>0</v>
      </c>
      <c r="L146" s="3">
        <f t="shared" si="168"/>
        <v>0</v>
      </c>
      <c r="M146" s="3">
        <f t="shared" si="168"/>
        <v>0</v>
      </c>
      <c r="N146" s="3">
        <f t="shared" si="168"/>
        <v>0</v>
      </c>
      <c r="O146" s="3">
        <f t="shared" si="168"/>
        <v>-850600</v>
      </c>
      <c r="P146" s="3">
        <f t="shared" si="168"/>
        <v>-1204500</v>
      </c>
      <c r="Q146" s="3">
        <f t="shared" si="168"/>
        <v>-30377100</v>
      </c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40" t="s">
        <v>107</v>
      </c>
      <c r="B147" s="141">
        <f t="shared" si="156"/>
        <v>2256373</v>
      </c>
      <c r="C147" s="141">
        <f t="shared" ref="C147:H147" si="169">C96</f>
        <v>2654857</v>
      </c>
      <c r="D147" s="141">
        <f t="shared" si="169"/>
        <v>3116443</v>
      </c>
      <c r="E147" s="141">
        <f t="shared" si="169"/>
        <v>4459461</v>
      </c>
      <c r="F147" s="141">
        <f t="shared" si="169"/>
        <v>6919900</v>
      </c>
      <c r="G147" s="141">
        <f t="shared" si="169"/>
        <v>10308600</v>
      </c>
      <c r="H147" s="141">
        <f t="shared" si="169"/>
        <v>4642900</v>
      </c>
      <c r="I147" s="1"/>
      <c r="J147" s="5" t="s">
        <v>75</v>
      </c>
      <c r="K147" s="3">
        <f t="shared" ref="K147:Q147" si="170">-B111</f>
        <v>0</v>
      </c>
      <c r="L147" s="3">
        <f t="shared" si="170"/>
        <v>0</v>
      </c>
      <c r="M147" s="3">
        <f t="shared" si="170"/>
        <v>-353246</v>
      </c>
      <c r="N147" s="3">
        <f t="shared" si="170"/>
        <v>-615707</v>
      </c>
      <c r="O147" s="3">
        <f t="shared" si="170"/>
        <v>-32600</v>
      </c>
      <c r="P147" s="3">
        <f t="shared" si="170"/>
        <v>0</v>
      </c>
      <c r="Q147" s="3">
        <f t="shared" si="170"/>
        <v>0</v>
      </c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5" t="s">
        <v>86</v>
      </c>
      <c r="B148" s="3">
        <f t="shared" si="156"/>
        <v>0</v>
      </c>
      <c r="C148" s="3">
        <f t="shared" ref="C148:H148" si="171">C97</f>
        <v>0</v>
      </c>
      <c r="D148" s="3">
        <f t="shared" si="171"/>
        <v>0</v>
      </c>
      <c r="E148" s="3">
        <f t="shared" si="171"/>
        <v>0</v>
      </c>
      <c r="F148" s="3">
        <f t="shared" si="171"/>
        <v>0</v>
      </c>
      <c r="G148" s="3">
        <f t="shared" si="171"/>
        <v>-4194500</v>
      </c>
      <c r="H148" s="3">
        <f t="shared" si="171"/>
        <v>-3165400</v>
      </c>
      <c r="I148" s="1"/>
      <c r="J148" s="5" t="s">
        <v>93</v>
      </c>
      <c r="K148" s="3">
        <f t="shared" ref="K148:Q148" si="172">-B112</f>
        <v>0</v>
      </c>
      <c r="L148" s="3">
        <f t="shared" si="172"/>
        <v>0</v>
      </c>
      <c r="M148" s="3">
        <f t="shared" si="172"/>
        <v>0</v>
      </c>
      <c r="N148" s="3">
        <f t="shared" si="172"/>
        <v>-80000</v>
      </c>
      <c r="O148" s="3">
        <f t="shared" si="172"/>
        <v>-2051800.0000000002</v>
      </c>
      <c r="P148" s="3">
        <f t="shared" si="172"/>
        <v>0</v>
      </c>
      <c r="Q148" s="3">
        <f t="shared" si="172"/>
        <v>0</v>
      </c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5" t="s">
        <v>92</v>
      </c>
      <c r="B149" s="3">
        <f t="shared" si="156"/>
        <v>-2680445</v>
      </c>
      <c r="C149" s="3">
        <f t="shared" ref="C149:H149" si="173">C98</f>
        <v>-2862566</v>
      </c>
      <c r="D149" s="3">
        <f t="shared" si="173"/>
        <v>-3881684</v>
      </c>
      <c r="E149" s="3">
        <f t="shared" si="173"/>
        <v>-5568261</v>
      </c>
      <c r="F149" s="3">
        <f t="shared" si="173"/>
        <v>-8011800</v>
      </c>
      <c r="G149" s="3">
        <f t="shared" si="173"/>
        <v>-9129500</v>
      </c>
      <c r="H149" s="3">
        <f t="shared" si="173"/>
        <v>-10328800</v>
      </c>
      <c r="I149" s="1"/>
      <c r="J149" s="5" t="s">
        <v>95</v>
      </c>
      <c r="K149" s="3">
        <f t="shared" ref="K149:Q149" si="174">-B113</f>
        <v>-2011139</v>
      </c>
      <c r="L149" s="3">
        <f t="shared" si="174"/>
        <v>-2454160</v>
      </c>
      <c r="M149" s="3">
        <f t="shared" si="174"/>
        <v>-2323647</v>
      </c>
      <c r="N149" s="3">
        <f t="shared" si="174"/>
        <v>-4039776</v>
      </c>
      <c r="O149" s="3">
        <f t="shared" si="174"/>
        <v>-1921700</v>
      </c>
      <c r="P149" s="3">
        <f t="shared" si="174"/>
        <v>-3095600</v>
      </c>
      <c r="Q149" s="3">
        <f t="shared" si="174"/>
        <v>-2666900</v>
      </c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5" t="s">
        <v>94</v>
      </c>
      <c r="B150" s="3">
        <f t="shared" si="156"/>
        <v>-2965427</v>
      </c>
      <c r="C150" s="3">
        <f t="shared" ref="C150:H150" si="175">C99</f>
        <v>-4014428</v>
      </c>
      <c r="D150" s="3">
        <f t="shared" si="175"/>
        <v>-4666212</v>
      </c>
      <c r="E150" s="3">
        <f t="shared" si="175"/>
        <v>-6493615</v>
      </c>
      <c r="F150" s="3">
        <f t="shared" si="175"/>
        <v>-6907300</v>
      </c>
      <c r="G150" s="3">
        <f t="shared" si="175"/>
        <v>-6106500</v>
      </c>
      <c r="H150" s="3">
        <f t="shared" si="175"/>
        <v>-401500</v>
      </c>
      <c r="I150" s="1"/>
      <c r="J150" s="155" t="s">
        <v>112</v>
      </c>
      <c r="K150" s="141">
        <f t="shared" ref="K150:Q150" si="176">-B114</f>
        <v>-2011139</v>
      </c>
      <c r="L150" s="141">
        <f t="shared" si="176"/>
        <v>-2454160</v>
      </c>
      <c r="M150" s="141">
        <f t="shared" si="176"/>
        <v>-2676893</v>
      </c>
      <c r="N150" s="141">
        <f t="shared" si="176"/>
        <v>-4735483</v>
      </c>
      <c r="O150" s="141">
        <f t="shared" si="176"/>
        <v>-4856700</v>
      </c>
      <c r="P150" s="141">
        <f t="shared" si="176"/>
        <v>-4300100</v>
      </c>
      <c r="Q150" s="141">
        <f t="shared" si="176"/>
        <v>-33044000</v>
      </c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5" t="s">
        <v>97</v>
      </c>
      <c r="B151" s="3">
        <f t="shared" si="156"/>
        <v>-2211</v>
      </c>
      <c r="C151" s="3">
        <f t="shared" ref="C151:H151" si="177">C100</f>
        <v>-32123</v>
      </c>
      <c r="D151" s="3">
        <f t="shared" si="177"/>
        <v>-7650</v>
      </c>
      <c r="E151" s="3">
        <f t="shared" si="177"/>
        <v>-49629</v>
      </c>
      <c r="F151" s="3">
        <f t="shared" si="177"/>
        <v>-31400</v>
      </c>
      <c r="G151" s="3">
        <f t="shared" si="177"/>
        <v>-6100</v>
      </c>
      <c r="H151" s="3">
        <f t="shared" si="177"/>
        <v>-15800</v>
      </c>
      <c r="I151" s="1"/>
      <c r="J151" s="155" t="s">
        <v>113</v>
      </c>
      <c r="K151" s="141">
        <f t="shared" ref="K151:Q151" si="178">-B115</f>
        <v>-2093828</v>
      </c>
      <c r="L151" s="141">
        <f t="shared" si="178"/>
        <v>-2536849</v>
      </c>
      <c r="M151" s="141">
        <f t="shared" si="178"/>
        <v>-2874058</v>
      </c>
      <c r="N151" s="141">
        <f t="shared" si="178"/>
        <v>-4769188</v>
      </c>
      <c r="O151" s="141">
        <f t="shared" si="178"/>
        <v>-4860200</v>
      </c>
      <c r="P151" s="141">
        <f t="shared" si="178"/>
        <v>-4300100</v>
      </c>
      <c r="Q151" s="141">
        <f t="shared" si="178"/>
        <v>-33047700</v>
      </c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5" t="s">
        <v>98</v>
      </c>
      <c r="B152" s="3">
        <f t="shared" si="156"/>
        <v>0</v>
      </c>
      <c r="C152" s="3">
        <f t="shared" ref="C152:H152" si="179">C101</f>
        <v>0</v>
      </c>
      <c r="D152" s="3">
        <f t="shared" si="179"/>
        <v>0</v>
      </c>
      <c r="E152" s="3">
        <f t="shared" si="179"/>
        <v>0</v>
      </c>
      <c r="F152" s="3">
        <f t="shared" si="179"/>
        <v>0</v>
      </c>
      <c r="G152" s="3">
        <f t="shared" si="179"/>
        <v>0</v>
      </c>
      <c r="H152" s="3">
        <f t="shared" si="179"/>
        <v>0</v>
      </c>
      <c r="I152" s="1"/>
      <c r="J152" s="15" t="s">
        <v>124</v>
      </c>
      <c r="K152" s="20">
        <f t="shared" ref="K152:Q152" si="180">K142+K151</f>
        <v>11847628</v>
      </c>
      <c r="L152" s="20">
        <f t="shared" si="180"/>
        <v>17964983</v>
      </c>
      <c r="M152" s="20">
        <f t="shared" si="180"/>
        <v>20822441</v>
      </c>
      <c r="N152" s="20">
        <f t="shared" si="180"/>
        <v>21727049</v>
      </c>
      <c r="O152" s="20">
        <f t="shared" si="180"/>
        <v>30522900</v>
      </c>
      <c r="P152" s="20">
        <f t="shared" si="180"/>
        <v>22980600</v>
      </c>
      <c r="Q152" s="20">
        <f t="shared" si="180"/>
        <v>6770200</v>
      </c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55" t="s">
        <v>115</v>
      </c>
      <c r="B153" s="141">
        <f t="shared" si="156"/>
        <v>-5648083</v>
      </c>
      <c r="C153" s="141">
        <f t="shared" ref="C153:H153" si="181">C102</f>
        <v>-6909117</v>
      </c>
      <c r="D153" s="141">
        <f t="shared" si="181"/>
        <v>-8555546</v>
      </c>
      <c r="E153" s="141">
        <f t="shared" si="181"/>
        <v>-12111505</v>
      </c>
      <c r="F153" s="141">
        <f t="shared" si="181"/>
        <v>-14950500</v>
      </c>
      <c r="G153" s="141">
        <f t="shared" si="181"/>
        <v>-19436600</v>
      </c>
      <c r="H153" s="141">
        <f t="shared" si="181"/>
        <v>-13911500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43" t="s">
        <v>120</v>
      </c>
      <c r="B154" s="141">
        <f t="shared" si="156"/>
        <v>-3391710</v>
      </c>
      <c r="C154" s="141">
        <f t="shared" ref="C154:H154" si="182">C103</f>
        <v>-4254260</v>
      </c>
      <c r="D154" s="141">
        <f t="shared" si="182"/>
        <v>-5439103</v>
      </c>
      <c r="E154" s="141">
        <f t="shared" si="182"/>
        <v>-7652044</v>
      </c>
      <c r="F154" s="141">
        <f t="shared" si="182"/>
        <v>-8030600</v>
      </c>
      <c r="G154" s="141">
        <f t="shared" si="182"/>
        <v>-9128000</v>
      </c>
      <c r="H154" s="141">
        <f t="shared" si="182"/>
        <v>-9268600</v>
      </c>
      <c r="I154" s="1"/>
      <c r="J154" s="132" t="s">
        <v>125</v>
      </c>
      <c r="K154" s="20">
        <f t="shared" ref="K154:Q154" si="183">K132+K152</f>
        <v>13955879</v>
      </c>
      <c r="L154" s="20">
        <f t="shared" si="183"/>
        <v>20930295</v>
      </c>
      <c r="M154" s="20">
        <f t="shared" si="183"/>
        <v>24871417</v>
      </c>
      <c r="N154" s="20">
        <f t="shared" si="183"/>
        <v>23825456</v>
      </c>
      <c r="O154" s="20">
        <f t="shared" si="183"/>
        <v>32227400</v>
      </c>
      <c r="P154" s="20">
        <f t="shared" si="183"/>
        <v>27105500</v>
      </c>
      <c r="Q154" s="20">
        <f t="shared" si="183"/>
        <v>146400</v>
      </c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>
        <f t="shared" si="156"/>
        <v>0</v>
      </c>
      <c r="C155" s="1">
        <f t="shared" ref="C155:H155" si="184">C104</f>
        <v>0</v>
      </c>
      <c r="D155" s="1">
        <f t="shared" si="184"/>
        <v>0</v>
      </c>
      <c r="E155" s="1">
        <f t="shared" si="184"/>
        <v>0</v>
      </c>
      <c r="F155" s="1">
        <f t="shared" si="184"/>
        <v>0</v>
      </c>
      <c r="G155" s="1">
        <f t="shared" si="184"/>
        <v>0</v>
      </c>
      <c r="H155" s="1">
        <f t="shared" si="184"/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40" t="s">
        <v>121</v>
      </c>
      <c r="B156" s="141">
        <f t="shared" si="156"/>
        <v>13955880</v>
      </c>
      <c r="C156" s="141">
        <f t="shared" ref="C156:H156" si="185">C105</f>
        <v>20930297</v>
      </c>
      <c r="D156" s="141">
        <f t="shared" si="185"/>
        <v>24871416</v>
      </c>
      <c r="E156" s="141">
        <f t="shared" si="185"/>
        <v>23825456</v>
      </c>
      <c r="F156" s="141">
        <f t="shared" si="185"/>
        <v>32227300</v>
      </c>
      <c r="G156" s="141">
        <f t="shared" si="185"/>
        <v>27105700</v>
      </c>
      <c r="H156" s="141">
        <f t="shared" si="185"/>
        <v>146300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248" t="s">
        <v>126</v>
      </c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37" t="s">
        <v>56</v>
      </c>
      <c r="B165" s="137">
        <v>2014</v>
      </c>
      <c r="C165" s="137">
        <v>2015</v>
      </c>
      <c r="D165" s="137">
        <v>2016</v>
      </c>
      <c r="E165" s="137">
        <v>2017</v>
      </c>
      <c r="F165" s="137">
        <v>2018</v>
      </c>
      <c r="G165" s="137">
        <v>2019</v>
      </c>
      <c r="H165" s="137">
        <v>2020</v>
      </c>
      <c r="I165" s="132"/>
      <c r="J165" s="137" t="s">
        <v>57</v>
      </c>
      <c r="K165" s="137">
        <v>2014</v>
      </c>
      <c r="L165" s="137">
        <v>2015</v>
      </c>
      <c r="M165" s="137">
        <v>2016</v>
      </c>
      <c r="N165" s="137">
        <v>2017</v>
      </c>
      <c r="O165" s="137">
        <v>2018</v>
      </c>
      <c r="P165" s="137">
        <v>2019</v>
      </c>
      <c r="Q165" s="137">
        <v>2020</v>
      </c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 t="s">
        <v>58</v>
      </c>
      <c r="B166" s="3">
        <f t="shared" ref="B166:H166" si="186">B125</f>
        <v>206826</v>
      </c>
      <c r="C166" s="3">
        <f t="shared" si="186"/>
        <v>206675</v>
      </c>
      <c r="D166" s="3">
        <f t="shared" si="186"/>
        <v>198260</v>
      </c>
      <c r="E166" s="3">
        <f t="shared" si="186"/>
        <v>201383</v>
      </c>
      <c r="F166" s="3">
        <f t="shared" si="186"/>
        <v>212300</v>
      </c>
      <c r="G166" s="3">
        <f t="shared" si="186"/>
        <v>198200</v>
      </c>
      <c r="H166" s="3">
        <f t="shared" si="186"/>
        <v>200900</v>
      </c>
      <c r="I166" s="1"/>
      <c r="J166" s="1" t="s">
        <v>59</v>
      </c>
      <c r="K166" s="3">
        <f t="shared" ref="K166:Q166" si="187">K125</f>
        <v>3516</v>
      </c>
      <c r="L166" s="3">
        <f t="shared" si="187"/>
        <v>3576</v>
      </c>
      <c r="M166" s="3">
        <f t="shared" si="187"/>
        <v>3576</v>
      </c>
      <c r="N166" s="3">
        <f t="shared" si="187"/>
        <v>3576</v>
      </c>
      <c r="O166" s="3">
        <f t="shared" si="187"/>
        <v>4500</v>
      </c>
      <c r="P166" s="3">
        <f t="shared" si="187"/>
        <v>16300</v>
      </c>
      <c r="Q166" s="3">
        <f t="shared" si="187"/>
        <v>397500</v>
      </c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56" t="s">
        <v>127</v>
      </c>
      <c r="B167" s="157">
        <f>'Assessment and adjustments'!C58</f>
        <v>14143992.781564951</v>
      </c>
      <c r="C167" s="157">
        <f>'Assessment and adjustments'!D58</f>
        <v>31980602.434914116</v>
      </c>
      <c r="D167" s="157">
        <f>'Assessment and adjustments'!E58</f>
        <v>25900371.412326634</v>
      </c>
      <c r="E167" s="157">
        <f>'Assessment and adjustments'!F58</f>
        <v>28287794.604719315</v>
      </c>
      <c r="F167" s="157">
        <f>'Assessment and adjustments'!G58</f>
        <v>31111113.869932413</v>
      </c>
      <c r="G167" s="156">
        <f>'Assessment and adjustments'!H58</f>
        <v>0</v>
      </c>
      <c r="H167" s="156">
        <f>'Assessment and adjustments'!I58</f>
        <v>0</v>
      </c>
      <c r="I167" s="1"/>
      <c r="J167" s="1" t="s">
        <v>61</v>
      </c>
      <c r="K167" s="3">
        <f t="shared" ref="K167:Q167" si="188">K126</f>
        <v>1093549</v>
      </c>
      <c r="L167" s="3">
        <f t="shared" si="188"/>
        <v>1231632</v>
      </c>
      <c r="M167" s="3">
        <f t="shared" si="188"/>
        <v>1231631</v>
      </c>
      <c r="N167" s="3">
        <f t="shared" si="188"/>
        <v>1231631</v>
      </c>
      <c r="O167" s="3">
        <f t="shared" si="188"/>
        <v>2686700</v>
      </c>
      <c r="P167" s="3">
        <f t="shared" si="188"/>
        <v>6664100</v>
      </c>
      <c r="Q167" s="3">
        <f t="shared" si="188"/>
        <v>18805100</v>
      </c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 t="s">
        <v>60</v>
      </c>
      <c r="B168" s="3">
        <f t="shared" ref="B168:H168" si="189">B126</f>
        <v>518915</v>
      </c>
      <c r="C168" s="3">
        <f t="shared" si="189"/>
        <v>593626</v>
      </c>
      <c r="D168" s="3">
        <f t="shared" si="189"/>
        <v>241499</v>
      </c>
      <c r="E168" s="3">
        <f t="shared" si="189"/>
        <v>1018927</v>
      </c>
      <c r="F168" s="3">
        <f t="shared" si="189"/>
        <v>2673800</v>
      </c>
      <c r="G168" s="3">
        <f t="shared" si="189"/>
        <v>2672400</v>
      </c>
      <c r="H168" s="3">
        <f t="shared" si="189"/>
        <v>1966200</v>
      </c>
      <c r="I168" s="1"/>
      <c r="J168" s="1" t="s">
        <v>63</v>
      </c>
      <c r="K168" s="3">
        <f t="shared" ref="K168:Q168" si="190">K127</f>
        <v>87221</v>
      </c>
      <c r="L168" s="3">
        <f t="shared" si="190"/>
        <v>94362</v>
      </c>
      <c r="M168" s="3">
        <f t="shared" si="190"/>
        <v>110621</v>
      </c>
      <c r="N168" s="3">
        <f t="shared" si="190"/>
        <v>127769</v>
      </c>
      <c r="O168" s="3">
        <f t="shared" si="190"/>
        <v>132900</v>
      </c>
      <c r="P168" s="3">
        <f t="shared" si="190"/>
        <v>149200</v>
      </c>
      <c r="Q168" s="3">
        <f t="shared" si="190"/>
        <v>943500</v>
      </c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 t="s">
        <v>62</v>
      </c>
      <c r="B169" s="3">
        <f t="shared" ref="B169:H169" si="191">B127</f>
        <v>12527932</v>
      </c>
      <c r="C169" s="3">
        <f t="shared" si="191"/>
        <v>18507706</v>
      </c>
      <c r="D169" s="3">
        <f t="shared" si="191"/>
        <v>22571775</v>
      </c>
      <c r="E169" s="3">
        <f t="shared" si="191"/>
        <v>25861883</v>
      </c>
      <c r="F169" s="3">
        <f t="shared" si="191"/>
        <v>31064200</v>
      </c>
      <c r="G169" s="3">
        <f t="shared" si="191"/>
        <v>27392000</v>
      </c>
      <c r="H169" s="3">
        <f t="shared" si="191"/>
        <v>6129600</v>
      </c>
      <c r="I169" s="1"/>
      <c r="J169" s="1" t="s">
        <v>65</v>
      </c>
      <c r="K169" s="3">
        <f t="shared" ref="K169:Q169" si="192">K128</f>
        <v>455099</v>
      </c>
      <c r="L169" s="3">
        <f t="shared" si="192"/>
        <v>876192</v>
      </c>
      <c r="M169" s="3">
        <f t="shared" si="192"/>
        <v>773112</v>
      </c>
      <c r="N169" s="3">
        <f t="shared" si="192"/>
        <v>641437</v>
      </c>
      <c r="O169" s="3">
        <f t="shared" si="192"/>
        <v>1011700</v>
      </c>
      <c r="P169" s="3">
        <f t="shared" si="192"/>
        <v>1085500</v>
      </c>
      <c r="Q169" s="3">
        <f t="shared" si="192"/>
        <v>112800</v>
      </c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 t="s">
        <v>64</v>
      </c>
      <c r="B170" s="3">
        <f t="shared" ref="B170:H170" si="193">B128</f>
        <v>0</v>
      </c>
      <c r="C170" s="3">
        <f t="shared" si="193"/>
        <v>0</v>
      </c>
      <c r="D170" s="3">
        <f t="shared" si="193"/>
        <v>0</v>
      </c>
      <c r="E170" s="3">
        <f t="shared" si="193"/>
        <v>0</v>
      </c>
      <c r="F170" s="3">
        <f t="shared" si="193"/>
        <v>0</v>
      </c>
      <c r="G170" s="3">
        <f t="shared" si="193"/>
        <v>33245400</v>
      </c>
      <c r="H170" s="3">
        <f t="shared" si="193"/>
        <v>2791400</v>
      </c>
      <c r="I170" s="1"/>
      <c r="J170" s="1" t="s">
        <v>67</v>
      </c>
      <c r="K170" s="3">
        <f t="shared" ref="K170:Q170" si="194">K129</f>
        <v>468866</v>
      </c>
      <c r="L170" s="3">
        <f t="shared" si="194"/>
        <v>759550</v>
      </c>
      <c r="M170" s="3">
        <f t="shared" si="194"/>
        <v>1919266</v>
      </c>
      <c r="N170" s="3">
        <f t="shared" si="194"/>
        <v>81666</v>
      </c>
      <c r="O170" s="3">
        <f t="shared" si="194"/>
        <v>-2148600</v>
      </c>
      <c r="P170" s="3">
        <f t="shared" si="194"/>
        <v>-3814000</v>
      </c>
      <c r="Q170" s="3">
        <f t="shared" si="194"/>
        <v>-26882700</v>
      </c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3"/>
      <c r="C171" s="3"/>
      <c r="D171" s="3"/>
      <c r="E171" s="3"/>
      <c r="F171" s="3"/>
      <c r="G171" s="3"/>
      <c r="H171" s="3"/>
      <c r="I171" s="1"/>
      <c r="J171" s="156" t="s">
        <v>128</v>
      </c>
      <c r="K171" s="158">
        <f>'Income statement'!T38-'Income statement'!K37</f>
        <v>-585257.01973930537</v>
      </c>
      <c r="L171" s="158">
        <f>'Income statement'!U38-'Income statement'!L37</f>
        <v>-1521077.0463419883</v>
      </c>
      <c r="M171" s="158">
        <f>'Income statement'!V38-'Income statement'!M37</f>
        <v>-2794970.4184304522</v>
      </c>
      <c r="N171" s="158">
        <f>'Income statement'!W38-'Income statement'!N37</f>
        <v>-1734489.9814499207</v>
      </c>
      <c r="O171" s="158">
        <f>'Income statement'!X38-'Income statement'!O37</f>
        <v>-1635973.6095614517</v>
      </c>
      <c r="P171" s="158">
        <f>'Income statement'!Y38-'Income statement'!P37</f>
        <v>0</v>
      </c>
      <c r="Q171" s="158">
        <f>'Income statement'!Z38-'Income statement'!Q37</f>
        <v>0</v>
      </c>
      <c r="R171" s="3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 t="s">
        <v>66</v>
      </c>
      <c r="B172" s="3">
        <f t="shared" ref="B172:H172" si="195">B129</f>
        <v>83687</v>
      </c>
      <c r="C172" s="3">
        <f t="shared" si="195"/>
        <v>79508</v>
      </c>
      <c r="D172" s="3">
        <f t="shared" si="195"/>
        <v>88361</v>
      </c>
      <c r="E172" s="3">
        <f t="shared" si="195"/>
        <v>90458</v>
      </c>
      <c r="F172" s="3">
        <f t="shared" si="195"/>
        <v>211400</v>
      </c>
      <c r="G172" s="3">
        <f t="shared" si="195"/>
        <v>197900</v>
      </c>
      <c r="H172" s="3">
        <f t="shared" si="195"/>
        <v>163200</v>
      </c>
      <c r="I172" s="1"/>
      <c r="J172" s="144" t="s">
        <v>69</v>
      </c>
      <c r="K172" s="139">
        <f t="shared" ref="K172:P172" si="196">SUM(K166:K171)</f>
        <v>1522993.9802606946</v>
      </c>
      <c r="L172" s="139">
        <f t="shared" si="196"/>
        <v>1444234.9536580117</v>
      </c>
      <c r="M172" s="139">
        <f t="shared" si="196"/>
        <v>1243235.5815695478</v>
      </c>
      <c r="N172" s="139">
        <f t="shared" si="196"/>
        <v>351589.01855007932</v>
      </c>
      <c r="O172" s="139">
        <f t="shared" si="196"/>
        <v>51226.390438548289</v>
      </c>
      <c r="P172" s="139">
        <f t="shared" si="196"/>
        <v>4101100</v>
      </c>
      <c r="Q172" s="139">
        <f>Q130</f>
        <v>-6623800</v>
      </c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 t="s">
        <v>68</v>
      </c>
      <c r="B173" s="3">
        <f t="shared" ref="B173:H173" si="197">B130</f>
        <v>0</v>
      </c>
      <c r="C173" s="3">
        <f t="shared" si="197"/>
        <v>0</v>
      </c>
      <c r="D173" s="3">
        <f t="shared" si="197"/>
        <v>0</v>
      </c>
      <c r="E173" s="3">
        <f t="shared" si="197"/>
        <v>0</v>
      </c>
      <c r="F173" s="3">
        <f t="shared" si="197"/>
        <v>0</v>
      </c>
      <c r="G173" s="3">
        <f t="shared" si="197"/>
        <v>35700</v>
      </c>
      <c r="H173" s="3">
        <f t="shared" si="197"/>
        <v>0</v>
      </c>
      <c r="I173" s="1"/>
      <c r="J173" s="1" t="s">
        <v>71</v>
      </c>
      <c r="K173" s="3">
        <f t="shared" ref="K173:Q173" si="198">K131</f>
        <v>0</v>
      </c>
      <c r="L173" s="3">
        <f t="shared" si="198"/>
        <v>0</v>
      </c>
      <c r="M173" s="3">
        <f t="shared" si="198"/>
        <v>10770</v>
      </c>
      <c r="N173" s="3">
        <f t="shared" si="198"/>
        <v>12328</v>
      </c>
      <c r="O173" s="3">
        <f t="shared" si="198"/>
        <v>17300</v>
      </c>
      <c r="P173" s="3">
        <f t="shared" si="198"/>
        <v>23800</v>
      </c>
      <c r="Q173" s="3">
        <f t="shared" si="198"/>
        <v>0</v>
      </c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 t="s">
        <v>70</v>
      </c>
      <c r="B174" s="3">
        <f t="shared" ref="B174:H174" si="199">B131</f>
        <v>252236</v>
      </c>
      <c r="C174" s="3">
        <f t="shared" si="199"/>
        <v>285674</v>
      </c>
      <c r="D174" s="3">
        <f t="shared" si="199"/>
        <v>283236</v>
      </c>
      <c r="E174" s="3">
        <f t="shared" si="199"/>
        <v>279463</v>
      </c>
      <c r="F174" s="3">
        <f t="shared" si="199"/>
        <v>269400</v>
      </c>
      <c r="G174" s="3">
        <f t="shared" si="199"/>
        <v>263700</v>
      </c>
      <c r="H174" s="3">
        <f t="shared" si="199"/>
        <v>252400</v>
      </c>
      <c r="I174" s="1"/>
      <c r="J174" s="144" t="s">
        <v>73</v>
      </c>
      <c r="K174" s="139">
        <f t="shared" ref="K174:Q174" si="200">K172+K173</f>
        <v>1522993.9802606946</v>
      </c>
      <c r="L174" s="139">
        <f t="shared" si="200"/>
        <v>1444234.9536580117</v>
      </c>
      <c r="M174" s="139">
        <f t="shared" si="200"/>
        <v>1254005.5815695478</v>
      </c>
      <c r="N174" s="139">
        <f t="shared" si="200"/>
        <v>363917.01855007932</v>
      </c>
      <c r="O174" s="139">
        <f t="shared" si="200"/>
        <v>68526.390438548289</v>
      </c>
      <c r="P174" s="139">
        <f t="shared" si="200"/>
        <v>4124900</v>
      </c>
      <c r="Q174" s="139">
        <f t="shared" si="200"/>
        <v>-6623800</v>
      </c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 t="s">
        <v>72</v>
      </c>
      <c r="B175" s="3">
        <f t="shared" ref="B175:H175" si="201">B132</f>
        <v>0</v>
      </c>
      <c r="C175" s="3">
        <f t="shared" si="201"/>
        <v>0</v>
      </c>
      <c r="D175" s="3">
        <f t="shared" si="201"/>
        <v>0</v>
      </c>
      <c r="E175" s="3">
        <f t="shared" si="201"/>
        <v>0</v>
      </c>
      <c r="F175" s="3">
        <f t="shared" si="201"/>
        <v>0</v>
      </c>
      <c r="G175" s="3">
        <f t="shared" si="201"/>
        <v>297300</v>
      </c>
      <c r="H175" s="3">
        <f t="shared" si="201"/>
        <v>216600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 t="s">
        <v>74</v>
      </c>
      <c r="B176" s="3">
        <f t="shared" ref="B176:H176" si="202">B133</f>
        <v>19234</v>
      </c>
      <c r="C176" s="3">
        <f t="shared" si="202"/>
        <v>0</v>
      </c>
      <c r="D176" s="3">
        <f t="shared" si="202"/>
        <v>0</v>
      </c>
      <c r="E176" s="3">
        <f t="shared" si="202"/>
        <v>0</v>
      </c>
      <c r="F176" s="3">
        <f t="shared" si="202"/>
        <v>0</v>
      </c>
      <c r="G176" s="3">
        <f t="shared" si="202"/>
        <v>0</v>
      </c>
      <c r="H176" s="3">
        <f t="shared" si="202"/>
        <v>0</v>
      </c>
      <c r="I176" s="1"/>
      <c r="J176" s="1" t="s">
        <v>76</v>
      </c>
      <c r="K176" s="3">
        <f t="shared" ref="K176:Q176" si="203">K134</f>
        <v>201883</v>
      </c>
      <c r="L176" s="3">
        <f t="shared" si="203"/>
        <v>134516</v>
      </c>
      <c r="M176" s="3">
        <f t="shared" si="203"/>
        <v>107379</v>
      </c>
      <c r="N176" s="3">
        <f t="shared" si="203"/>
        <v>149661</v>
      </c>
      <c r="O176" s="3">
        <f t="shared" si="203"/>
        <v>146500</v>
      </c>
      <c r="P176" s="3">
        <f t="shared" si="203"/>
        <v>177500</v>
      </c>
      <c r="Q176" s="3">
        <f t="shared" si="203"/>
        <v>227800</v>
      </c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 t="s">
        <v>79</v>
      </c>
      <c r="B177" s="3">
        <f t="shared" ref="B177:H177" si="204">B134</f>
        <v>223594</v>
      </c>
      <c r="C177" s="3">
        <f t="shared" si="204"/>
        <v>328127</v>
      </c>
      <c r="D177" s="3">
        <f t="shared" si="204"/>
        <v>609110</v>
      </c>
      <c r="E177" s="3">
        <f t="shared" si="204"/>
        <v>832561</v>
      </c>
      <c r="F177" s="3">
        <f t="shared" si="204"/>
        <v>70300</v>
      </c>
      <c r="G177" s="3">
        <f t="shared" si="204"/>
        <v>23700</v>
      </c>
      <c r="H177" s="3">
        <f t="shared" si="204"/>
        <v>80400</v>
      </c>
      <c r="I177" s="1"/>
      <c r="J177" s="1" t="s">
        <v>84</v>
      </c>
      <c r="K177" s="3">
        <f t="shared" ref="K177:Q177" si="205">K135</f>
        <v>9950228</v>
      </c>
      <c r="L177" s="3">
        <f t="shared" si="205"/>
        <v>16543405</v>
      </c>
      <c r="M177" s="3">
        <f t="shared" si="205"/>
        <v>18706062</v>
      </c>
      <c r="N177" s="3">
        <f t="shared" si="205"/>
        <v>22060271</v>
      </c>
      <c r="O177" s="3">
        <f t="shared" si="205"/>
        <v>22530000</v>
      </c>
      <c r="P177" s="3">
        <f t="shared" si="205"/>
        <v>22144400</v>
      </c>
      <c r="Q177" s="3">
        <f t="shared" si="205"/>
        <v>0</v>
      </c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 t="s">
        <v>81</v>
      </c>
      <c r="B178" s="3">
        <f t="shared" ref="B178:H178" si="206">B135</f>
        <v>4102664</v>
      </c>
      <c r="C178" s="3">
        <f t="shared" si="206"/>
        <v>5939281</v>
      </c>
      <c r="D178" s="3">
        <f t="shared" si="206"/>
        <v>7156303</v>
      </c>
      <c r="E178" s="3">
        <f t="shared" si="206"/>
        <v>5219372</v>
      </c>
      <c r="F178" s="3">
        <f t="shared" si="206"/>
        <v>8561300</v>
      </c>
      <c r="G178" s="3">
        <f t="shared" si="206"/>
        <v>4946600</v>
      </c>
      <c r="H178" s="3">
        <f t="shared" si="206"/>
        <v>0</v>
      </c>
      <c r="I178" s="1"/>
      <c r="J178" s="1" t="s">
        <v>87</v>
      </c>
      <c r="K178" s="3">
        <f t="shared" ref="K178:Q178" si="207">K136</f>
        <v>0</v>
      </c>
      <c r="L178" s="3">
        <f t="shared" si="207"/>
        <v>0</v>
      </c>
      <c r="M178" s="3">
        <f t="shared" si="207"/>
        <v>27939</v>
      </c>
      <c r="N178" s="3">
        <f t="shared" si="207"/>
        <v>0</v>
      </c>
      <c r="O178" s="3">
        <f t="shared" si="207"/>
        <v>38100</v>
      </c>
      <c r="P178" s="3">
        <f t="shared" si="207"/>
        <v>369200</v>
      </c>
      <c r="Q178" s="3">
        <f t="shared" si="207"/>
        <v>3200</v>
      </c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 t="s">
        <v>83</v>
      </c>
      <c r="B179" s="3">
        <f t="shared" ref="B179:H179" si="208">B136</f>
        <v>421060</v>
      </c>
      <c r="C179" s="3">
        <f t="shared" si="208"/>
        <v>501811</v>
      </c>
      <c r="D179" s="3">
        <f t="shared" si="208"/>
        <v>623606</v>
      </c>
      <c r="E179" s="3">
        <f t="shared" si="208"/>
        <v>789974</v>
      </c>
      <c r="F179" s="3">
        <f t="shared" si="208"/>
        <v>1142400</v>
      </c>
      <c r="G179" s="3">
        <f t="shared" si="208"/>
        <v>1461400</v>
      </c>
      <c r="H179" s="3">
        <f t="shared" si="208"/>
        <v>62600</v>
      </c>
      <c r="I179" s="1"/>
      <c r="J179" s="140" t="s">
        <v>108</v>
      </c>
      <c r="K179" s="139">
        <f t="shared" ref="K179:Q179" si="209">SUM(K175:K178)</f>
        <v>10152111</v>
      </c>
      <c r="L179" s="139">
        <f t="shared" si="209"/>
        <v>16677921</v>
      </c>
      <c r="M179" s="139">
        <f t="shared" si="209"/>
        <v>18841380</v>
      </c>
      <c r="N179" s="139">
        <f t="shared" si="209"/>
        <v>22209932</v>
      </c>
      <c r="O179" s="139">
        <f t="shared" si="209"/>
        <v>22714600</v>
      </c>
      <c r="P179" s="139">
        <f t="shared" si="209"/>
        <v>22691100</v>
      </c>
      <c r="Q179" s="139">
        <f t="shared" si="209"/>
        <v>231000</v>
      </c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40" t="s">
        <v>105</v>
      </c>
      <c r="B180" s="141">
        <f t="shared" ref="B180:H180" si="210">SUM(B166:B179)</f>
        <v>32500140.781564951</v>
      </c>
      <c r="C180" s="141">
        <f t="shared" si="210"/>
        <v>58423010.434914112</v>
      </c>
      <c r="D180" s="141">
        <f t="shared" si="210"/>
        <v>57672521.412326634</v>
      </c>
      <c r="E180" s="141">
        <f t="shared" si="210"/>
        <v>62581815.604719311</v>
      </c>
      <c r="F180" s="141">
        <f t="shared" si="210"/>
        <v>75316213.869932413</v>
      </c>
      <c r="G180" s="141">
        <f t="shared" si="210"/>
        <v>70734300</v>
      </c>
      <c r="H180" s="141">
        <f t="shared" si="210"/>
        <v>11863300</v>
      </c>
      <c r="I180" s="1"/>
      <c r="J180" s="1" t="s">
        <v>84</v>
      </c>
      <c r="K180" s="3">
        <f t="shared" ref="K180:Q180" si="211">K138</f>
        <v>3330387</v>
      </c>
      <c r="L180" s="3">
        <f t="shared" si="211"/>
        <v>3041388</v>
      </c>
      <c r="M180" s="3">
        <f t="shared" si="211"/>
        <v>4768813</v>
      </c>
      <c r="N180" s="3">
        <f t="shared" si="211"/>
        <v>4244486</v>
      </c>
      <c r="O180" s="3">
        <f t="shared" si="211"/>
        <v>11309100</v>
      </c>
      <c r="P180" s="3">
        <f t="shared" si="211"/>
        <v>4589600</v>
      </c>
      <c r="Q180" s="3">
        <f t="shared" si="211"/>
        <v>8769900</v>
      </c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5" t="s">
        <v>78</v>
      </c>
      <c r="B181" s="3">
        <f t="shared" ref="B181:H181" si="212">B138</f>
        <v>-835480</v>
      </c>
      <c r="C181" s="3">
        <f t="shared" si="212"/>
        <v>-1177513</v>
      </c>
      <c r="D181" s="3">
        <f t="shared" si="212"/>
        <v>-1376465</v>
      </c>
      <c r="E181" s="3">
        <f t="shared" si="212"/>
        <v>-2679400</v>
      </c>
      <c r="F181" s="3">
        <f t="shared" si="212"/>
        <v>-3187500</v>
      </c>
      <c r="G181" s="3">
        <f t="shared" si="212"/>
        <v>-3879000</v>
      </c>
      <c r="H181" s="3">
        <f t="shared" si="212"/>
        <v>-1598800</v>
      </c>
      <c r="I181" s="1"/>
      <c r="J181" s="1" t="s">
        <v>75</v>
      </c>
      <c r="K181" s="3">
        <f t="shared" ref="K181:Q181" si="213">K139</f>
        <v>458958</v>
      </c>
      <c r="L181" s="3">
        <f t="shared" si="213"/>
        <v>782523</v>
      </c>
      <c r="M181" s="3">
        <f t="shared" si="213"/>
        <v>86306</v>
      </c>
      <c r="N181" s="3">
        <f t="shared" si="213"/>
        <v>41819</v>
      </c>
      <c r="O181" s="3">
        <f t="shared" si="213"/>
        <v>1359400</v>
      </c>
      <c r="P181" s="3">
        <f t="shared" si="213"/>
        <v>0</v>
      </c>
      <c r="Q181" s="3">
        <f t="shared" si="213"/>
        <v>49200</v>
      </c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5" t="s">
        <v>80</v>
      </c>
      <c r="B182" s="3">
        <f t="shared" ref="B182:H182" si="214">B139</f>
        <v>0</v>
      </c>
      <c r="C182" s="3">
        <f t="shared" si="214"/>
        <v>-80338</v>
      </c>
      <c r="D182" s="3">
        <f t="shared" si="214"/>
        <v>-85166</v>
      </c>
      <c r="E182" s="3">
        <f t="shared" si="214"/>
        <v>-137121</v>
      </c>
      <c r="F182" s="3">
        <f t="shared" si="214"/>
        <v>-145200</v>
      </c>
      <c r="G182" s="3">
        <f t="shared" si="214"/>
        <v>-1100</v>
      </c>
      <c r="H182" s="3">
        <f t="shared" si="214"/>
        <v>-13900</v>
      </c>
      <c r="I182" s="1"/>
      <c r="J182" s="1" t="s">
        <v>100</v>
      </c>
      <c r="K182" s="3">
        <f t="shared" ref="K182:Q182" si="215">K140</f>
        <v>0</v>
      </c>
      <c r="L182" s="3">
        <f t="shared" si="215"/>
        <v>0</v>
      </c>
      <c r="M182" s="3">
        <f t="shared" si="215"/>
        <v>0</v>
      </c>
      <c r="N182" s="3">
        <f t="shared" si="215"/>
        <v>0</v>
      </c>
      <c r="O182" s="3">
        <f t="shared" si="215"/>
        <v>0</v>
      </c>
      <c r="P182" s="3">
        <f t="shared" si="215"/>
        <v>0</v>
      </c>
      <c r="Q182" s="3">
        <f t="shared" si="215"/>
        <v>30767800</v>
      </c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5" t="s">
        <v>82</v>
      </c>
      <c r="B183" s="3">
        <f t="shared" ref="B183:H183" si="216">B140</f>
        <v>-169851</v>
      </c>
      <c r="C183" s="3">
        <f t="shared" si="216"/>
        <v>0</v>
      </c>
      <c r="D183" s="3">
        <f t="shared" si="216"/>
        <v>0</v>
      </c>
      <c r="E183" s="3">
        <f t="shared" si="216"/>
        <v>0</v>
      </c>
      <c r="F183" s="3">
        <f t="shared" si="216"/>
        <v>-614500</v>
      </c>
      <c r="G183" s="3">
        <f t="shared" si="216"/>
        <v>-540700</v>
      </c>
      <c r="H183" s="3">
        <f t="shared" si="216"/>
        <v>-650000</v>
      </c>
      <c r="I183" s="1"/>
      <c r="J183" s="140" t="s">
        <v>110</v>
      </c>
      <c r="K183" s="141">
        <f t="shared" ref="K183:Q183" si="217">K180+K181+K182</f>
        <v>3789345</v>
      </c>
      <c r="L183" s="141">
        <f t="shared" si="217"/>
        <v>3823911</v>
      </c>
      <c r="M183" s="141">
        <f t="shared" si="217"/>
        <v>4855119</v>
      </c>
      <c r="N183" s="141">
        <f t="shared" si="217"/>
        <v>4286305</v>
      </c>
      <c r="O183" s="141">
        <f t="shared" si="217"/>
        <v>12668500</v>
      </c>
      <c r="P183" s="141">
        <f t="shared" si="217"/>
        <v>4589600</v>
      </c>
      <c r="Q183" s="141">
        <f t="shared" si="217"/>
        <v>39586900</v>
      </c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59" t="s">
        <v>129</v>
      </c>
      <c r="B184" s="160">
        <f>-'Assessment and adjustments'!C67</f>
        <v>216464.92510905809</v>
      </c>
      <c r="C184" s="160">
        <f>-'Assessment and adjustments'!D67</f>
        <v>562590.14042785869</v>
      </c>
      <c r="D184" s="160">
        <f>-'Assessment and adjustments'!E67</f>
        <v>931656.80614348408</v>
      </c>
      <c r="E184" s="160">
        <f>-'Assessment and adjustments'!F67</f>
        <v>547733.67835260648</v>
      </c>
      <c r="F184" s="160">
        <f>-'Assessment and adjustments'!G67</f>
        <v>488667.44181705709</v>
      </c>
      <c r="G184" s="160">
        <f>-'Assessment and adjustments'!H65</f>
        <v>0</v>
      </c>
      <c r="H184" s="160">
        <f>-'Assessment and adjustments'!I65</f>
        <v>0</v>
      </c>
      <c r="I184" s="1"/>
      <c r="J184" s="140"/>
      <c r="K184" s="20"/>
      <c r="L184" s="20"/>
      <c r="M184" s="20"/>
      <c r="N184" s="20"/>
      <c r="O184" s="20"/>
      <c r="P184" s="20"/>
      <c r="Q184" s="20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5" t="s">
        <v>86</v>
      </c>
      <c r="B185" s="3">
        <f t="shared" ref="B185:H185" si="218">B141</f>
        <v>-3227</v>
      </c>
      <c r="C185" s="3">
        <f t="shared" si="218"/>
        <v>0</v>
      </c>
      <c r="D185" s="3">
        <f t="shared" si="218"/>
        <v>0</v>
      </c>
      <c r="E185" s="3">
        <f t="shared" si="218"/>
        <v>0</v>
      </c>
      <c r="F185" s="3">
        <f t="shared" si="218"/>
        <v>0</v>
      </c>
      <c r="G185" s="3">
        <f t="shared" si="218"/>
        <v>-30079800</v>
      </c>
      <c r="H185" s="3">
        <f t="shared" si="218"/>
        <v>-185700</v>
      </c>
      <c r="I185" s="1"/>
      <c r="J185" s="140" t="s">
        <v>111</v>
      </c>
      <c r="K185" s="20">
        <f t="shared" ref="K185:Q185" si="219">K179+K183</f>
        <v>13941456</v>
      </c>
      <c r="L185" s="20">
        <f t="shared" si="219"/>
        <v>20501832</v>
      </c>
      <c r="M185" s="20">
        <f t="shared" si="219"/>
        <v>23696499</v>
      </c>
      <c r="N185" s="20">
        <f t="shared" si="219"/>
        <v>26496237</v>
      </c>
      <c r="O185" s="20">
        <f t="shared" si="219"/>
        <v>35383100</v>
      </c>
      <c r="P185" s="20">
        <f t="shared" si="219"/>
        <v>27280700</v>
      </c>
      <c r="Q185" s="20">
        <f t="shared" si="219"/>
        <v>39817900</v>
      </c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59" t="s">
        <v>130</v>
      </c>
      <c r="B186" s="160">
        <f>-'Assessment and adjustments'!C63</f>
        <v>-14945714.726413315</v>
      </c>
      <c r="C186" s="160">
        <f>-'Assessment and adjustments'!D63</f>
        <v>-34064269.621683963</v>
      </c>
      <c r="D186" s="160">
        <f>-'Assessment and adjustments'!E63</f>
        <v>-29626998.63690057</v>
      </c>
      <c r="E186" s="160">
        <f>-'Assessment and adjustments'!F63</f>
        <v>-30570018.264521841</v>
      </c>
      <c r="F186" s="160">
        <f>-'Assessment and adjustments'!G63</f>
        <v>-33235754.92131092</v>
      </c>
      <c r="G186" s="160">
        <f>-'Assessment and adjustments'!H63</f>
        <v>0</v>
      </c>
      <c r="H186" s="160">
        <f>-'Assessment and adjustments'!I63</f>
        <v>0</v>
      </c>
      <c r="I186" s="1"/>
      <c r="J186" s="5" t="s">
        <v>75</v>
      </c>
      <c r="K186" s="3">
        <f t="shared" ref="K186:Q186" si="220">K143</f>
        <v>0</v>
      </c>
      <c r="L186" s="3">
        <f t="shared" si="220"/>
        <v>0</v>
      </c>
      <c r="M186" s="3">
        <f t="shared" si="220"/>
        <v>-114476</v>
      </c>
      <c r="N186" s="3">
        <f t="shared" si="220"/>
        <v>-31016</v>
      </c>
      <c r="O186" s="3">
        <f t="shared" si="220"/>
        <v>-3500</v>
      </c>
      <c r="P186" s="3">
        <f t="shared" si="220"/>
        <v>0</v>
      </c>
      <c r="Q186" s="3">
        <f t="shared" si="220"/>
        <v>0</v>
      </c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55" t="s">
        <v>106</v>
      </c>
      <c r="B187" s="141">
        <f t="shared" ref="B187:H187" si="221">SUM(B181:B186)</f>
        <v>-15737807.801304257</v>
      </c>
      <c r="C187" s="141">
        <f t="shared" si="221"/>
        <v>-34759530.481256105</v>
      </c>
      <c r="D187" s="141">
        <f t="shared" si="221"/>
        <v>-30156972.830757085</v>
      </c>
      <c r="E187" s="141">
        <f t="shared" si="221"/>
        <v>-32838805.586169235</v>
      </c>
      <c r="F187" s="141">
        <f t="shared" si="221"/>
        <v>-36694287.479493864</v>
      </c>
      <c r="G187" s="141">
        <f t="shared" si="221"/>
        <v>-34500600</v>
      </c>
      <c r="H187" s="141">
        <f t="shared" si="221"/>
        <v>-2448400</v>
      </c>
      <c r="I187" s="1"/>
      <c r="J187" s="5" t="s">
        <v>77</v>
      </c>
      <c r="K187" s="3">
        <f t="shared" ref="K187:Q187" si="222">K144</f>
        <v>-82689</v>
      </c>
      <c r="L187" s="3">
        <f t="shared" si="222"/>
        <v>-82689</v>
      </c>
      <c r="M187" s="3">
        <f t="shared" si="222"/>
        <v>-82689</v>
      </c>
      <c r="N187" s="3">
        <f t="shared" si="222"/>
        <v>-2689</v>
      </c>
      <c r="O187" s="3">
        <f t="shared" si="222"/>
        <v>0</v>
      </c>
      <c r="P187" s="3">
        <f t="shared" si="222"/>
        <v>0</v>
      </c>
      <c r="Q187" s="3">
        <f t="shared" si="222"/>
        <v>-3700</v>
      </c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5" t="s">
        <v>118</v>
      </c>
      <c r="B188" s="141">
        <f t="shared" ref="B188:H188" si="223">B180+B187</f>
        <v>16762332.980260694</v>
      </c>
      <c r="C188" s="141">
        <f t="shared" si="223"/>
        <v>23663479.953658007</v>
      </c>
      <c r="D188" s="141">
        <f t="shared" si="223"/>
        <v>27515548.581569549</v>
      </c>
      <c r="E188" s="141">
        <f t="shared" si="223"/>
        <v>29743010.018550076</v>
      </c>
      <c r="F188" s="141">
        <f t="shared" si="223"/>
        <v>38621926.390438549</v>
      </c>
      <c r="G188" s="141">
        <f t="shared" si="223"/>
        <v>36233700</v>
      </c>
      <c r="H188" s="141">
        <f t="shared" si="223"/>
        <v>9414900</v>
      </c>
      <c r="I188" s="1"/>
      <c r="J188" s="155" t="s">
        <v>109</v>
      </c>
      <c r="K188" s="141">
        <f t="shared" ref="K188:Q188" si="224">SUM(K186:K187)</f>
        <v>-82689</v>
      </c>
      <c r="L188" s="141">
        <f t="shared" si="224"/>
        <v>-82689</v>
      </c>
      <c r="M188" s="141">
        <f t="shared" si="224"/>
        <v>-197165</v>
      </c>
      <c r="N188" s="141">
        <f t="shared" si="224"/>
        <v>-33705</v>
      </c>
      <c r="O188" s="141">
        <f t="shared" si="224"/>
        <v>-3500</v>
      </c>
      <c r="P188" s="141">
        <f t="shared" si="224"/>
        <v>0</v>
      </c>
      <c r="Q188" s="141">
        <f t="shared" si="224"/>
        <v>-3700</v>
      </c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5" t="s">
        <v>88</v>
      </c>
      <c r="K189" s="3">
        <f t="shared" ref="K189:Q189" si="225">K146</f>
        <v>0</v>
      </c>
      <c r="L189" s="3">
        <f t="shared" si="225"/>
        <v>0</v>
      </c>
      <c r="M189" s="3">
        <f t="shared" si="225"/>
        <v>0</v>
      </c>
      <c r="N189" s="3">
        <f t="shared" si="225"/>
        <v>0</v>
      </c>
      <c r="O189" s="3">
        <f t="shared" si="225"/>
        <v>-850600</v>
      </c>
      <c r="P189" s="3">
        <f t="shared" si="225"/>
        <v>-1204500</v>
      </c>
      <c r="Q189" s="3">
        <f t="shared" si="225"/>
        <v>-30377100</v>
      </c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 t="s">
        <v>90</v>
      </c>
      <c r="B190" s="3">
        <f t="shared" ref="B190:H190" si="226">B145</f>
        <v>82851</v>
      </c>
      <c r="C190" s="3">
        <f t="shared" si="226"/>
        <v>104141</v>
      </c>
      <c r="D190" s="3">
        <f t="shared" si="226"/>
        <v>102465</v>
      </c>
      <c r="E190" s="3">
        <f t="shared" si="226"/>
        <v>101890</v>
      </c>
      <c r="F190" s="3">
        <f t="shared" si="226"/>
        <v>167300</v>
      </c>
      <c r="G190" s="3">
        <f t="shared" si="226"/>
        <v>175700</v>
      </c>
      <c r="H190" s="3">
        <f t="shared" si="226"/>
        <v>64099.999999999993</v>
      </c>
      <c r="I190" s="1"/>
      <c r="J190" s="5" t="s">
        <v>75</v>
      </c>
      <c r="K190" s="3">
        <f t="shared" ref="K190:Q190" si="227">K147</f>
        <v>0</v>
      </c>
      <c r="L190" s="3">
        <f t="shared" si="227"/>
        <v>0</v>
      </c>
      <c r="M190" s="3">
        <f t="shared" si="227"/>
        <v>-353246</v>
      </c>
      <c r="N190" s="3">
        <f t="shared" si="227"/>
        <v>-615707</v>
      </c>
      <c r="O190" s="3">
        <f t="shared" si="227"/>
        <v>-32600</v>
      </c>
      <c r="P190" s="3">
        <f t="shared" si="227"/>
        <v>0</v>
      </c>
      <c r="Q190" s="3">
        <f t="shared" si="227"/>
        <v>0</v>
      </c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 t="s">
        <v>91</v>
      </c>
      <c r="B191" s="3">
        <f t="shared" ref="B191:H191" si="228">B146</f>
        <v>2173522</v>
      </c>
      <c r="C191" s="3">
        <f t="shared" si="228"/>
        <v>2550716</v>
      </c>
      <c r="D191" s="3">
        <f t="shared" si="228"/>
        <v>3013978</v>
      </c>
      <c r="E191" s="3">
        <f t="shared" si="228"/>
        <v>4357571</v>
      </c>
      <c r="F191" s="3">
        <f t="shared" si="228"/>
        <v>6752600</v>
      </c>
      <c r="G191" s="3">
        <f t="shared" si="228"/>
        <v>10132900</v>
      </c>
      <c r="H191" s="3">
        <f t="shared" si="228"/>
        <v>4578800</v>
      </c>
      <c r="I191" s="1"/>
      <c r="J191" s="5" t="s">
        <v>93</v>
      </c>
      <c r="K191" s="3">
        <f t="shared" ref="K191:Q191" si="229">K148</f>
        <v>0</v>
      </c>
      <c r="L191" s="3">
        <f t="shared" si="229"/>
        <v>0</v>
      </c>
      <c r="M191" s="3">
        <f t="shared" si="229"/>
        <v>0</v>
      </c>
      <c r="N191" s="3">
        <f t="shared" si="229"/>
        <v>-80000</v>
      </c>
      <c r="O191" s="3">
        <f t="shared" si="229"/>
        <v>-2051800.0000000002</v>
      </c>
      <c r="P191" s="3">
        <f t="shared" si="229"/>
        <v>0</v>
      </c>
      <c r="Q191" s="3">
        <f t="shared" si="229"/>
        <v>0</v>
      </c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40" t="s">
        <v>107</v>
      </c>
      <c r="B192" s="141">
        <f t="shared" ref="B192:H192" si="230">B190+B191</f>
        <v>2256373</v>
      </c>
      <c r="C192" s="141">
        <f t="shared" si="230"/>
        <v>2654857</v>
      </c>
      <c r="D192" s="141">
        <f t="shared" si="230"/>
        <v>3116443</v>
      </c>
      <c r="E192" s="141">
        <f t="shared" si="230"/>
        <v>4459461</v>
      </c>
      <c r="F192" s="141">
        <f t="shared" si="230"/>
        <v>6919900</v>
      </c>
      <c r="G192" s="141">
        <f t="shared" si="230"/>
        <v>10308600</v>
      </c>
      <c r="H192" s="141">
        <f t="shared" si="230"/>
        <v>4642900</v>
      </c>
      <c r="I192" s="1"/>
      <c r="J192" s="5" t="s">
        <v>95</v>
      </c>
      <c r="K192" s="3">
        <f t="shared" ref="K192:Q192" si="231">K149</f>
        <v>-2011139</v>
      </c>
      <c r="L192" s="3">
        <f t="shared" si="231"/>
        <v>-2454160</v>
      </c>
      <c r="M192" s="3">
        <f t="shared" si="231"/>
        <v>-2323647</v>
      </c>
      <c r="N192" s="3">
        <f t="shared" si="231"/>
        <v>-4039776</v>
      </c>
      <c r="O192" s="3">
        <f t="shared" si="231"/>
        <v>-1921700</v>
      </c>
      <c r="P192" s="3">
        <f t="shared" si="231"/>
        <v>-3095600</v>
      </c>
      <c r="Q192" s="3">
        <f t="shared" si="231"/>
        <v>-2666900</v>
      </c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5" t="s">
        <v>86</v>
      </c>
      <c r="B193" s="3">
        <f t="shared" ref="B193:H193" si="232">B148</f>
        <v>0</v>
      </c>
      <c r="C193" s="3">
        <f t="shared" si="232"/>
        <v>0</v>
      </c>
      <c r="D193" s="3">
        <f t="shared" si="232"/>
        <v>0</v>
      </c>
      <c r="E193" s="3">
        <f t="shared" si="232"/>
        <v>0</v>
      </c>
      <c r="F193" s="3">
        <f t="shared" si="232"/>
        <v>0</v>
      </c>
      <c r="G193" s="3">
        <f t="shared" si="232"/>
        <v>-4194500</v>
      </c>
      <c r="H193" s="3">
        <f t="shared" si="232"/>
        <v>-3165400</v>
      </c>
      <c r="I193" s="1"/>
      <c r="J193" s="155" t="s">
        <v>112</v>
      </c>
      <c r="K193" s="141">
        <f t="shared" ref="K193:Q193" si="233">SUM(K189:K192)</f>
        <v>-2011139</v>
      </c>
      <c r="L193" s="141">
        <f t="shared" si="233"/>
        <v>-2454160</v>
      </c>
      <c r="M193" s="141">
        <f t="shared" si="233"/>
        <v>-2676893</v>
      </c>
      <c r="N193" s="141">
        <f t="shared" si="233"/>
        <v>-4735483</v>
      </c>
      <c r="O193" s="141">
        <f t="shared" si="233"/>
        <v>-4856700</v>
      </c>
      <c r="P193" s="141">
        <f t="shared" si="233"/>
        <v>-4300100</v>
      </c>
      <c r="Q193" s="141">
        <f t="shared" si="233"/>
        <v>-33044000</v>
      </c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5" t="s">
        <v>92</v>
      </c>
      <c r="B194" s="3">
        <f t="shared" ref="B194:H194" si="234">B149</f>
        <v>-2680445</v>
      </c>
      <c r="C194" s="3">
        <f t="shared" si="234"/>
        <v>-2862566</v>
      </c>
      <c r="D194" s="3">
        <f t="shared" si="234"/>
        <v>-3881684</v>
      </c>
      <c r="E194" s="3">
        <f t="shared" si="234"/>
        <v>-5568261</v>
      </c>
      <c r="F194" s="3">
        <f t="shared" si="234"/>
        <v>-8011800</v>
      </c>
      <c r="G194" s="3">
        <f t="shared" si="234"/>
        <v>-9129500</v>
      </c>
      <c r="H194" s="3">
        <f t="shared" si="234"/>
        <v>-10328800</v>
      </c>
      <c r="I194" s="1"/>
      <c r="J194" s="155" t="s">
        <v>113</v>
      </c>
      <c r="K194" s="141">
        <f t="shared" ref="K194:Q194" si="235">K188+K193</f>
        <v>-2093828</v>
      </c>
      <c r="L194" s="141">
        <f t="shared" si="235"/>
        <v>-2536849</v>
      </c>
      <c r="M194" s="141">
        <f t="shared" si="235"/>
        <v>-2874058</v>
      </c>
      <c r="N194" s="141">
        <f t="shared" si="235"/>
        <v>-4769188</v>
      </c>
      <c r="O194" s="141">
        <f t="shared" si="235"/>
        <v>-4860200</v>
      </c>
      <c r="P194" s="141">
        <f t="shared" si="235"/>
        <v>-4300100</v>
      </c>
      <c r="Q194" s="141">
        <f t="shared" si="235"/>
        <v>-33047700</v>
      </c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5" t="s">
        <v>94</v>
      </c>
      <c r="B195" s="3">
        <f t="shared" ref="B195:H195" si="236">B150</f>
        <v>-2965427</v>
      </c>
      <c r="C195" s="3">
        <f t="shared" si="236"/>
        <v>-4014428</v>
      </c>
      <c r="D195" s="3">
        <f t="shared" si="236"/>
        <v>-4666212</v>
      </c>
      <c r="E195" s="3">
        <f t="shared" si="236"/>
        <v>-6493615</v>
      </c>
      <c r="F195" s="3">
        <f t="shared" si="236"/>
        <v>-6907300</v>
      </c>
      <c r="G195" s="3">
        <f t="shared" si="236"/>
        <v>-6106500</v>
      </c>
      <c r="H195" s="3">
        <f t="shared" si="236"/>
        <v>-401500</v>
      </c>
      <c r="I195" s="1"/>
      <c r="J195" s="15" t="s">
        <v>124</v>
      </c>
      <c r="K195" s="20">
        <f t="shared" ref="K195:Q195" si="237">K185+K194</f>
        <v>11847628</v>
      </c>
      <c r="L195" s="20">
        <f t="shared" si="237"/>
        <v>17964983</v>
      </c>
      <c r="M195" s="20">
        <f t="shared" si="237"/>
        <v>20822441</v>
      </c>
      <c r="N195" s="20">
        <f t="shared" si="237"/>
        <v>21727049</v>
      </c>
      <c r="O195" s="20">
        <f t="shared" si="237"/>
        <v>30522900</v>
      </c>
      <c r="P195" s="20">
        <f t="shared" si="237"/>
        <v>22980600</v>
      </c>
      <c r="Q195" s="20">
        <f t="shared" si="237"/>
        <v>6770200</v>
      </c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5" t="s">
        <v>97</v>
      </c>
      <c r="B196" s="3">
        <f t="shared" ref="B196:H196" si="238">B151</f>
        <v>-2211</v>
      </c>
      <c r="C196" s="3">
        <f t="shared" si="238"/>
        <v>-32123</v>
      </c>
      <c r="D196" s="3">
        <f t="shared" si="238"/>
        <v>-7650</v>
      </c>
      <c r="E196" s="3">
        <f t="shared" si="238"/>
        <v>-49629</v>
      </c>
      <c r="F196" s="3">
        <f t="shared" si="238"/>
        <v>-31400</v>
      </c>
      <c r="G196" s="3">
        <f t="shared" si="238"/>
        <v>-6100</v>
      </c>
      <c r="H196" s="3">
        <f t="shared" si="238"/>
        <v>-15800</v>
      </c>
      <c r="I196" s="1"/>
      <c r="J196" s="1"/>
      <c r="K196" s="132"/>
      <c r="L196" s="132"/>
      <c r="M196" s="132"/>
      <c r="N196" s="132"/>
      <c r="O196" s="132"/>
      <c r="P196" s="132"/>
      <c r="Q196" s="132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5" t="s">
        <v>98</v>
      </c>
      <c r="B197" s="3">
        <f t="shared" ref="B197:H197" si="239">B152</f>
        <v>0</v>
      </c>
      <c r="C197" s="3">
        <f t="shared" si="239"/>
        <v>0</v>
      </c>
      <c r="D197" s="3">
        <f t="shared" si="239"/>
        <v>0</v>
      </c>
      <c r="E197" s="3">
        <f t="shared" si="239"/>
        <v>0</v>
      </c>
      <c r="F197" s="3">
        <f t="shared" si="239"/>
        <v>0</v>
      </c>
      <c r="G197" s="3">
        <f t="shared" si="239"/>
        <v>0</v>
      </c>
      <c r="H197" s="3">
        <f t="shared" si="239"/>
        <v>0</v>
      </c>
      <c r="I197" s="1"/>
      <c r="J197" s="132" t="s">
        <v>125</v>
      </c>
      <c r="K197" s="20">
        <f t="shared" ref="K197:Q197" si="240">K174+K195</f>
        <v>13370621.980260694</v>
      </c>
      <c r="L197" s="20">
        <f t="shared" si="240"/>
        <v>19409217.953658011</v>
      </c>
      <c r="M197" s="20">
        <f t="shared" si="240"/>
        <v>22076446.581569549</v>
      </c>
      <c r="N197" s="20">
        <f t="shared" si="240"/>
        <v>22090966.018550079</v>
      </c>
      <c r="O197" s="20">
        <f t="shared" si="240"/>
        <v>30591426.390438549</v>
      </c>
      <c r="P197" s="20">
        <f t="shared" si="240"/>
        <v>27105500</v>
      </c>
      <c r="Q197" s="20">
        <f t="shared" si="240"/>
        <v>146400</v>
      </c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55" t="s">
        <v>115</v>
      </c>
      <c r="B198" s="141">
        <f t="shared" ref="B198:H198" si="241">SUM(B193:B197)</f>
        <v>-5648083</v>
      </c>
      <c r="C198" s="141">
        <f t="shared" si="241"/>
        <v>-6909117</v>
      </c>
      <c r="D198" s="141">
        <f t="shared" si="241"/>
        <v>-8555546</v>
      </c>
      <c r="E198" s="141">
        <f t="shared" si="241"/>
        <v>-12111505</v>
      </c>
      <c r="F198" s="141">
        <f t="shared" si="241"/>
        <v>-14950500</v>
      </c>
      <c r="G198" s="141">
        <f t="shared" si="241"/>
        <v>-19436600</v>
      </c>
      <c r="H198" s="141">
        <f t="shared" si="241"/>
        <v>-13911500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43" t="s">
        <v>120</v>
      </c>
      <c r="B199" s="141">
        <f t="shared" ref="B199:H199" si="242">B192+B198</f>
        <v>-3391710</v>
      </c>
      <c r="C199" s="141">
        <f t="shared" si="242"/>
        <v>-4254260</v>
      </c>
      <c r="D199" s="141">
        <f t="shared" si="242"/>
        <v>-5439103</v>
      </c>
      <c r="E199" s="141">
        <f t="shared" si="242"/>
        <v>-7652044</v>
      </c>
      <c r="F199" s="141">
        <f t="shared" si="242"/>
        <v>-8030600</v>
      </c>
      <c r="G199" s="141">
        <f t="shared" si="242"/>
        <v>-9128000</v>
      </c>
      <c r="H199" s="141">
        <f t="shared" si="242"/>
        <v>-9268600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">
        <f>SUM(K188:K191)</f>
        <v>-82689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40" t="s">
        <v>121</v>
      </c>
      <c r="B201" s="141">
        <f t="shared" ref="B201:H201" si="243">B188+B199</f>
        <v>13370622.980260694</v>
      </c>
      <c r="C201" s="141">
        <f t="shared" si="243"/>
        <v>19409219.953658007</v>
      </c>
      <c r="D201" s="141">
        <f t="shared" si="243"/>
        <v>22076445.581569549</v>
      </c>
      <c r="E201" s="141">
        <f t="shared" si="243"/>
        <v>22090966.018550076</v>
      </c>
      <c r="F201" s="141">
        <f t="shared" si="243"/>
        <v>30591326.390438549</v>
      </c>
      <c r="G201" s="141">
        <f t="shared" si="243"/>
        <v>27105700</v>
      </c>
      <c r="H201" s="141">
        <f t="shared" si="243"/>
        <v>146300</v>
      </c>
      <c r="I201" s="1"/>
      <c r="J201" s="1"/>
      <c r="K201" s="3">
        <f>K194-K192</f>
        <v>-82689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1"/>
      <c r="D204" s="1"/>
      <c r="E204" s="7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250" t="s">
        <v>131</v>
      </c>
      <c r="B209" s="249"/>
      <c r="C209" s="249"/>
      <c r="D209" s="249"/>
      <c r="E209" s="249"/>
      <c r="F209" s="249"/>
      <c r="G209" s="249"/>
      <c r="H209" s="249"/>
      <c r="I209" s="1"/>
      <c r="J209" s="248" t="s">
        <v>132</v>
      </c>
      <c r="K209" s="249"/>
      <c r="L209" s="249"/>
      <c r="M209" s="249"/>
      <c r="N209" s="249"/>
      <c r="O209" s="249"/>
      <c r="P209" s="249"/>
      <c r="Q209" s="249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37"/>
      <c r="B210" s="137">
        <v>2014</v>
      </c>
      <c r="C210" s="137">
        <v>2015</v>
      </c>
      <c r="D210" s="137">
        <v>2016</v>
      </c>
      <c r="E210" s="137">
        <v>2017</v>
      </c>
      <c r="F210" s="137">
        <v>2018</v>
      </c>
      <c r="G210" s="137">
        <v>2019</v>
      </c>
      <c r="H210" s="137">
        <v>2020</v>
      </c>
      <c r="I210" s="1"/>
      <c r="J210" s="137"/>
      <c r="K210" s="137">
        <v>2014</v>
      </c>
      <c r="L210" s="137">
        <v>2015</v>
      </c>
      <c r="M210" s="137">
        <v>2016</v>
      </c>
      <c r="N210" s="137">
        <v>2017</v>
      </c>
      <c r="O210" s="137">
        <v>2018</v>
      </c>
      <c r="P210" s="137">
        <v>2019</v>
      </c>
      <c r="Q210" s="137">
        <v>2020</v>
      </c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32" t="s">
        <v>133</v>
      </c>
      <c r="B211" s="3">
        <f t="shared" ref="B211:H211" si="244">B143</f>
        <v>17347590</v>
      </c>
      <c r="C211" s="3">
        <f t="shared" si="244"/>
        <v>25184557</v>
      </c>
      <c r="D211" s="3">
        <f t="shared" si="244"/>
        <v>30310519</v>
      </c>
      <c r="E211" s="3">
        <f t="shared" si="244"/>
        <v>31477500</v>
      </c>
      <c r="F211" s="3">
        <f t="shared" si="244"/>
        <v>40257900</v>
      </c>
      <c r="G211" s="3">
        <f t="shared" si="244"/>
        <v>36233700</v>
      </c>
      <c r="H211" s="3">
        <f t="shared" si="244"/>
        <v>9414900</v>
      </c>
      <c r="I211" s="1"/>
      <c r="J211" s="132" t="s">
        <v>133</v>
      </c>
      <c r="K211" s="3">
        <f t="shared" ref="K211:Q211" si="245">B188</f>
        <v>16762332.980260694</v>
      </c>
      <c r="L211" s="3">
        <f t="shared" si="245"/>
        <v>23663479.953658007</v>
      </c>
      <c r="M211" s="3">
        <f t="shared" si="245"/>
        <v>27515548.581569549</v>
      </c>
      <c r="N211" s="3">
        <f t="shared" si="245"/>
        <v>29743010.018550076</v>
      </c>
      <c r="O211" s="3">
        <f t="shared" si="245"/>
        <v>38621926.390438549</v>
      </c>
      <c r="P211" s="3">
        <f t="shared" si="245"/>
        <v>36233700</v>
      </c>
      <c r="Q211" s="3">
        <f t="shared" si="245"/>
        <v>9414900</v>
      </c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32" t="s">
        <v>134</v>
      </c>
      <c r="B212" s="3">
        <f t="shared" ref="B212:H212" si="246">B154</f>
        <v>-3391710</v>
      </c>
      <c r="C212" s="3">
        <f t="shared" si="246"/>
        <v>-4254260</v>
      </c>
      <c r="D212" s="3">
        <f t="shared" si="246"/>
        <v>-5439103</v>
      </c>
      <c r="E212" s="3">
        <f t="shared" si="246"/>
        <v>-7652044</v>
      </c>
      <c r="F212" s="3">
        <f t="shared" si="246"/>
        <v>-8030600</v>
      </c>
      <c r="G212" s="3">
        <f t="shared" si="246"/>
        <v>-9128000</v>
      </c>
      <c r="H212" s="3">
        <f t="shared" si="246"/>
        <v>-9268600</v>
      </c>
      <c r="I212" s="1"/>
      <c r="J212" s="132" t="s">
        <v>134</v>
      </c>
      <c r="K212" s="3">
        <f t="shared" ref="K212:Q212" si="247">B199</f>
        <v>-3391710</v>
      </c>
      <c r="L212" s="3">
        <f t="shared" si="247"/>
        <v>-4254260</v>
      </c>
      <c r="M212" s="3">
        <f t="shared" si="247"/>
        <v>-5439103</v>
      </c>
      <c r="N212" s="3">
        <f t="shared" si="247"/>
        <v>-7652044</v>
      </c>
      <c r="O212" s="3">
        <f t="shared" si="247"/>
        <v>-8030600</v>
      </c>
      <c r="P212" s="3">
        <f t="shared" si="247"/>
        <v>-9128000</v>
      </c>
      <c r="Q212" s="3">
        <f t="shared" si="247"/>
        <v>-9268600</v>
      </c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21" t="s">
        <v>135</v>
      </c>
      <c r="B213" s="22">
        <f t="shared" ref="B213:H213" si="248">B156</f>
        <v>13955880</v>
      </c>
      <c r="C213" s="22">
        <f t="shared" si="248"/>
        <v>20930297</v>
      </c>
      <c r="D213" s="22">
        <f t="shared" si="248"/>
        <v>24871416</v>
      </c>
      <c r="E213" s="22">
        <f t="shared" si="248"/>
        <v>23825456</v>
      </c>
      <c r="F213" s="22">
        <f t="shared" si="248"/>
        <v>32227300</v>
      </c>
      <c r="G213" s="22">
        <f t="shared" si="248"/>
        <v>27105700</v>
      </c>
      <c r="H213" s="22">
        <f t="shared" si="248"/>
        <v>146300</v>
      </c>
      <c r="I213" s="1"/>
      <c r="J213" s="21" t="s">
        <v>135</v>
      </c>
      <c r="K213" s="22">
        <f t="shared" ref="K213:Q213" si="249">B201</f>
        <v>13370622.980260694</v>
      </c>
      <c r="L213" s="22">
        <f t="shared" si="249"/>
        <v>19409219.953658007</v>
      </c>
      <c r="M213" s="22">
        <f t="shared" si="249"/>
        <v>22076445.581569549</v>
      </c>
      <c r="N213" s="22">
        <f t="shared" si="249"/>
        <v>22090966.018550076</v>
      </c>
      <c r="O213" s="22">
        <f t="shared" si="249"/>
        <v>30591326.390438549</v>
      </c>
      <c r="P213" s="22">
        <f t="shared" si="249"/>
        <v>27105700</v>
      </c>
      <c r="Q213" s="22">
        <f t="shared" si="249"/>
        <v>146300</v>
      </c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32" t="s">
        <v>136</v>
      </c>
      <c r="B214" s="3">
        <f t="shared" ref="B214:H214" si="250">K132</f>
        <v>2108251</v>
      </c>
      <c r="C214" s="3">
        <f t="shared" si="250"/>
        <v>2965312</v>
      </c>
      <c r="D214" s="3">
        <f t="shared" si="250"/>
        <v>4048976</v>
      </c>
      <c r="E214" s="3">
        <f t="shared" si="250"/>
        <v>2098407</v>
      </c>
      <c r="F214" s="3">
        <f t="shared" si="250"/>
        <v>1704500</v>
      </c>
      <c r="G214" s="3">
        <f t="shared" si="250"/>
        <v>4124900</v>
      </c>
      <c r="H214" s="3">
        <f t="shared" si="250"/>
        <v>-6623800</v>
      </c>
      <c r="I214" s="1"/>
      <c r="J214" s="132" t="s">
        <v>136</v>
      </c>
      <c r="K214" s="3">
        <f t="shared" ref="K214:Q214" si="251">K174</f>
        <v>1522993.9802606946</v>
      </c>
      <c r="L214" s="3">
        <f t="shared" si="251"/>
        <v>1444234.9536580117</v>
      </c>
      <c r="M214" s="3">
        <f t="shared" si="251"/>
        <v>1254005.5815695478</v>
      </c>
      <c r="N214" s="3">
        <f t="shared" si="251"/>
        <v>363917.01855007932</v>
      </c>
      <c r="O214" s="3">
        <f t="shared" si="251"/>
        <v>68526.390438548289</v>
      </c>
      <c r="P214" s="3">
        <f t="shared" si="251"/>
        <v>4124900</v>
      </c>
      <c r="Q214" s="3">
        <f t="shared" si="251"/>
        <v>-6623800</v>
      </c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32" t="s">
        <v>124</v>
      </c>
      <c r="B215" s="3">
        <f t="shared" ref="B215:H215" si="252">K152</f>
        <v>11847628</v>
      </c>
      <c r="C215" s="3">
        <f t="shared" si="252"/>
        <v>17964983</v>
      </c>
      <c r="D215" s="3">
        <f t="shared" si="252"/>
        <v>20822441</v>
      </c>
      <c r="E215" s="3">
        <f t="shared" si="252"/>
        <v>21727049</v>
      </c>
      <c r="F215" s="3">
        <f t="shared" si="252"/>
        <v>30522900</v>
      </c>
      <c r="G215" s="3">
        <f t="shared" si="252"/>
        <v>22980600</v>
      </c>
      <c r="H215" s="3">
        <f t="shared" si="252"/>
        <v>6770200</v>
      </c>
      <c r="I215" s="1"/>
      <c r="J215" s="132" t="s">
        <v>124</v>
      </c>
      <c r="K215" s="3">
        <f t="shared" ref="K215:Q215" si="253">K195</f>
        <v>11847628</v>
      </c>
      <c r="L215" s="3">
        <f t="shared" si="253"/>
        <v>17964983</v>
      </c>
      <c r="M215" s="3">
        <f t="shared" si="253"/>
        <v>20822441</v>
      </c>
      <c r="N215" s="3">
        <f t="shared" si="253"/>
        <v>21727049</v>
      </c>
      <c r="O215" s="3">
        <f t="shared" si="253"/>
        <v>30522900</v>
      </c>
      <c r="P215" s="3">
        <f t="shared" si="253"/>
        <v>22980600</v>
      </c>
      <c r="Q215" s="3">
        <f t="shared" si="253"/>
        <v>6770200</v>
      </c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21" t="s">
        <v>137</v>
      </c>
      <c r="B216" s="22">
        <f t="shared" ref="B216:H216" si="254">K154</f>
        <v>13955879</v>
      </c>
      <c r="C216" s="22">
        <f t="shared" si="254"/>
        <v>20930295</v>
      </c>
      <c r="D216" s="22">
        <f t="shared" si="254"/>
        <v>24871417</v>
      </c>
      <c r="E216" s="22">
        <f t="shared" si="254"/>
        <v>23825456</v>
      </c>
      <c r="F216" s="22">
        <f t="shared" si="254"/>
        <v>32227400</v>
      </c>
      <c r="G216" s="22">
        <f t="shared" si="254"/>
        <v>27105500</v>
      </c>
      <c r="H216" s="22">
        <f t="shared" si="254"/>
        <v>146400</v>
      </c>
      <c r="I216" s="1"/>
      <c r="J216" s="21" t="s">
        <v>137</v>
      </c>
      <c r="K216" s="22">
        <f t="shared" ref="K216:Q216" si="255">K197</f>
        <v>13370621.980260694</v>
      </c>
      <c r="L216" s="22">
        <f t="shared" si="255"/>
        <v>19409217.953658011</v>
      </c>
      <c r="M216" s="22">
        <f t="shared" si="255"/>
        <v>22076446.581569549</v>
      </c>
      <c r="N216" s="22">
        <f t="shared" si="255"/>
        <v>22090966.018550079</v>
      </c>
      <c r="O216" s="22">
        <f t="shared" si="255"/>
        <v>30591426.390438549</v>
      </c>
      <c r="P216" s="22">
        <f t="shared" si="255"/>
        <v>27105500</v>
      </c>
      <c r="Q216" s="22">
        <f t="shared" si="255"/>
        <v>146400</v>
      </c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">
        <f t="shared" ref="K218:Q218" si="256">K213-K216</f>
        <v>1</v>
      </c>
      <c r="L218" s="3">
        <f t="shared" si="256"/>
        <v>1.9999999962747097</v>
      </c>
      <c r="M218" s="3">
        <f t="shared" si="256"/>
        <v>-1</v>
      </c>
      <c r="N218" s="3">
        <f t="shared" si="256"/>
        <v>0</v>
      </c>
      <c r="O218" s="3">
        <f t="shared" si="256"/>
        <v>-100</v>
      </c>
      <c r="P218" s="3">
        <f t="shared" si="256"/>
        <v>200</v>
      </c>
      <c r="Q218" s="3">
        <f t="shared" si="256"/>
        <v>-100</v>
      </c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">
        <f>-N222</f>
        <v>0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7">
    <mergeCell ref="A209:H209"/>
    <mergeCell ref="J209:Q209"/>
    <mergeCell ref="A1:Q1"/>
    <mergeCell ref="A35:Q35"/>
    <mergeCell ref="A72:Q72"/>
    <mergeCell ref="A123:Q123"/>
    <mergeCell ref="A164:Q16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zoomScale="75" workbookViewId="0"/>
  </sheetViews>
  <sheetFormatPr defaultColWidth="11.3125" defaultRowHeight="15" customHeight="1" x14ac:dyDescent="0.35"/>
  <cols>
    <col min="1" max="1" width="30.125" customWidth="1"/>
    <col min="2" max="2" width="13" customWidth="1"/>
    <col min="3" max="4" width="13.4375" customWidth="1"/>
    <col min="5" max="5" width="13.3125" customWidth="1"/>
    <col min="6" max="6" width="14.4375" customWidth="1"/>
    <col min="7" max="7" width="13.4375" customWidth="1"/>
    <col min="8" max="8" width="15.125" customWidth="1"/>
    <col min="9" max="26" width="10.5625" customWidth="1"/>
  </cols>
  <sheetData>
    <row r="1" spans="1:26" ht="15.75" customHeight="1" x14ac:dyDescent="0.45">
      <c r="A1" s="154"/>
      <c r="B1" s="154"/>
      <c r="C1" s="250" t="s">
        <v>138</v>
      </c>
      <c r="D1" s="249"/>
      <c r="E1" s="249"/>
      <c r="F1" s="249"/>
      <c r="G1" s="249"/>
      <c r="H1" s="24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45">
      <c r="A2" s="137"/>
      <c r="B2" s="137">
        <v>2014</v>
      </c>
      <c r="C2" s="137">
        <v>2015</v>
      </c>
      <c r="D2" s="137">
        <v>2016</v>
      </c>
      <c r="E2" s="137">
        <v>2017</v>
      </c>
      <c r="F2" s="137">
        <v>2018</v>
      </c>
      <c r="G2" s="137">
        <v>2019</v>
      </c>
      <c r="H2" s="137">
        <v>2020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45">
      <c r="A3" s="23" t="s">
        <v>40</v>
      </c>
      <c r="B3" s="3">
        <f>'Income statement'!T29</f>
        <v>-977938.03611628595</v>
      </c>
      <c r="C3" s="3">
        <f>'Income statement'!U29</f>
        <v>-147028.43135369197</v>
      </c>
      <c r="D3" s="3">
        <f>'Income statement'!V29</f>
        <v>-133523.81988496054</v>
      </c>
      <c r="E3" s="3">
        <f>'Income statement'!W29</f>
        <v>-1765920.8169932459</v>
      </c>
      <c r="F3" s="3">
        <f>'Income statement'!X29</f>
        <v>-2840173.9145233301</v>
      </c>
      <c r="G3" s="3">
        <f>'Income statement'!Y29</f>
        <v>364300</v>
      </c>
      <c r="H3" s="3">
        <f>'Income statement'!Z29</f>
        <v>-11505896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45">
      <c r="A4" s="1" t="s">
        <v>139</v>
      </c>
      <c r="B4" s="3">
        <f>-('Income statement'!T22+'Income statement'!T23+'Income statement'!T24)</f>
        <v>2742430.7481045015</v>
      </c>
      <c r="C4" s="3">
        <f>-('Income statement'!U22+'Income statement'!U23+'Income statement'!U24)</f>
        <v>4261317.9607584821</v>
      </c>
      <c r="D4" s="3">
        <f>-('Income statement'!V22+'Income statement'!V23+'Income statement'!V24)</f>
        <v>6353876.4265132807</v>
      </c>
      <c r="E4" s="3">
        <f>-('Income statement'!W22+'Income statement'!W23+'Income statement'!W24)</f>
        <v>6766134.8644647971</v>
      </c>
      <c r="F4" s="3">
        <f>-('Income statement'!X22+'Income statement'!X23+'Income statement'!X24)</f>
        <v>6589636.2526277015</v>
      </c>
      <c r="G4" s="3">
        <f>-('Income statement'!Y22+'Income statement'!Y23+'Income statement'!Y24)</f>
        <v>6457500</v>
      </c>
      <c r="H4" s="3">
        <f>-('Income statement'!Z22+'Income statement'!Z23+'Income statement'!Z24)</f>
        <v>6197500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45">
      <c r="A5" s="1" t="s">
        <v>140</v>
      </c>
      <c r="B5" s="1"/>
      <c r="C5" s="3">
        <f>-('Balance sheet'!L212-'Balance sheet'!K212)</f>
        <v>862550</v>
      </c>
      <c r="D5" s="3">
        <f>-('Balance sheet'!M212-'Balance sheet'!L212)</f>
        <v>1184843</v>
      </c>
      <c r="E5" s="3">
        <f>-('Balance sheet'!N212-'Balance sheet'!M212)</f>
        <v>2212941</v>
      </c>
      <c r="F5" s="3">
        <f>-('Balance sheet'!O212-'Balance sheet'!N212)</f>
        <v>378556</v>
      </c>
      <c r="G5" s="3">
        <f>-('Balance sheet'!P212-'Balance sheet'!O212)</f>
        <v>1097400</v>
      </c>
      <c r="H5" s="3">
        <f>-('Balance sheet'!Q212-'Balance sheet'!P212)</f>
        <v>140600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45">
      <c r="A6" s="1" t="s">
        <v>141</v>
      </c>
      <c r="B6" s="1"/>
      <c r="C6" s="3">
        <f>-('Balance sheet'!L211-'Balance sheet'!K211+'Cash flow analysis'!C4)</f>
        <v>-11162464.934155796</v>
      </c>
      <c r="D6" s="3">
        <f>-('Balance sheet'!M211-'Balance sheet'!L211+'Cash flow analysis'!D4)</f>
        <v>-10205945.054424822</v>
      </c>
      <c r="E6" s="3">
        <f>-('Balance sheet'!N211-'Balance sheet'!M211+'Cash flow analysis'!E4)</f>
        <v>-8993596.301445324</v>
      </c>
      <c r="F6" s="3">
        <f>-('Balance sheet'!O211-'Balance sheet'!N211+'Cash flow analysis'!F4)</f>
        <v>-15468552.624516174</v>
      </c>
      <c r="G6" s="3">
        <f>-('Balance sheet'!P211-'Balance sheet'!O211+'Cash flow analysis'!G4)</f>
        <v>-4069273.6095614508</v>
      </c>
      <c r="H6" s="3">
        <f>-('Balance sheet'!Q211-'Balance sheet'!P211+'Cash flow analysis'!H4)</f>
        <v>20621300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45">
      <c r="A7" s="161" t="s">
        <v>142</v>
      </c>
      <c r="B7" s="162"/>
      <c r="C7" s="163">
        <f t="shared" ref="C7:H7" si="0">C3+C4+C5+C6</f>
        <v>-6185625.4047510056</v>
      </c>
      <c r="D7" s="163">
        <f t="shared" si="0"/>
        <v>-2800749.4477965022</v>
      </c>
      <c r="E7" s="163">
        <f t="shared" si="0"/>
        <v>-1780441.2539737727</v>
      </c>
      <c r="F7" s="163">
        <f t="shared" si="0"/>
        <v>-11340534.286411803</v>
      </c>
      <c r="G7" s="163">
        <f t="shared" si="0"/>
        <v>3849926.3904385492</v>
      </c>
      <c r="H7" s="163">
        <f t="shared" si="0"/>
        <v>15453504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45">
      <c r="A8" s="24" t="s">
        <v>143</v>
      </c>
      <c r="B8" s="1"/>
      <c r="C8" s="3">
        <f>('Balance sheet'!L215-'Balance sheet'!L192)-('Balance sheet'!K215-'Balance sheet'!K192)</f>
        <v>6560376</v>
      </c>
      <c r="D8" s="3">
        <f>('Balance sheet'!M215-'Balance sheet'!M192)-('Balance sheet'!L215-'Balance sheet'!L192)</f>
        <v>2726945</v>
      </c>
      <c r="E8" s="3">
        <f>('Balance sheet'!N215-'Balance sheet'!N192)-('Balance sheet'!M215-'Balance sheet'!M192)</f>
        <v>2620737</v>
      </c>
      <c r="F8" s="3">
        <f>('Balance sheet'!O215-'Balance sheet'!O192)-('Balance sheet'!N215-'Balance sheet'!N192)</f>
        <v>6677775</v>
      </c>
      <c r="G8" s="3">
        <f>('Balance sheet'!P215-'Balance sheet'!P192)-('Balance sheet'!O215-'Balance sheet'!O192)</f>
        <v>-6368400</v>
      </c>
      <c r="H8" s="3">
        <f>('Balance sheet'!Q215-'Balance sheet'!Q192)-('Balance sheet'!P215-'Balance sheet'!P192)</f>
        <v>-16639100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45">
      <c r="A9" s="23" t="s">
        <v>144</v>
      </c>
      <c r="B9" s="1"/>
      <c r="C9" s="3">
        <f>'Income statement'!U34</f>
        <v>-1545065.226011365</v>
      </c>
      <c r="D9" s="3">
        <f>'Income statement'!V34</f>
        <v>-2035288.7980606556</v>
      </c>
      <c r="E9" s="3">
        <f>'Income statement'!W34</f>
        <v>-2318781.7953377301</v>
      </c>
      <c r="F9" s="3">
        <f>'Income statement'!X34</f>
        <v>-324804.79875080753</v>
      </c>
      <c r="G9" s="3">
        <f>'Income statement'!Y34</f>
        <v>-2530000</v>
      </c>
      <c r="H9" s="3">
        <f>'Income statement'!Z34</f>
        <v>1643200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45">
      <c r="A10" s="25" t="s">
        <v>145</v>
      </c>
      <c r="B10" s="1"/>
      <c r="C10" s="3">
        <f>'Income statement'!U35</f>
        <v>417167.61102306854</v>
      </c>
      <c r="D10" s="3">
        <f>'Income statement'!V35</f>
        <v>508822.1995151639</v>
      </c>
      <c r="E10" s="3">
        <f>'Income statement'!W35</f>
        <v>556507.63088105526</v>
      </c>
      <c r="F10" s="3">
        <f>'Income statement'!X35</f>
        <v>74705.103712685741</v>
      </c>
      <c r="G10" s="3">
        <f>'Income statement'!Y35</f>
        <v>556600</v>
      </c>
      <c r="H10" s="3">
        <f>'Income statement'!Z35</f>
        <v>-361504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45">
      <c r="A11" s="161" t="s">
        <v>146</v>
      </c>
      <c r="B11" s="162"/>
      <c r="C11" s="163">
        <f t="shared" ref="C11:H11" si="1">C7+C8+C9+C10</f>
        <v>-753147.01973930199</v>
      </c>
      <c r="D11" s="163">
        <f t="shared" si="1"/>
        <v>-1600271.0463419938</v>
      </c>
      <c r="E11" s="163">
        <f t="shared" si="1"/>
        <v>-921978.41843044758</v>
      </c>
      <c r="F11" s="163">
        <f t="shared" si="1"/>
        <v>-4912858.9814499253</v>
      </c>
      <c r="G11" s="163">
        <f t="shared" si="1"/>
        <v>-4491873.6095614508</v>
      </c>
      <c r="H11" s="163">
        <f t="shared" si="1"/>
        <v>96100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45">
      <c r="A12" s="164" t="s">
        <v>147</v>
      </c>
      <c r="B12" s="1"/>
      <c r="C12" s="3">
        <f>-('Balance sheet'!K214-'Balance sheet'!L214+'Income statement'!U38)</f>
        <v>1196167.0197393054</v>
      </c>
      <c r="D12" s="3">
        <f>-('Balance sheet'!L214-'Balance sheet'!M214+'Income statement'!V38)</f>
        <v>1469761.0463419883</v>
      </c>
      <c r="E12" s="3">
        <f>-('Balance sheet'!M214-'Balance sheet'!N214+'Income statement'!W38)</f>
        <v>2638106.4184304522</v>
      </c>
      <c r="F12" s="3">
        <f>-('Balance sheet'!N214-'Balance sheet'!O214+'Income statement'!X38)</f>
        <v>2794882.9814499207</v>
      </c>
      <c r="G12" s="3">
        <f>-('Balance sheet'!O214-'Balance sheet'!P214+'Income statement'!Y38)</f>
        <v>5665473.6095614517</v>
      </c>
      <c r="H12" s="3">
        <f>-('Balance sheet'!P214-'Balance sheet'!Q214+'Income statement'!Z38)</f>
        <v>12291200</v>
      </c>
      <c r="I12" s="2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45">
      <c r="A13" s="165" t="s">
        <v>148</v>
      </c>
      <c r="B13" s="3"/>
      <c r="C13" s="3"/>
      <c r="D13" s="3"/>
      <c r="E13" s="3"/>
      <c r="F13" s="3"/>
      <c r="G13" s="3"/>
      <c r="H13" s="3">
        <f>'Income statement'!Q36</f>
        <v>-12815700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45">
      <c r="A14" s="161" t="s">
        <v>149</v>
      </c>
      <c r="B14" s="163"/>
      <c r="C14" s="163">
        <f t="shared" ref="C14:H14" si="2">C11+C12+C13</f>
        <v>443020.00000000338</v>
      </c>
      <c r="D14" s="163">
        <f t="shared" si="2"/>
        <v>-130510.00000000559</v>
      </c>
      <c r="E14" s="163">
        <f t="shared" si="2"/>
        <v>1716128.0000000047</v>
      </c>
      <c r="F14" s="163">
        <f t="shared" si="2"/>
        <v>-2117976.0000000047</v>
      </c>
      <c r="G14" s="163">
        <f t="shared" si="2"/>
        <v>1173600.0000000009</v>
      </c>
      <c r="H14" s="163">
        <f t="shared" si="2"/>
        <v>-428400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45">
      <c r="A15" s="2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45">
      <c r="A16" s="23" t="s">
        <v>150</v>
      </c>
      <c r="B16" s="1"/>
      <c r="C16" s="3">
        <f>-'Balance sheet'!K149</f>
        <v>2011139</v>
      </c>
      <c r="D16" s="3">
        <f>-'Balance sheet'!L149</f>
        <v>2454160</v>
      </c>
      <c r="E16" s="3">
        <f>-'Balance sheet'!M149</f>
        <v>2323647</v>
      </c>
      <c r="F16" s="3">
        <f>-'Balance sheet'!N149</f>
        <v>4039776</v>
      </c>
      <c r="G16" s="3">
        <f>-'Balance sheet'!O149</f>
        <v>1921700</v>
      </c>
      <c r="H16" s="3">
        <f>-'Balance sheet'!P149</f>
        <v>3095600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45">
      <c r="A17" s="23" t="s">
        <v>149</v>
      </c>
      <c r="B17" s="1"/>
      <c r="C17" s="3">
        <f t="shared" ref="C17:H17" si="3">C14</f>
        <v>443020.00000000338</v>
      </c>
      <c r="D17" s="3">
        <f t="shared" si="3"/>
        <v>-130510.00000000559</v>
      </c>
      <c r="E17" s="3">
        <f t="shared" si="3"/>
        <v>1716128.0000000047</v>
      </c>
      <c r="F17" s="3">
        <f t="shared" si="3"/>
        <v>-2117976.0000000047</v>
      </c>
      <c r="G17" s="3">
        <f t="shared" si="3"/>
        <v>1173600.0000000009</v>
      </c>
      <c r="H17" s="3">
        <f t="shared" si="3"/>
        <v>-428400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45">
      <c r="A18" s="166" t="s">
        <v>151</v>
      </c>
      <c r="B18" s="162"/>
      <c r="C18" s="163">
        <f t="shared" ref="C18:H18" si="4">C16+C17</f>
        <v>2454159.0000000033</v>
      </c>
      <c r="D18" s="163">
        <f t="shared" si="4"/>
        <v>2323649.9999999944</v>
      </c>
      <c r="E18" s="163">
        <f t="shared" si="4"/>
        <v>4039775.0000000047</v>
      </c>
      <c r="F18" s="163">
        <f t="shared" si="4"/>
        <v>1921799.9999999953</v>
      </c>
      <c r="G18" s="163">
        <f t="shared" si="4"/>
        <v>3095300.0000000009</v>
      </c>
      <c r="H18" s="163">
        <f t="shared" si="4"/>
        <v>2667200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45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45">
      <c r="A21" s="167" t="s">
        <v>152</v>
      </c>
      <c r="B21" s="167"/>
      <c r="C21" s="168">
        <f>-'Balance sheet'!L149</f>
        <v>2454160</v>
      </c>
      <c r="D21" s="168">
        <f>-'Balance sheet'!M149</f>
        <v>2323647</v>
      </c>
      <c r="E21" s="168">
        <f>-'Balance sheet'!N149</f>
        <v>4039776</v>
      </c>
      <c r="F21" s="168">
        <f>-'Balance sheet'!O149</f>
        <v>1921700</v>
      </c>
      <c r="G21" s="168">
        <f>-'Balance sheet'!P149</f>
        <v>3095600</v>
      </c>
      <c r="H21" s="168">
        <f>-'Balance sheet'!Q149</f>
        <v>2666900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5">
      <c r="A22" s="169" t="s">
        <v>153</v>
      </c>
      <c r="B22" s="169"/>
      <c r="C22" s="170">
        <f t="shared" ref="C22:H22" si="5">C18-C21</f>
        <v>-0.99999999674037099</v>
      </c>
      <c r="D22" s="170">
        <f t="shared" si="5"/>
        <v>2.9999999944120646</v>
      </c>
      <c r="E22" s="170">
        <f t="shared" si="5"/>
        <v>-0.99999999534338713</v>
      </c>
      <c r="F22" s="170">
        <f t="shared" si="5"/>
        <v>99.999999995343387</v>
      </c>
      <c r="G22" s="170">
        <f t="shared" si="5"/>
        <v>-299.99999999906868</v>
      </c>
      <c r="H22" s="170">
        <f t="shared" si="5"/>
        <v>300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C1:H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3"/>
  <sheetViews>
    <sheetView zoomScale="75" workbookViewId="0"/>
  </sheetViews>
  <sheetFormatPr defaultColWidth="11.3125" defaultRowHeight="15" customHeight="1" x14ac:dyDescent="0.35"/>
  <cols>
    <col min="1" max="1" width="53.6875" bestFit="1" customWidth="1"/>
    <col min="2" max="7" width="13.125" bestFit="1" customWidth="1"/>
    <col min="8" max="8" width="20.125" bestFit="1" customWidth="1"/>
    <col min="9" max="9" width="19.4375" customWidth="1"/>
    <col min="10" max="26" width="10.5625" customWidth="1"/>
  </cols>
  <sheetData>
    <row r="1" spans="1:26" ht="15.75" customHeight="1" x14ac:dyDescent="0.45">
      <c r="A1" s="137" t="s">
        <v>154</v>
      </c>
      <c r="B1" s="137">
        <v>2014</v>
      </c>
      <c r="C1" s="137">
        <v>2015</v>
      </c>
      <c r="D1" s="137">
        <v>2016</v>
      </c>
      <c r="E1" s="137">
        <v>2017</v>
      </c>
      <c r="F1" s="137">
        <v>2018</v>
      </c>
      <c r="G1" s="137">
        <v>2019</v>
      </c>
      <c r="H1" s="137">
        <v>2020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45">
      <c r="A2" s="1" t="s">
        <v>155</v>
      </c>
      <c r="B2" s="3">
        <f>'Income statement'!B34</f>
        <v>-1069762</v>
      </c>
      <c r="C2" s="3">
        <f>'Income statement'!C34</f>
        <v>246151</v>
      </c>
      <c r="D2" s="3">
        <f>'Income statement'!D34</f>
        <v>1134980</v>
      </c>
      <c r="E2" s="3">
        <f>'Income statement'!E34</f>
        <v>-1793705</v>
      </c>
      <c r="F2" s="3">
        <f>'Income statement'!F34</f>
        <v>-1454300</v>
      </c>
      <c r="G2" s="3">
        <f>'Income statement'!G34</f>
        <v>-1609100</v>
      </c>
      <c r="H2" s="3">
        <f>'Income statement'!H34</f>
        <v>-23040000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45">
      <c r="A3" s="1" t="s">
        <v>156</v>
      </c>
      <c r="B3" s="3">
        <v>287104</v>
      </c>
      <c r="C3" s="3">
        <v>2356707</v>
      </c>
      <c r="D3" s="3">
        <v>3046473</v>
      </c>
      <c r="E3" s="3">
        <v>2901339</v>
      </c>
      <c r="F3" s="3">
        <f>462.7*1000</f>
        <v>462700</v>
      </c>
      <c r="G3" s="3">
        <f>3037.8*1000</f>
        <v>3037800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45">
      <c r="A4" s="137" t="s">
        <v>153</v>
      </c>
      <c r="B4" s="3">
        <f t="shared" ref="B4:G4" si="0">B2-B3</f>
        <v>-1356866</v>
      </c>
      <c r="C4" s="3">
        <f t="shared" si="0"/>
        <v>-2110556</v>
      </c>
      <c r="D4" s="3">
        <f t="shared" si="0"/>
        <v>-1911493</v>
      </c>
      <c r="E4" s="3">
        <f t="shared" si="0"/>
        <v>-4695044</v>
      </c>
      <c r="F4" s="3">
        <f t="shared" si="0"/>
        <v>-1917000</v>
      </c>
      <c r="G4" s="3">
        <f t="shared" si="0"/>
        <v>-4646900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45">
      <c r="A5" s="1"/>
      <c r="B5" s="3"/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45">
      <c r="A6" s="137" t="s">
        <v>157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45">
      <c r="A7" s="137" t="s">
        <v>158</v>
      </c>
      <c r="B7" s="137"/>
      <c r="C7" s="137"/>
      <c r="D7" s="137"/>
      <c r="E7" s="137"/>
      <c r="F7" s="137"/>
      <c r="G7" s="13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45">
      <c r="A8" s="137"/>
      <c r="B8" s="137">
        <v>2013</v>
      </c>
      <c r="C8" s="137">
        <v>2014</v>
      </c>
      <c r="D8" s="137">
        <v>2015</v>
      </c>
      <c r="E8" s="137">
        <v>2016</v>
      </c>
      <c r="F8" s="137">
        <v>2017</v>
      </c>
      <c r="G8" s="137">
        <v>2018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45">
      <c r="A9" s="1" t="s">
        <v>159</v>
      </c>
      <c r="B9" s="13">
        <v>2034125</v>
      </c>
      <c r="C9" s="13">
        <v>2603334</v>
      </c>
      <c r="D9" s="13">
        <v>3218516</v>
      </c>
      <c r="E9" s="13">
        <v>3114133</v>
      </c>
      <c r="F9" s="13">
        <f>4682.2*1000</f>
        <v>4682200</v>
      </c>
      <c r="G9" s="13">
        <f>5244.1*1000</f>
        <v>5244100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45">
      <c r="A10" s="1" t="s">
        <v>160</v>
      </c>
      <c r="B10" s="13">
        <v>6724240</v>
      </c>
      <c r="C10" s="13">
        <v>8894137</v>
      </c>
      <c r="D10" s="13">
        <v>20261852</v>
      </c>
      <c r="E10" s="13">
        <v>18505134</v>
      </c>
      <c r="F10" s="13">
        <f>16827*1000</f>
        <v>16827000</v>
      </c>
      <c r="G10" s="13">
        <f>18358.4*1000</f>
        <v>18358400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45">
      <c r="A11" s="1" t="s">
        <v>161</v>
      </c>
      <c r="B11" s="13">
        <v>6167172</v>
      </c>
      <c r="C11" s="13">
        <v>7167035</v>
      </c>
      <c r="D11" s="13">
        <v>19882063</v>
      </c>
      <c r="E11" s="13">
        <v>16420712</v>
      </c>
      <c r="F11" s="13">
        <f>17529.8*1000</f>
        <v>17529800</v>
      </c>
      <c r="G11" s="13">
        <f>18687.2*1000</f>
        <v>18687200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45">
      <c r="A13" s="137" t="s">
        <v>162</v>
      </c>
      <c r="B13" s="137">
        <v>2013</v>
      </c>
      <c r="C13" s="137">
        <v>2014</v>
      </c>
      <c r="D13" s="137">
        <v>2015</v>
      </c>
      <c r="E13" s="137">
        <v>2016</v>
      </c>
      <c r="F13" s="137">
        <v>2017</v>
      </c>
      <c r="G13" s="137">
        <v>2018</v>
      </c>
      <c r="H13" s="137" t="s">
        <v>163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45">
      <c r="A14" s="27">
        <v>1</v>
      </c>
      <c r="B14" s="13">
        <f t="shared" ref="B14:G14" si="1">B9</f>
        <v>2034125</v>
      </c>
      <c r="C14" s="13">
        <f t="shared" si="1"/>
        <v>2603334</v>
      </c>
      <c r="D14" s="13">
        <f t="shared" si="1"/>
        <v>3218516</v>
      </c>
      <c r="E14" s="13">
        <f t="shared" si="1"/>
        <v>3114133</v>
      </c>
      <c r="F14" s="13">
        <f t="shared" si="1"/>
        <v>4682200</v>
      </c>
      <c r="G14" s="13">
        <f t="shared" si="1"/>
        <v>5244100</v>
      </c>
      <c r="H14" s="171">
        <f>AVERAGE(Profitability!B15:F15)</f>
        <v>4.6799999999999994E-2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45">
      <c r="A15" s="27">
        <v>2</v>
      </c>
      <c r="B15" s="13">
        <f t="shared" ref="B15:G15" si="2">B$10/4</f>
        <v>1681060</v>
      </c>
      <c r="C15" s="13">
        <f t="shared" si="2"/>
        <v>2223534.25</v>
      </c>
      <c r="D15" s="13">
        <f t="shared" si="2"/>
        <v>5065463</v>
      </c>
      <c r="E15" s="13">
        <f t="shared" si="2"/>
        <v>4626283.5</v>
      </c>
      <c r="F15" s="13">
        <f t="shared" si="2"/>
        <v>4206750</v>
      </c>
      <c r="G15" s="13">
        <f t="shared" si="2"/>
        <v>4589600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45">
      <c r="A16" s="27">
        <v>3</v>
      </c>
      <c r="B16" s="13">
        <f t="shared" ref="B16:G16" si="3">B$10/4</f>
        <v>1681060</v>
      </c>
      <c r="C16" s="13">
        <f t="shared" si="3"/>
        <v>2223534.25</v>
      </c>
      <c r="D16" s="13">
        <f t="shared" si="3"/>
        <v>5065463</v>
      </c>
      <c r="E16" s="13">
        <f t="shared" si="3"/>
        <v>4626283.5</v>
      </c>
      <c r="F16" s="13">
        <f t="shared" si="3"/>
        <v>4206750</v>
      </c>
      <c r="G16" s="13">
        <f t="shared" si="3"/>
        <v>4589600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45">
      <c r="A17" s="27">
        <v>4</v>
      </c>
      <c r="B17" s="13">
        <f t="shared" ref="B17:G17" si="4">B$10/4</f>
        <v>1681060</v>
      </c>
      <c r="C17" s="13">
        <f t="shared" si="4"/>
        <v>2223534.25</v>
      </c>
      <c r="D17" s="13">
        <f t="shared" si="4"/>
        <v>5065463</v>
      </c>
      <c r="E17" s="13">
        <f t="shared" si="4"/>
        <v>4626283.5</v>
      </c>
      <c r="F17" s="13">
        <f t="shared" si="4"/>
        <v>4206750</v>
      </c>
      <c r="G17" s="13">
        <f t="shared" si="4"/>
        <v>4589600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45">
      <c r="A18" s="27">
        <v>5</v>
      </c>
      <c r="B18" s="13">
        <f t="shared" ref="B18:G18" si="5">B$10/4</f>
        <v>1681060</v>
      </c>
      <c r="C18" s="13">
        <f t="shared" si="5"/>
        <v>2223534.25</v>
      </c>
      <c r="D18" s="13">
        <f t="shared" si="5"/>
        <v>5065463</v>
      </c>
      <c r="E18" s="13">
        <f t="shared" si="5"/>
        <v>4626283.5</v>
      </c>
      <c r="F18" s="13">
        <f t="shared" si="5"/>
        <v>4206750</v>
      </c>
      <c r="G18" s="13">
        <f t="shared" si="5"/>
        <v>4589600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45">
      <c r="A19" s="27">
        <v>6</v>
      </c>
      <c r="B19" s="13">
        <f t="shared" ref="B19:G19" si="6">B11/7</f>
        <v>881024.57142857148</v>
      </c>
      <c r="C19" s="13">
        <f t="shared" si="6"/>
        <v>1023862.1428571428</v>
      </c>
      <c r="D19" s="13">
        <f t="shared" si="6"/>
        <v>2840294.7142857141</v>
      </c>
      <c r="E19" s="13">
        <f t="shared" si="6"/>
        <v>2345816</v>
      </c>
      <c r="F19" s="13">
        <f t="shared" si="6"/>
        <v>2504257.1428571427</v>
      </c>
      <c r="G19" s="13">
        <f t="shared" si="6"/>
        <v>2669600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45">
      <c r="A20" s="27">
        <v>7</v>
      </c>
      <c r="B20" s="13">
        <f t="shared" ref="B20:G20" si="7">B19</f>
        <v>881024.57142857148</v>
      </c>
      <c r="C20" s="13">
        <f t="shared" si="7"/>
        <v>1023862.1428571428</v>
      </c>
      <c r="D20" s="13">
        <f t="shared" si="7"/>
        <v>2840294.7142857141</v>
      </c>
      <c r="E20" s="13">
        <f t="shared" si="7"/>
        <v>2345816</v>
      </c>
      <c r="F20" s="13">
        <f t="shared" si="7"/>
        <v>2504257.1428571427</v>
      </c>
      <c r="G20" s="13">
        <f t="shared" si="7"/>
        <v>2669600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45">
      <c r="A21" s="27">
        <v>8</v>
      </c>
      <c r="B21" s="13">
        <f t="shared" ref="B21:G21" si="8">B20</f>
        <v>881024.57142857148</v>
      </c>
      <c r="C21" s="13">
        <f t="shared" si="8"/>
        <v>1023862.1428571428</v>
      </c>
      <c r="D21" s="13">
        <f t="shared" si="8"/>
        <v>2840294.7142857141</v>
      </c>
      <c r="E21" s="13">
        <f t="shared" si="8"/>
        <v>2345816</v>
      </c>
      <c r="F21" s="13">
        <f t="shared" si="8"/>
        <v>2504257.1428571427</v>
      </c>
      <c r="G21" s="13">
        <f t="shared" si="8"/>
        <v>2669600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5">
      <c r="A22" s="27">
        <v>9</v>
      </c>
      <c r="B22" s="13">
        <f t="shared" ref="B22:G22" si="9">B21</f>
        <v>881024.57142857148</v>
      </c>
      <c r="C22" s="13">
        <f t="shared" si="9"/>
        <v>1023862.1428571428</v>
      </c>
      <c r="D22" s="13">
        <f t="shared" si="9"/>
        <v>2840294.7142857141</v>
      </c>
      <c r="E22" s="13">
        <f t="shared" si="9"/>
        <v>2345816</v>
      </c>
      <c r="F22" s="13">
        <f t="shared" si="9"/>
        <v>2504257.1428571427</v>
      </c>
      <c r="G22" s="13">
        <f t="shared" si="9"/>
        <v>2669600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45">
      <c r="A23" s="27">
        <v>10</v>
      </c>
      <c r="B23" s="13">
        <f t="shared" ref="B23:G23" si="10">B22</f>
        <v>881024.57142857148</v>
      </c>
      <c r="C23" s="13">
        <f t="shared" si="10"/>
        <v>1023862.1428571428</v>
      </c>
      <c r="D23" s="13">
        <f t="shared" si="10"/>
        <v>2840294.7142857141</v>
      </c>
      <c r="E23" s="13">
        <f t="shared" si="10"/>
        <v>2345816</v>
      </c>
      <c r="F23" s="13">
        <f t="shared" si="10"/>
        <v>2504257.1428571427</v>
      </c>
      <c r="G23" s="13">
        <f t="shared" si="10"/>
        <v>2669600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45">
      <c r="A24" s="27">
        <v>11</v>
      </c>
      <c r="B24" s="13">
        <f t="shared" ref="B24:G24" si="11">B23</f>
        <v>881024.57142857148</v>
      </c>
      <c r="C24" s="13">
        <f t="shared" si="11"/>
        <v>1023862.1428571428</v>
      </c>
      <c r="D24" s="13">
        <f t="shared" si="11"/>
        <v>2840294.7142857141</v>
      </c>
      <c r="E24" s="13">
        <f t="shared" si="11"/>
        <v>2345816</v>
      </c>
      <c r="F24" s="13">
        <f t="shared" si="11"/>
        <v>2504257.1428571427</v>
      </c>
      <c r="G24" s="13">
        <f t="shared" si="11"/>
        <v>2669600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45">
      <c r="A25" s="27">
        <v>12</v>
      </c>
      <c r="B25" s="13">
        <f t="shared" ref="B25:G25" si="12">B24</f>
        <v>881024.57142857148</v>
      </c>
      <c r="C25" s="13">
        <f t="shared" si="12"/>
        <v>1023862.1428571428</v>
      </c>
      <c r="D25" s="13">
        <f t="shared" si="12"/>
        <v>2840294.7142857141</v>
      </c>
      <c r="E25" s="13">
        <f t="shared" si="12"/>
        <v>2345816</v>
      </c>
      <c r="F25" s="13">
        <f t="shared" si="12"/>
        <v>2504257.1428571427</v>
      </c>
      <c r="G25" s="13">
        <f t="shared" si="12"/>
        <v>2669600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5">
      <c r="A26" s="137" t="s">
        <v>164</v>
      </c>
      <c r="B26" s="172">
        <f t="shared" ref="B26:G26" si="13">SUM(B14:B25)</f>
        <v>14925536.999999996</v>
      </c>
      <c r="C26" s="172">
        <f t="shared" si="13"/>
        <v>18664506.000000004</v>
      </c>
      <c r="D26" s="172">
        <f t="shared" si="13"/>
        <v>43362431</v>
      </c>
      <c r="E26" s="172">
        <f t="shared" si="13"/>
        <v>38039979</v>
      </c>
      <c r="F26" s="172">
        <f t="shared" si="13"/>
        <v>39038999.999999993</v>
      </c>
      <c r="G26" s="172">
        <f t="shared" si="13"/>
        <v>42289700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5">
      <c r="A29" s="137" t="s">
        <v>165</v>
      </c>
      <c r="B29" s="137">
        <v>2013</v>
      </c>
      <c r="C29" s="137">
        <v>2014</v>
      </c>
      <c r="D29" s="137">
        <v>2015</v>
      </c>
      <c r="E29" s="137">
        <v>2016</v>
      </c>
      <c r="F29" s="137">
        <v>2017</v>
      </c>
      <c r="G29" s="137">
        <v>2018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5">
      <c r="A30" s="133">
        <v>1</v>
      </c>
      <c r="B30" s="13">
        <f t="shared" ref="B30:G30" si="14">B14/((1+$H$14)^$A14)</f>
        <v>1943183.9893007262</v>
      </c>
      <c r="C30" s="13">
        <f t="shared" si="14"/>
        <v>2486944.9751623999</v>
      </c>
      <c r="D30" s="13">
        <f t="shared" si="14"/>
        <v>3074623.6148261367</v>
      </c>
      <c r="E30" s="13">
        <f t="shared" si="14"/>
        <v>2974907.3366450137</v>
      </c>
      <c r="F30" s="13">
        <f t="shared" si="14"/>
        <v>4472869.6981276274</v>
      </c>
      <c r="G30" s="13">
        <f t="shared" si="14"/>
        <v>5009648.4524264429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5">
      <c r="A31" s="133">
        <v>2</v>
      </c>
      <c r="B31" s="13">
        <f t="shared" ref="B31:G31" si="15">B15/((1+$H$14)^$A15)</f>
        <v>1534107.4766280088</v>
      </c>
      <c r="C31" s="13">
        <f t="shared" si="15"/>
        <v>2029160.480567887</v>
      </c>
      <c r="D31" s="13">
        <f t="shared" si="15"/>
        <v>4622657.5261338344</v>
      </c>
      <c r="E31" s="13">
        <f t="shared" si="15"/>
        <v>4221869.5979624717</v>
      </c>
      <c r="F31" s="13">
        <f t="shared" si="15"/>
        <v>3839010.2835739804</v>
      </c>
      <c r="G31" s="13">
        <f t="shared" si="15"/>
        <v>4188392.8442363208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5">
      <c r="A32" s="133">
        <v>3</v>
      </c>
      <c r="B32" s="13">
        <f t="shared" ref="B32:G32" si="16">B16/((1+$H$14)^$A16)</f>
        <v>1465521.0896331763</v>
      </c>
      <c r="C32" s="13">
        <f t="shared" si="16"/>
        <v>1938441.4220174695</v>
      </c>
      <c r="D32" s="13">
        <f t="shared" si="16"/>
        <v>4415989.2301622415</v>
      </c>
      <c r="E32" s="13">
        <f t="shared" si="16"/>
        <v>4033119.6006519604</v>
      </c>
      <c r="F32" s="13">
        <f t="shared" si="16"/>
        <v>3667377.038186837</v>
      </c>
      <c r="G32" s="13">
        <f t="shared" si="16"/>
        <v>4001139.5149372574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5">
      <c r="A33" s="133">
        <v>4</v>
      </c>
      <c r="B33" s="13">
        <f t="shared" ref="B33:G33" si="17">B17/((1+$H$14)^$A17)</f>
        <v>1400001.0409182042</v>
      </c>
      <c r="C33" s="13">
        <f t="shared" si="17"/>
        <v>1851778.2021565433</v>
      </c>
      <c r="D33" s="13">
        <f t="shared" si="17"/>
        <v>4218560.5943468111</v>
      </c>
      <c r="E33" s="13">
        <f t="shared" si="17"/>
        <v>3852808.177925067</v>
      </c>
      <c r="F33" s="13">
        <f t="shared" si="17"/>
        <v>3503417.1171062635</v>
      </c>
      <c r="G33" s="13">
        <f t="shared" si="17"/>
        <v>3822257.8476664666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5">
      <c r="A34" s="133">
        <v>5</v>
      </c>
      <c r="B34" s="13">
        <f t="shared" ref="B34:G34" si="18">B18/((1+$H$14)^$A18)</f>
        <v>1337410.2416108181</v>
      </c>
      <c r="C34" s="13">
        <f t="shared" si="18"/>
        <v>1768989.4938446155</v>
      </c>
      <c r="D34" s="13">
        <f t="shared" si="18"/>
        <v>4029958.534912888</v>
      </c>
      <c r="E34" s="13">
        <f t="shared" si="18"/>
        <v>3680558.0606850092</v>
      </c>
      <c r="F34" s="13">
        <f t="shared" si="18"/>
        <v>3346787.4638004052</v>
      </c>
      <c r="G34" s="13">
        <f t="shared" si="18"/>
        <v>3651373.5648323148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5">
      <c r="A35" s="133">
        <v>6</v>
      </c>
      <c r="B35" s="13">
        <f t="shared" ref="B35:G35" si="19">B19/((1+$H$14)^$A19)</f>
        <v>669585.03240642394</v>
      </c>
      <c r="C35" s="13">
        <f t="shared" si="19"/>
        <v>778142.6175130147</v>
      </c>
      <c r="D35" s="13">
        <f t="shared" si="19"/>
        <v>2158644.480510931</v>
      </c>
      <c r="E35" s="13">
        <f t="shared" si="19"/>
        <v>1782837.0891320291</v>
      </c>
      <c r="F35" s="13">
        <f t="shared" si="19"/>
        <v>1903253.5011311714</v>
      </c>
      <c r="G35" s="13">
        <f t="shared" si="19"/>
        <v>2028915.2657952989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5">
      <c r="A36" s="133">
        <v>7</v>
      </c>
      <c r="B36" s="13">
        <f t="shared" ref="B36:G36" si="20">B20/((1+$H$14)^$A20)</f>
        <v>639649.43867636984</v>
      </c>
      <c r="C36" s="13">
        <f t="shared" si="20"/>
        <v>743353.66594670876</v>
      </c>
      <c r="D36" s="13">
        <f t="shared" si="20"/>
        <v>2062136.4926546915</v>
      </c>
      <c r="E36" s="13">
        <f t="shared" si="20"/>
        <v>1703130.5780779796</v>
      </c>
      <c r="F36" s="13">
        <f t="shared" si="20"/>
        <v>1818163.4515964573</v>
      </c>
      <c r="G36" s="13">
        <f t="shared" si="20"/>
        <v>1938207.1702286003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5">
      <c r="A37" s="133">
        <v>8</v>
      </c>
      <c r="B37" s="13">
        <f t="shared" ref="B37:G37" si="21">B21/((1+$H$14)^$A21)</f>
        <v>611052.1959078809</v>
      </c>
      <c r="C37" s="13">
        <f t="shared" si="21"/>
        <v>710120.0477137072</v>
      </c>
      <c r="D37" s="13">
        <f t="shared" si="21"/>
        <v>1969943.1530900758</v>
      </c>
      <c r="E37" s="13">
        <f t="shared" si="21"/>
        <v>1626987.5602579094</v>
      </c>
      <c r="F37" s="13">
        <f t="shared" si="21"/>
        <v>1736877.5808143457</v>
      </c>
      <c r="G37" s="13">
        <f t="shared" si="21"/>
        <v>1851554.4232218191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5">
      <c r="A38" s="133">
        <v>9</v>
      </c>
      <c r="B38" s="13">
        <f t="shared" ref="B38:G38" si="22">B22/((1+$H$14)^$A22)</f>
        <v>583733.46953370364</v>
      </c>
      <c r="C38" s="13">
        <f t="shared" si="22"/>
        <v>678372.22746819572</v>
      </c>
      <c r="D38" s="13">
        <f t="shared" si="22"/>
        <v>1881871.5638995757</v>
      </c>
      <c r="E38" s="13">
        <f t="shared" si="22"/>
        <v>1554248.7201546708</v>
      </c>
      <c r="F38" s="13">
        <f t="shared" si="22"/>
        <v>1659225.8127764098</v>
      </c>
      <c r="G38" s="13">
        <f t="shared" si="22"/>
        <v>1768775.7195470186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5">
      <c r="A39" s="133">
        <v>10</v>
      </c>
      <c r="B39" s="13">
        <f t="shared" ref="B39:G39" si="23">B23/((1+$H$14)^$A23)</f>
        <v>557636.1000513027</v>
      </c>
      <c r="C39" s="13">
        <f t="shared" si="23"/>
        <v>648043.77862838726</v>
      </c>
      <c r="D39" s="13">
        <f t="shared" si="23"/>
        <v>1797737.4511841573</v>
      </c>
      <c r="E39" s="13">
        <f t="shared" si="23"/>
        <v>1484761.8648783634</v>
      </c>
      <c r="F39" s="13">
        <f t="shared" si="23"/>
        <v>1585045.6751780759</v>
      </c>
      <c r="G39" s="13">
        <f t="shared" si="23"/>
        <v>1689697.859712475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5">
      <c r="A40" s="133">
        <v>11</v>
      </c>
      <c r="B40" s="13">
        <f t="shared" ref="B40:G40" si="24">B24/((1+$H$14)^$A24)</f>
        <v>532705.48342692282</v>
      </c>
      <c r="C40" s="13">
        <f t="shared" si="24"/>
        <v>619071.24439089349</v>
      </c>
      <c r="D40" s="13">
        <f t="shared" si="24"/>
        <v>1717364.7795033986</v>
      </c>
      <c r="E40" s="13">
        <f t="shared" si="24"/>
        <v>1418381.6057301906</v>
      </c>
      <c r="F40" s="13">
        <f t="shared" si="24"/>
        <v>1514181.9594746619</v>
      </c>
      <c r="G40" s="13">
        <f t="shared" si="24"/>
        <v>1614155.3875740115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5">
      <c r="A41" s="133">
        <v>12</v>
      </c>
      <c r="B41" s="13">
        <f t="shared" ref="B41:G41" si="25">B25/((1+$H$14)^$A25)</f>
        <v>508889.45684650622</v>
      </c>
      <c r="C41" s="13">
        <f t="shared" si="25"/>
        <v>591394.00495882065</v>
      </c>
      <c r="D41" s="13">
        <f t="shared" si="25"/>
        <v>1640585.3835531126</v>
      </c>
      <c r="E41" s="13">
        <f t="shared" si="25"/>
        <v>1354969.0540028568</v>
      </c>
      <c r="F41" s="13">
        <f t="shared" si="25"/>
        <v>1446486.3961355195</v>
      </c>
      <c r="G41" s="13">
        <f t="shared" si="25"/>
        <v>1541990.24414789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5">
      <c r="A42" s="137" t="s">
        <v>166</v>
      </c>
      <c r="B42" s="173">
        <f t="shared" ref="B42:G42" si="26">SUM(B30:B41)</f>
        <v>11783475.014940044</v>
      </c>
      <c r="C42" s="173">
        <f t="shared" si="26"/>
        <v>14843812.160368646</v>
      </c>
      <c r="D42" s="173">
        <f t="shared" si="26"/>
        <v>33590072.804777853</v>
      </c>
      <c r="E42" s="173">
        <f t="shared" si="26"/>
        <v>29688579.246103518</v>
      </c>
      <c r="F42" s="173">
        <f t="shared" si="26"/>
        <v>30492695.977901753</v>
      </c>
      <c r="G42" s="173">
        <f t="shared" si="26"/>
        <v>33106108.294325911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5">
      <c r="A44" s="1"/>
      <c r="B44" s="1"/>
      <c r="C44" s="253"/>
      <c r="D44" s="25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5">
      <c r="A45" s="137" t="s">
        <v>167</v>
      </c>
      <c r="B45" s="137" t="s">
        <v>168</v>
      </c>
      <c r="C45" s="137">
        <v>2014</v>
      </c>
      <c r="D45" s="137">
        <v>2015</v>
      </c>
      <c r="E45" s="137">
        <v>2016</v>
      </c>
      <c r="F45" s="137">
        <v>2017</v>
      </c>
      <c r="G45" s="137">
        <v>2018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5">
      <c r="A46" s="1" t="s">
        <v>169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5">
      <c r="A47" s="28" t="s">
        <v>170</v>
      </c>
      <c r="B47" s="29" t="s">
        <v>171</v>
      </c>
      <c r="C47" s="30">
        <f>-'Income statement'!B11</f>
        <v>-1845940</v>
      </c>
      <c r="D47" s="30">
        <f>-'Income statement'!C11</f>
        <v>-2213251</v>
      </c>
      <c r="E47" s="30">
        <f>-'Income statement'!D11</f>
        <v>-2841859</v>
      </c>
      <c r="F47" s="30">
        <f>-'Income statement'!E11</f>
        <v>-3889680</v>
      </c>
      <c r="G47" s="30">
        <f>-(4354.1*1000)</f>
        <v>-4354100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5">
      <c r="A48" s="28" t="s">
        <v>172</v>
      </c>
      <c r="B48" s="29" t="s">
        <v>173</v>
      </c>
      <c r="C48" s="30">
        <f t="shared" ref="C48:G48" si="27">B96</f>
        <v>1994292.7481045013</v>
      </c>
      <c r="D48" s="30">
        <f t="shared" si="27"/>
        <v>3128030.9607584821</v>
      </c>
      <c r="E48" s="30">
        <f t="shared" si="27"/>
        <v>5058051.4265132807</v>
      </c>
      <c r="F48" s="30">
        <f t="shared" si="27"/>
        <v>4705155.8644647971</v>
      </c>
      <c r="G48" s="30">
        <f t="shared" si="27"/>
        <v>4922036.2526277015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5">
      <c r="A49" s="1" t="s">
        <v>174</v>
      </c>
      <c r="B49" s="1" t="s">
        <v>173</v>
      </c>
      <c r="C49" s="13">
        <f t="shared" ref="C49:G49" si="28">B88</f>
        <v>653369.19674386224</v>
      </c>
      <c r="D49" s="13">
        <f t="shared" si="28"/>
        <v>1168887.226011365</v>
      </c>
      <c r="E49" s="13">
        <f t="shared" si="28"/>
        <v>1510434.7980606556</v>
      </c>
      <c r="F49" s="13">
        <f t="shared" si="28"/>
        <v>1466747.7953377303</v>
      </c>
      <c r="G49" s="13">
        <f t="shared" si="28"/>
        <v>1556704.7987508075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1" t="s">
        <v>175</v>
      </c>
      <c r="B50" s="29" t="s">
        <v>171</v>
      </c>
      <c r="C50" s="13">
        <f t="shared" ref="C50:G50" si="29">B105</f>
        <v>-216464.92510905809</v>
      </c>
      <c r="D50" s="13">
        <f t="shared" si="29"/>
        <v>-562590.14042785869</v>
      </c>
      <c r="E50" s="13">
        <f t="shared" si="29"/>
        <v>-931656.80614348408</v>
      </c>
      <c r="F50" s="13">
        <f t="shared" si="29"/>
        <v>-547733.67835260648</v>
      </c>
      <c r="G50" s="13">
        <f t="shared" si="29"/>
        <v>-488667.44181705709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137" t="s">
        <v>176</v>
      </c>
      <c r="B51" s="173"/>
      <c r="C51" s="173">
        <f t="shared" ref="C51:G51" si="30">-(C47+C48+C49+C50)</f>
        <v>-585257.01973930537</v>
      </c>
      <c r="D51" s="173">
        <f t="shared" si="30"/>
        <v>-1521077.0463419883</v>
      </c>
      <c r="E51" s="173">
        <f t="shared" si="30"/>
        <v>-2794970.4184304522</v>
      </c>
      <c r="F51" s="173">
        <f t="shared" si="30"/>
        <v>-1734489.9814499207</v>
      </c>
      <c r="G51" s="173">
        <f t="shared" si="30"/>
        <v>-1635973.6095614519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132"/>
      <c r="B52" s="31"/>
      <c r="C52" s="32"/>
      <c r="D52" s="32"/>
      <c r="E52" s="32"/>
      <c r="F52" s="32"/>
      <c r="G52" s="3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1"/>
      <c r="B53" s="29"/>
      <c r="C53" s="13"/>
      <c r="D53" s="13"/>
      <c r="E53" s="13"/>
      <c r="F53" s="13"/>
      <c r="G53" s="1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137" t="s">
        <v>177</v>
      </c>
      <c r="B54" s="137" t="s">
        <v>168</v>
      </c>
      <c r="C54" s="137">
        <v>2014</v>
      </c>
      <c r="D54" s="137">
        <v>2015</v>
      </c>
      <c r="E54" s="137">
        <v>2016</v>
      </c>
      <c r="F54" s="137">
        <v>2017</v>
      </c>
      <c r="G54" s="137">
        <v>2018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1" t="s">
        <v>178</v>
      </c>
      <c r="B55" s="29"/>
      <c r="C55" s="13">
        <f t="shared" ref="C55:G55" si="31">B42</f>
        <v>11783475.014940044</v>
      </c>
      <c r="D55" s="13">
        <f t="shared" si="31"/>
        <v>14843812.160368646</v>
      </c>
      <c r="E55" s="13">
        <f t="shared" si="31"/>
        <v>33590072.804777853</v>
      </c>
      <c r="F55" s="13">
        <f t="shared" si="31"/>
        <v>29688579.246103518</v>
      </c>
      <c r="G55" s="13">
        <f t="shared" si="31"/>
        <v>30492695.977901753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5">
      <c r="A56" s="1" t="s">
        <v>179</v>
      </c>
      <c r="B56" s="31"/>
      <c r="C56" s="13">
        <f t="shared" ref="C56:G56" si="32">B82</f>
        <v>4354810.5147294085</v>
      </c>
      <c r="D56" s="13">
        <f t="shared" si="32"/>
        <v>20264821.235303953</v>
      </c>
      <c r="E56" s="13">
        <f t="shared" si="32"/>
        <v>-2631649.9659379385</v>
      </c>
      <c r="F56" s="13">
        <f t="shared" si="32"/>
        <v>3304371.2230805941</v>
      </c>
      <c r="G56" s="13">
        <f t="shared" si="32"/>
        <v>5540454.1446583569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5">
      <c r="A57" s="1" t="s">
        <v>180</v>
      </c>
      <c r="B57" s="29"/>
      <c r="C57" s="13">
        <f t="shared" ref="C57:G57" si="33">-B96</f>
        <v>-1994292.7481045013</v>
      </c>
      <c r="D57" s="13">
        <f t="shared" si="33"/>
        <v>-3128030.9607584821</v>
      </c>
      <c r="E57" s="13">
        <f t="shared" si="33"/>
        <v>-5058051.4265132807</v>
      </c>
      <c r="F57" s="13">
        <f t="shared" si="33"/>
        <v>-4705155.8644647971</v>
      </c>
      <c r="G57" s="13">
        <f t="shared" si="33"/>
        <v>-4922036.2526277015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138" t="s">
        <v>181</v>
      </c>
      <c r="B58" s="174"/>
      <c r="C58" s="175">
        <f t="shared" ref="C58:G58" si="34">SUM(C55:C57)</f>
        <v>14143992.781564951</v>
      </c>
      <c r="D58" s="175">
        <f t="shared" si="34"/>
        <v>31980602.434914116</v>
      </c>
      <c r="E58" s="175">
        <f t="shared" si="34"/>
        <v>25900371.412326634</v>
      </c>
      <c r="F58" s="175">
        <f t="shared" si="34"/>
        <v>28287794.604719315</v>
      </c>
      <c r="G58" s="175">
        <f t="shared" si="34"/>
        <v>31111113.869932413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/>
      <c r="B59" s="2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 t="s">
        <v>182</v>
      </c>
      <c r="B60" s="29"/>
      <c r="C60" s="13">
        <f t="shared" ref="C60:G60" si="35">B42</f>
        <v>11783475.014940044</v>
      </c>
      <c r="D60" s="13">
        <f t="shared" si="35"/>
        <v>14843812.160368646</v>
      </c>
      <c r="E60" s="13">
        <f t="shared" si="35"/>
        <v>33590072.804777853</v>
      </c>
      <c r="F60" s="13">
        <f t="shared" si="35"/>
        <v>29688579.246103518</v>
      </c>
      <c r="G60" s="13">
        <f t="shared" si="35"/>
        <v>30492695.977901753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 t="s">
        <v>179</v>
      </c>
      <c r="B61" s="1"/>
      <c r="C61" s="13">
        <f t="shared" ref="C61:G61" si="36">B82</f>
        <v>4354810.5147294085</v>
      </c>
      <c r="D61" s="13">
        <f t="shared" si="36"/>
        <v>20264821.235303953</v>
      </c>
      <c r="E61" s="13">
        <f t="shared" si="36"/>
        <v>-2631649.9659379385</v>
      </c>
      <c r="F61" s="13">
        <f t="shared" si="36"/>
        <v>3304371.2230805941</v>
      </c>
      <c r="G61" s="13">
        <f t="shared" si="36"/>
        <v>5540454.1446583569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" t="s">
        <v>183</v>
      </c>
      <c r="B62" s="1"/>
      <c r="C62" s="13">
        <f t="shared" ref="C62:G62" si="37">-B89</f>
        <v>-1192570.8032561378</v>
      </c>
      <c r="D62" s="13">
        <f t="shared" si="37"/>
        <v>-1044363.773988635</v>
      </c>
      <c r="E62" s="13">
        <f t="shared" si="37"/>
        <v>-1331424.2019393444</v>
      </c>
      <c r="F62" s="13">
        <f t="shared" si="37"/>
        <v>-2422932.2046622699</v>
      </c>
      <c r="G62" s="13">
        <f t="shared" si="37"/>
        <v>-2797395.2012491925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38" t="s">
        <v>184</v>
      </c>
      <c r="B63" s="144"/>
      <c r="C63" s="175">
        <f t="shared" ref="C63:G63" si="38">SUM(C60:C62)</f>
        <v>14945714.726413315</v>
      </c>
      <c r="D63" s="175">
        <f t="shared" si="38"/>
        <v>34064269.621683963</v>
      </c>
      <c r="E63" s="175">
        <f t="shared" si="38"/>
        <v>29626998.63690057</v>
      </c>
      <c r="F63" s="175">
        <f t="shared" si="38"/>
        <v>30570018.264521841</v>
      </c>
      <c r="G63" s="175">
        <f t="shared" si="38"/>
        <v>33235754.92131092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32"/>
      <c r="B64" s="132"/>
      <c r="C64" s="32"/>
      <c r="D64" s="32"/>
      <c r="E64" s="32"/>
      <c r="F64" s="32"/>
      <c r="G64" s="3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33" t="s">
        <v>185</v>
      </c>
      <c r="B65" s="132"/>
      <c r="C65" s="32">
        <f t="shared" ref="C65:G65" si="39">C57-C62</f>
        <v>-801721.94484836352</v>
      </c>
      <c r="D65" s="32">
        <f t="shared" si="39"/>
        <v>-2083667.1867698471</v>
      </c>
      <c r="E65" s="32">
        <f t="shared" si="39"/>
        <v>-3726627.2245739363</v>
      </c>
      <c r="F65" s="32">
        <f t="shared" si="39"/>
        <v>-2282223.6598025272</v>
      </c>
      <c r="G65" s="32">
        <f t="shared" si="39"/>
        <v>-2124641.051378509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32"/>
      <c r="B66" s="132"/>
      <c r="C66" s="32"/>
      <c r="D66" s="32"/>
      <c r="E66" s="32"/>
      <c r="F66" s="32"/>
      <c r="G66" s="3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 t="s">
        <v>186</v>
      </c>
      <c r="B67" s="1"/>
      <c r="C67" s="13">
        <f t="shared" ref="C67:G67" si="40">B105</f>
        <v>-216464.92510905809</v>
      </c>
      <c r="D67" s="13">
        <f t="shared" si="40"/>
        <v>-562590.14042785869</v>
      </c>
      <c r="E67" s="13">
        <f t="shared" si="40"/>
        <v>-931656.80614348408</v>
      </c>
      <c r="F67" s="13">
        <f t="shared" si="40"/>
        <v>-547733.67835260648</v>
      </c>
      <c r="G67" s="13">
        <f t="shared" si="40"/>
        <v>-488667.44181705709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 t="s">
        <v>187</v>
      </c>
      <c r="B68" s="1"/>
      <c r="C68" s="13">
        <f t="shared" ref="C68:G68" si="41">C51</f>
        <v>-585257.01973930537</v>
      </c>
      <c r="D68" s="13">
        <f t="shared" si="41"/>
        <v>-1521077.0463419883</v>
      </c>
      <c r="E68" s="13">
        <f t="shared" si="41"/>
        <v>-2794970.4184304522</v>
      </c>
      <c r="F68" s="13">
        <f t="shared" si="41"/>
        <v>-1734489.9814499207</v>
      </c>
      <c r="G68" s="13">
        <f t="shared" si="41"/>
        <v>-1635973.6095614519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44"/>
      <c r="B69" s="144"/>
      <c r="C69" s="175">
        <f t="shared" ref="C69:G69" si="42">SUM(C67:C68)</f>
        <v>-801721.94484836352</v>
      </c>
      <c r="D69" s="175">
        <f t="shared" si="42"/>
        <v>-2083667.1867698468</v>
      </c>
      <c r="E69" s="175">
        <f t="shared" si="42"/>
        <v>-3726627.2245739363</v>
      </c>
      <c r="F69" s="175">
        <f t="shared" si="42"/>
        <v>-2282223.6598025272</v>
      </c>
      <c r="G69" s="175">
        <f t="shared" si="42"/>
        <v>-2124641.051378509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34"/>
      <c r="D70" s="34"/>
      <c r="E70" s="34"/>
      <c r="F70" s="34"/>
      <c r="G70" s="34"/>
      <c r="H70" s="1"/>
      <c r="I70" s="1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 t="s">
        <v>188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37" t="s">
        <v>189</v>
      </c>
      <c r="B73" s="137">
        <v>2014</v>
      </c>
      <c r="C73" s="137">
        <v>2015</v>
      </c>
      <c r="D73" s="137">
        <v>2016</v>
      </c>
      <c r="E73" s="137">
        <v>2017</v>
      </c>
      <c r="F73" s="137">
        <v>2018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 t="s">
        <v>190</v>
      </c>
      <c r="B74" s="13">
        <f t="shared" ref="B74:F74" si="43">B42-B30</f>
        <v>9840291.0256393179</v>
      </c>
      <c r="C74" s="13">
        <f t="shared" si="43"/>
        <v>12356867.185206246</v>
      </c>
      <c r="D74" s="13">
        <f t="shared" si="43"/>
        <v>30515449.189951718</v>
      </c>
      <c r="E74" s="13">
        <f t="shared" si="43"/>
        <v>26713671.909458503</v>
      </c>
      <c r="F74" s="13">
        <f t="shared" si="43"/>
        <v>26019826.279774126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 t="s">
        <v>191</v>
      </c>
      <c r="B75" s="35">
        <f t="shared" ref="B75:F75" si="44">$H$14</f>
        <v>4.6799999999999994E-2</v>
      </c>
      <c r="C75" s="35">
        <f t="shared" si="44"/>
        <v>4.6799999999999994E-2</v>
      </c>
      <c r="D75" s="35">
        <f t="shared" si="44"/>
        <v>4.6799999999999994E-2</v>
      </c>
      <c r="E75" s="35">
        <f t="shared" si="44"/>
        <v>4.6799999999999994E-2</v>
      </c>
      <c r="F75" s="35">
        <f t="shared" si="44"/>
        <v>4.6799999999999994E-2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 t="s">
        <v>192</v>
      </c>
      <c r="B76" s="13">
        <f t="shared" ref="B76:F76" si="45">B74*(1+B75)</f>
        <v>10300816.645639237</v>
      </c>
      <c r="C76" s="13">
        <f t="shared" si="45"/>
        <v>12935168.569473898</v>
      </c>
      <c r="D76" s="13">
        <f t="shared" si="45"/>
        <v>31943572.212041456</v>
      </c>
      <c r="E76" s="13">
        <f t="shared" si="45"/>
        <v>27963871.754821159</v>
      </c>
      <c r="F76" s="13">
        <f t="shared" si="45"/>
        <v>27237554.149667554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 t="s">
        <v>193</v>
      </c>
      <c r="B77" s="13">
        <f t="shared" ref="B77:F77" si="46">C42</f>
        <v>14843812.160368646</v>
      </c>
      <c r="C77" s="13">
        <f t="shared" si="46"/>
        <v>33590072.804777853</v>
      </c>
      <c r="D77" s="13">
        <f t="shared" si="46"/>
        <v>29688579.246103518</v>
      </c>
      <c r="E77" s="13">
        <f t="shared" si="46"/>
        <v>30492695.977901753</v>
      </c>
      <c r="F77" s="13">
        <f t="shared" si="46"/>
        <v>33106108.294325911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3"/>
      <c r="C78" s="13"/>
      <c r="D78" s="13"/>
      <c r="E78" s="13"/>
      <c r="F78" s="1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 t="s">
        <v>194</v>
      </c>
      <c r="B79" s="13">
        <f t="shared" ref="B79:F79" si="47">B14</f>
        <v>2034125</v>
      </c>
      <c r="C79" s="13">
        <f t="shared" si="47"/>
        <v>2603334</v>
      </c>
      <c r="D79" s="13">
        <f t="shared" si="47"/>
        <v>3218516</v>
      </c>
      <c r="E79" s="13">
        <f t="shared" si="47"/>
        <v>3114133</v>
      </c>
      <c r="F79" s="13">
        <f t="shared" si="47"/>
        <v>4682200</v>
      </c>
      <c r="G79" s="1"/>
      <c r="H79" s="1"/>
      <c r="I79" s="3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 t="s">
        <v>195</v>
      </c>
      <c r="B80" s="13">
        <f>'Income statement'!B11</f>
        <v>1845940</v>
      </c>
      <c r="C80" s="13">
        <f>'Income statement'!C11</f>
        <v>2213251</v>
      </c>
      <c r="D80" s="13">
        <f>'Income statement'!D11</f>
        <v>2841859</v>
      </c>
      <c r="E80" s="13">
        <f>'Income statement'!E11</f>
        <v>3889680</v>
      </c>
      <c r="F80" s="13">
        <f>4354.1*1000</f>
        <v>4354100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3"/>
      <c r="C81" s="13"/>
      <c r="D81" s="13"/>
      <c r="E81" s="13"/>
      <c r="F81" s="1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44" t="s">
        <v>196</v>
      </c>
      <c r="B82" s="175">
        <f t="shared" ref="B82:F82" si="48">(B77-B76)+(B80-B79)</f>
        <v>4354810.5147294085</v>
      </c>
      <c r="C82" s="175">
        <f t="shared" si="48"/>
        <v>20264821.235303953</v>
      </c>
      <c r="D82" s="175">
        <f t="shared" si="48"/>
        <v>-2631649.9659379385</v>
      </c>
      <c r="E82" s="175">
        <f t="shared" si="48"/>
        <v>3304371.2230805941</v>
      </c>
      <c r="F82" s="175">
        <f t="shared" si="48"/>
        <v>5540454.1446583569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3"/>
      <c r="C83" s="13"/>
      <c r="D83" s="13"/>
      <c r="E83" s="13"/>
      <c r="F83" s="1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37" t="s">
        <v>197</v>
      </c>
      <c r="B84" s="137">
        <v>2014</v>
      </c>
      <c r="C84" s="137">
        <v>2015</v>
      </c>
      <c r="D84" s="137">
        <v>2016</v>
      </c>
      <c r="E84" s="137">
        <v>2017</v>
      </c>
      <c r="F84" s="137">
        <v>2018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 t="s">
        <v>198</v>
      </c>
      <c r="B85" s="37">
        <f t="shared" ref="B85:F85" si="49">B75</f>
        <v>4.6799999999999994E-2</v>
      </c>
      <c r="C85" s="37">
        <f t="shared" si="49"/>
        <v>4.6799999999999994E-2</v>
      </c>
      <c r="D85" s="37">
        <f t="shared" si="49"/>
        <v>4.6799999999999994E-2</v>
      </c>
      <c r="E85" s="37">
        <f t="shared" si="49"/>
        <v>4.6799999999999994E-2</v>
      </c>
      <c r="F85" s="37">
        <f t="shared" si="49"/>
        <v>4.6799999999999994E-2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 t="s">
        <v>199</v>
      </c>
      <c r="B86" s="13">
        <f t="shared" ref="B86:F86" si="50">B42</f>
        <v>11783475.014940044</v>
      </c>
      <c r="C86" s="13">
        <f t="shared" si="50"/>
        <v>14843812.160368646</v>
      </c>
      <c r="D86" s="13">
        <f t="shared" si="50"/>
        <v>33590072.804777853</v>
      </c>
      <c r="E86" s="13">
        <f t="shared" si="50"/>
        <v>29688579.246103518</v>
      </c>
      <c r="F86" s="13">
        <f t="shared" si="50"/>
        <v>30492695.977901753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 t="s">
        <v>200</v>
      </c>
      <c r="B87" s="13">
        <f t="shared" ref="B87:F87" si="51">B82</f>
        <v>4354810.5147294085</v>
      </c>
      <c r="C87" s="13">
        <f t="shared" si="51"/>
        <v>20264821.235303953</v>
      </c>
      <c r="D87" s="13">
        <f t="shared" si="51"/>
        <v>-2631649.9659379385</v>
      </c>
      <c r="E87" s="13">
        <f t="shared" si="51"/>
        <v>3304371.2230805941</v>
      </c>
      <c r="F87" s="13">
        <f t="shared" si="51"/>
        <v>5540454.1446583569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38" t="s">
        <v>201</v>
      </c>
      <c r="B88" s="175">
        <f t="shared" ref="B88:F88" si="52">(B85*B86)+(0.5*B85*B87)</f>
        <v>653369.19674386224</v>
      </c>
      <c r="C88" s="175">
        <f t="shared" si="52"/>
        <v>1168887.226011365</v>
      </c>
      <c r="D88" s="175">
        <f t="shared" si="52"/>
        <v>1510434.7980606556</v>
      </c>
      <c r="E88" s="175">
        <f t="shared" si="52"/>
        <v>1466747.7953377303</v>
      </c>
      <c r="F88" s="175">
        <f t="shared" si="52"/>
        <v>1556704.7987508075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33" t="s">
        <v>202</v>
      </c>
      <c r="B89" s="32">
        <f t="shared" ref="B89:F89" si="53">B80-B88</f>
        <v>1192570.8032561378</v>
      </c>
      <c r="C89" s="32">
        <f t="shared" si="53"/>
        <v>1044363.773988635</v>
      </c>
      <c r="D89" s="32">
        <f t="shared" si="53"/>
        <v>1331424.2019393444</v>
      </c>
      <c r="E89" s="32">
        <f t="shared" si="53"/>
        <v>2422932.2046622699</v>
      </c>
      <c r="F89" s="32">
        <f t="shared" si="53"/>
        <v>2797395.2012491925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37" t="s">
        <v>203</v>
      </c>
      <c r="B92" s="137">
        <v>2014</v>
      </c>
      <c r="C92" s="137">
        <v>2015</v>
      </c>
      <c r="D92" s="137">
        <v>2016</v>
      </c>
      <c r="E92" s="137">
        <v>2017</v>
      </c>
      <c r="F92" s="137">
        <v>2018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 t="s">
        <v>204</v>
      </c>
      <c r="B93" s="38">
        <f>12/(1+2+3+4+5+6+7+8+9+10+11+12)</f>
        <v>0.15384615384615385</v>
      </c>
      <c r="C93" s="38">
        <f t="shared" ref="C93:F93" si="54">B93</f>
        <v>0.15384615384615385</v>
      </c>
      <c r="D93" s="38">
        <f t="shared" si="54"/>
        <v>0.15384615384615385</v>
      </c>
      <c r="E93" s="38">
        <f t="shared" si="54"/>
        <v>0.15384615384615385</v>
      </c>
      <c r="F93" s="38">
        <f t="shared" si="54"/>
        <v>0.15384615384615385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 t="s">
        <v>199</v>
      </c>
      <c r="B94" s="13">
        <f t="shared" ref="B94:F94" si="55">B86</f>
        <v>11783475.014940044</v>
      </c>
      <c r="C94" s="13">
        <f t="shared" si="55"/>
        <v>14843812.160368646</v>
      </c>
      <c r="D94" s="13">
        <f t="shared" si="55"/>
        <v>33590072.804777853</v>
      </c>
      <c r="E94" s="13">
        <f t="shared" si="55"/>
        <v>29688579.246103518</v>
      </c>
      <c r="F94" s="13">
        <f t="shared" si="55"/>
        <v>30492695.977901753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 t="s">
        <v>205</v>
      </c>
      <c r="B95" s="13">
        <f t="shared" ref="B95:F95" si="56">B87</f>
        <v>4354810.5147294085</v>
      </c>
      <c r="C95" s="13">
        <f t="shared" si="56"/>
        <v>20264821.235303953</v>
      </c>
      <c r="D95" s="13">
        <f t="shared" si="56"/>
        <v>-2631649.9659379385</v>
      </c>
      <c r="E95" s="13">
        <f t="shared" si="56"/>
        <v>3304371.2230805941</v>
      </c>
      <c r="F95" s="13">
        <f t="shared" si="56"/>
        <v>5540454.1446583569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38" t="s">
        <v>206</v>
      </c>
      <c r="B96" s="175">
        <f t="shared" ref="B96:F96" si="57">(B93*B94)+(0.5*B95*(1/12))</f>
        <v>1994292.7481045013</v>
      </c>
      <c r="C96" s="175">
        <f t="shared" si="57"/>
        <v>3128030.9607584821</v>
      </c>
      <c r="D96" s="175">
        <f t="shared" si="57"/>
        <v>5058051.4265132807</v>
      </c>
      <c r="E96" s="175">
        <f t="shared" si="57"/>
        <v>4705155.8644647971</v>
      </c>
      <c r="F96" s="175">
        <f t="shared" si="57"/>
        <v>4922036.2526277015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37" t="s">
        <v>207</v>
      </c>
      <c r="B99" s="137">
        <v>2014</v>
      </c>
      <c r="C99" s="137">
        <v>2015</v>
      </c>
      <c r="D99" s="137">
        <v>2016</v>
      </c>
      <c r="E99" s="137">
        <v>2017</v>
      </c>
      <c r="F99" s="137">
        <v>2018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 t="s">
        <v>208</v>
      </c>
      <c r="B100" s="13">
        <f t="shared" ref="B100:F100" si="58">B96</f>
        <v>1994292.7481045013</v>
      </c>
      <c r="C100" s="13">
        <f t="shared" si="58"/>
        <v>3128030.9607584821</v>
      </c>
      <c r="D100" s="13">
        <f t="shared" si="58"/>
        <v>5058051.4265132807</v>
      </c>
      <c r="E100" s="13">
        <f t="shared" si="58"/>
        <v>4705155.8644647971</v>
      </c>
      <c r="F100" s="13">
        <f t="shared" si="58"/>
        <v>4922036.2526277015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 t="s">
        <v>174</v>
      </c>
      <c r="B101" s="13">
        <f t="shared" ref="B101:F101" si="59">B88</f>
        <v>653369.19674386224</v>
      </c>
      <c r="C101" s="13">
        <f t="shared" si="59"/>
        <v>1168887.226011365</v>
      </c>
      <c r="D101" s="13">
        <f t="shared" si="59"/>
        <v>1510434.7980606556</v>
      </c>
      <c r="E101" s="13">
        <f t="shared" si="59"/>
        <v>1466747.7953377303</v>
      </c>
      <c r="F101" s="13">
        <f t="shared" si="59"/>
        <v>1556704.7987508075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76" t="s">
        <v>209</v>
      </c>
      <c r="B102" s="177">
        <f t="shared" ref="B102:F102" si="60">B100+B101</f>
        <v>2647661.9448483633</v>
      </c>
      <c r="C102" s="177">
        <f t="shared" si="60"/>
        <v>4296918.1867698468</v>
      </c>
      <c r="D102" s="177">
        <f t="shared" si="60"/>
        <v>6568486.2245739363</v>
      </c>
      <c r="E102" s="177">
        <f t="shared" si="60"/>
        <v>6171903.6598025272</v>
      </c>
      <c r="F102" s="177">
        <f t="shared" si="60"/>
        <v>6478741.051378509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 t="s">
        <v>210</v>
      </c>
      <c r="B103" s="13">
        <f t="shared" ref="B103:F103" si="61">B80</f>
        <v>1845940</v>
      </c>
      <c r="C103" s="13">
        <f t="shared" si="61"/>
        <v>2213251</v>
      </c>
      <c r="D103" s="13">
        <f t="shared" si="61"/>
        <v>2841859</v>
      </c>
      <c r="E103" s="13">
        <f t="shared" si="61"/>
        <v>3889680</v>
      </c>
      <c r="F103" s="13">
        <f t="shared" si="61"/>
        <v>4354100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 t="s">
        <v>211</v>
      </c>
      <c r="B104" s="17">
        <f>'Income statement'!B46</f>
        <v>0.27</v>
      </c>
      <c r="C104" s="17">
        <f>'Income statement'!C46</f>
        <v>0.27</v>
      </c>
      <c r="D104" s="17">
        <f>'Income statement'!D46</f>
        <v>0.25</v>
      </c>
      <c r="E104" s="17">
        <f>'Income statement'!E46</f>
        <v>0.24</v>
      </c>
      <c r="F104" s="17">
        <f>'Income statement'!F46</f>
        <v>0.23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38" t="s">
        <v>212</v>
      </c>
      <c r="B105" s="175">
        <f t="shared" ref="B105:F105" si="62">(B103-B102)*B104</f>
        <v>-216464.92510905809</v>
      </c>
      <c r="C105" s="175">
        <f t="shared" si="62"/>
        <v>-562590.14042785869</v>
      </c>
      <c r="D105" s="175">
        <f t="shared" si="62"/>
        <v>-931656.80614348408</v>
      </c>
      <c r="E105" s="175">
        <f t="shared" si="62"/>
        <v>-547733.67835260648</v>
      </c>
      <c r="F105" s="175">
        <f t="shared" si="62"/>
        <v>-488667.44181705709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4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 customHeight="1" x14ac:dyDescent="0.4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 customHeight="1" x14ac:dyDescent="0.4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1">
    <mergeCell ref="C44:D4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000"/>
  <sheetViews>
    <sheetView workbookViewId="0">
      <selection sqref="A1:G2"/>
    </sheetView>
  </sheetViews>
  <sheetFormatPr defaultColWidth="11.3125" defaultRowHeight="15" customHeight="1" x14ac:dyDescent="0.35"/>
  <cols>
    <col min="1" max="2" width="10.5625" customWidth="1"/>
    <col min="3" max="3" width="10.6875" customWidth="1"/>
    <col min="4" max="4" width="10.5625" customWidth="1"/>
    <col min="5" max="5" width="13.6875" customWidth="1"/>
    <col min="6" max="6" width="12.3125" customWidth="1"/>
    <col min="7" max="7" width="10.6875" customWidth="1"/>
    <col min="8" max="8" width="10.5625" customWidth="1"/>
    <col min="9" max="9" width="16.875" customWidth="1"/>
    <col min="10" max="11" width="10.5625" customWidth="1"/>
    <col min="12" max="12" width="11.6875" customWidth="1"/>
    <col min="13" max="26" width="10.5625" customWidth="1"/>
  </cols>
  <sheetData>
    <row r="1" spans="1:14" ht="15.75" customHeight="1" x14ac:dyDescent="0.35">
      <c r="A1" s="254" t="s">
        <v>213</v>
      </c>
      <c r="B1" s="249"/>
      <c r="C1" s="249"/>
      <c r="D1" s="249"/>
      <c r="E1" s="249"/>
      <c r="F1" s="249"/>
      <c r="G1" s="249"/>
      <c r="H1" s="131"/>
      <c r="I1" s="131"/>
      <c r="J1" s="131"/>
      <c r="K1" s="131"/>
      <c r="L1" s="131"/>
      <c r="M1" s="131"/>
      <c r="N1" s="131"/>
    </row>
    <row r="2" spans="1:14" ht="15.75" customHeight="1" x14ac:dyDescent="0.35">
      <c r="A2" s="249"/>
      <c r="B2" s="249"/>
      <c r="C2" s="249"/>
      <c r="D2" s="249"/>
      <c r="E2" s="249"/>
      <c r="F2" s="249"/>
      <c r="G2" s="249"/>
      <c r="H2" s="131"/>
      <c r="I2" s="131"/>
      <c r="J2" s="131"/>
      <c r="K2" s="131"/>
      <c r="L2" s="131"/>
      <c r="M2" s="131"/>
      <c r="N2" s="131"/>
    </row>
    <row r="3" spans="1:14" ht="15.75" customHeight="1" x14ac:dyDescent="0.45">
      <c r="A3" s="131"/>
      <c r="B3" s="131"/>
      <c r="C3" s="39"/>
      <c r="D3" s="131"/>
      <c r="E3" s="131"/>
      <c r="F3" s="131"/>
      <c r="G3" s="39"/>
      <c r="H3" s="131"/>
      <c r="I3" s="131"/>
      <c r="J3" s="131"/>
      <c r="K3" s="131"/>
      <c r="L3" s="131"/>
      <c r="M3" s="131"/>
      <c r="N3" s="131"/>
    </row>
    <row r="4" spans="1:14" ht="15.75" customHeight="1" x14ac:dyDescent="0.45">
      <c r="A4" s="255" t="s">
        <v>214</v>
      </c>
      <c r="B4" s="252"/>
      <c r="C4" s="39"/>
      <c r="D4" s="131"/>
      <c r="E4" s="255" t="s">
        <v>215</v>
      </c>
      <c r="F4" s="252"/>
      <c r="G4" s="39"/>
      <c r="H4" s="131"/>
      <c r="I4" s="137" t="s">
        <v>216</v>
      </c>
      <c r="J4" s="131"/>
      <c r="K4" s="131"/>
      <c r="L4" s="137" t="s">
        <v>217</v>
      </c>
      <c r="M4" s="131"/>
      <c r="N4" s="131"/>
    </row>
    <row r="5" spans="1:14" ht="15.75" customHeight="1" x14ac:dyDescent="0.45">
      <c r="A5" s="132" t="s">
        <v>218</v>
      </c>
      <c r="B5" s="132" t="s">
        <v>219</v>
      </c>
      <c r="C5" s="40" t="s">
        <v>220</v>
      </c>
      <c r="D5" s="131"/>
      <c r="E5" s="132" t="s">
        <v>218</v>
      </c>
      <c r="F5" s="132" t="s">
        <v>219</v>
      </c>
      <c r="G5" s="40" t="s">
        <v>221</v>
      </c>
      <c r="H5" s="131"/>
      <c r="I5" s="137">
        <v>2020</v>
      </c>
      <c r="J5" s="38">
        <f>_xlfn.COVARIANCE.S(G6:G29,C6:C29)/_xlfn.VAR.S(C6:C29)</f>
        <v>3.6443488452697137</v>
      </c>
      <c r="K5" s="131"/>
      <c r="L5" s="137">
        <v>2020</v>
      </c>
      <c r="M5" s="38">
        <f>_xlfn.COVARIANCE.S(G6:G65,C6:C65)/_xlfn.VAR.S(C6:C65)</f>
        <v>3.2140491514614977</v>
      </c>
      <c r="N5" s="131"/>
    </row>
    <row r="6" spans="1:14" ht="15.75" customHeight="1" x14ac:dyDescent="0.45">
      <c r="A6" s="1" t="s">
        <v>222</v>
      </c>
      <c r="B6" s="1">
        <v>858.86</v>
      </c>
      <c r="C6" s="39">
        <f t="shared" ref="C6:C100" si="0">LN(B6/B7)</f>
        <v>4.6667508833006702E-2</v>
      </c>
      <c r="D6" s="131"/>
      <c r="E6" s="1" t="s">
        <v>222</v>
      </c>
      <c r="F6" s="1">
        <v>89.62</v>
      </c>
      <c r="G6" s="39">
        <f t="shared" ref="G6:G101" si="1">LN(F6/F7)</f>
        <v>5.4371870492164422</v>
      </c>
      <c r="H6" s="131"/>
      <c r="I6" s="137">
        <v>2019</v>
      </c>
      <c r="J6" s="38">
        <f>_xlfn.COVARIANCE.S(G18:G41,C18:C41)/_xlfn.VAR.S(C18:C41)</f>
        <v>1.2180337324410175</v>
      </c>
      <c r="K6" s="131"/>
      <c r="L6" s="137" t="s">
        <v>223</v>
      </c>
      <c r="M6" s="38">
        <f>_xlfn.COVARIANCE.S(G18:G65,C18:C65)/_xlfn.VAR.S(C18:C65)</f>
        <v>1.6434953426771088</v>
      </c>
      <c r="N6" s="1"/>
    </row>
    <row r="7" spans="1:14" ht="15.75" customHeight="1" x14ac:dyDescent="0.45">
      <c r="A7" s="1" t="s">
        <v>224</v>
      </c>
      <c r="B7" s="1">
        <v>819.7</v>
      </c>
      <c r="C7" s="39">
        <f t="shared" si="0"/>
        <v>0.14588716569160584</v>
      </c>
      <c r="D7" s="131"/>
      <c r="E7" s="1" t="s">
        <v>224</v>
      </c>
      <c r="F7" s="1">
        <v>0.39</v>
      </c>
      <c r="G7" s="39">
        <f t="shared" si="1"/>
        <v>-0.44731221804366478</v>
      </c>
      <c r="H7" s="131"/>
      <c r="I7" s="137">
        <v>2018</v>
      </c>
      <c r="J7" s="38">
        <f>_xlfn.COVARIANCE.S(G30:G53,C30:C53)/_xlfn.VAR.S(C30:C53)</f>
        <v>2.2778963065628415</v>
      </c>
      <c r="K7" s="131"/>
      <c r="L7" s="131"/>
      <c r="M7" s="131"/>
      <c r="N7" s="131"/>
    </row>
    <row r="8" spans="1:14" ht="15.75" customHeight="1" x14ac:dyDescent="0.45">
      <c r="A8" s="1" t="s">
        <v>225</v>
      </c>
      <c r="B8" s="1">
        <v>708.43</v>
      </c>
      <c r="C8" s="39">
        <f t="shared" si="0"/>
        <v>-5.1741368119051404E-2</v>
      </c>
      <c r="D8" s="131"/>
      <c r="E8" s="1" t="s">
        <v>225</v>
      </c>
      <c r="F8" s="1">
        <v>0.61</v>
      </c>
      <c r="G8" s="39">
        <f t="shared" si="1"/>
        <v>-0.41091471287572912</v>
      </c>
      <c r="H8" s="131"/>
      <c r="I8" s="137">
        <v>2017</v>
      </c>
      <c r="J8" s="38">
        <f>_xlfn.COVARIANCE.S(G42:G65,C42:C65)/_xlfn.VAR.S(C42:C65)</f>
        <v>2.0350176824741788</v>
      </c>
      <c r="K8" s="131"/>
      <c r="L8" s="131"/>
      <c r="M8" s="131"/>
      <c r="N8" s="131"/>
    </row>
    <row r="9" spans="1:14" ht="15.75" customHeight="1" x14ac:dyDescent="0.45">
      <c r="A9" s="1" t="s">
        <v>226</v>
      </c>
      <c r="B9" s="1">
        <v>746.05</v>
      </c>
      <c r="C9" s="39">
        <f t="shared" si="0"/>
        <v>-1.1792668059148541E-2</v>
      </c>
      <c r="D9" s="131"/>
      <c r="E9" s="1" t="s">
        <v>226</v>
      </c>
      <c r="F9" s="1">
        <v>0.92</v>
      </c>
      <c r="G9" s="39">
        <f t="shared" si="1"/>
        <v>-0.26570316573300562</v>
      </c>
      <c r="H9" s="131"/>
      <c r="I9" s="137">
        <v>2016</v>
      </c>
      <c r="J9" s="38">
        <f>_xlfn.COVARIANCE.S(G54:G89,C54:C89)/_xlfn.VAR.S(C54:C89)</f>
        <v>0.58324831667815447</v>
      </c>
      <c r="K9" s="131"/>
      <c r="L9" s="131"/>
      <c r="M9" s="131"/>
      <c r="N9" s="131"/>
    </row>
    <row r="10" spans="1:14" ht="15.75" customHeight="1" x14ac:dyDescent="0.45">
      <c r="A10" s="1" t="s">
        <v>227</v>
      </c>
      <c r="B10" s="1">
        <v>754.9</v>
      </c>
      <c r="C10" s="39">
        <f t="shared" si="0"/>
        <v>3.5062461154581726E-2</v>
      </c>
      <c r="D10" s="131"/>
      <c r="E10" s="1" t="s">
        <v>227</v>
      </c>
      <c r="F10" s="1">
        <v>1.2</v>
      </c>
      <c r="G10" s="39">
        <f t="shared" si="1"/>
        <v>-0.63304325649023985</v>
      </c>
      <c r="H10" s="131"/>
      <c r="I10" s="137">
        <v>2015</v>
      </c>
      <c r="J10" s="38">
        <f>_xlfn.COVARIANCE.S(G66:G99,C66:C99)/_xlfn.VAR.S(C66:C99)</f>
        <v>0.19403168132138715</v>
      </c>
      <c r="K10" s="131"/>
      <c r="L10" s="131"/>
      <c r="M10" s="131"/>
      <c r="N10" s="131"/>
    </row>
    <row r="11" spans="1:14" ht="15.75" customHeight="1" x14ac:dyDescent="0.45">
      <c r="A11" s="1" t="s">
        <v>228</v>
      </c>
      <c r="B11" s="1">
        <v>728.89</v>
      </c>
      <c r="C11" s="39">
        <f t="shared" si="0"/>
        <v>1.9114420092598561E-2</v>
      </c>
      <c r="D11" s="131"/>
      <c r="E11" s="1" t="s">
        <v>228</v>
      </c>
      <c r="F11" s="1">
        <v>2.2599999999999998</v>
      </c>
      <c r="G11" s="39">
        <f t="shared" si="1"/>
        <v>-0.17788695972608903</v>
      </c>
      <c r="H11" s="131"/>
      <c r="I11" s="137">
        <v>2014</v>
      </c>
      <c r="J11" s="38">
        <f>_xlfn.COVARIANCE.S(G78:G100,C78:C100)/_xlfn.VAR.S(C78:C100)</f>
        <v>0.76175428763144282</v>
      </c>
      <c r="K11" s="131"/>
      <c r="L11" s="131"/>
      <c r="M11" s="131"/>
      <c r="N11" s="131"/>
    </row>
    <row r="12" spans="1:14" ht="15.75" customHeight="1" x14ac:dyDescent="0.45">
      <c r="A12" s="1" t="s">
        <v>229</v>
      </c>
      <c r="B12" s="1">
        <v>715.09</v>
      </c>
      <c r="C12" s="39">
        <f t="shared" si="0"/>
        <v>-2.737164276822419E-3</v>
      </c>
      <c r="D12" s="131"/>
      <c r="E12" s="1" t="s">
        <v>229</v>
      </c>
      <c r="F12" s="1">
        <v>2.7</v>
      </c>
      <c r="G12" s="39">
        <f t="shared" si="1"/>
        <v>-0.31508104663989539</v>
      </c>
      <c r="H12" s="131"/>
      <c r="I12" s="131"/>
      <c r="J12" s="131"/>
      <c r="K12" s="131"/>
      <c r="L12" s="131"/>
      <c r="M12" s="131"/>
      <c r="N12" s="131"/>
    </row>
    <row r="13" spans="1:14" ht="15.75" customHeight="1" x14ac:dyDescent="0.45">
      <c r="A13" s="1" t="s">
        <v>230</v>
      </c>
      <c r="B13" s="1">
        <v>717.05</v>
      </c>
      <c r="C13" s="39">
        <f t="shared" si="0"/>
        <v>1.0063718496003043E-2</v>
      </c>
      <c r="D13" s="131"/>
      <c r="E13" s="1" t="s">
        <v>230</v>
      </c>
      <c r="F13" s="1">
        <v>3.7</v>
      </c>
      <c r="G13" s="39">
        <f t="shared" si="1"/>
        <v>-0.34416458224436847</v>
      </c>
      <c r="H13" s="131"/>
      <c r="I13" s="131"/>
      <c r="J13" s="131"/>
      <c r="K13" s="131"/>
      <c r="L13" s="131"/>
      <c r="M13" s="131"/>
      <c r="N13" s="131"/>
    </row>
    <row r="14" spans="1:14" ht="15.75" customHeight="1" x14ac:dyDescent="0.45">
      <c r="A14" s="1" t="s">
        <v>231</v>
      </c>
      <c r="B14" s="1">
        <v>709.87</v>
      </c>
      <c r="C14" s="39">
        <f t="shared" si="0"/>
        <v>8.9356422731047491E-2</v>
      </c>
      <c r="D14" s="131"/>
      <c r="E14" s="1" t="s">
        <v>231</v>
      </c>
      <c r="F14" s="1">
        <v>5.22</v>
      </c>
      <c r="G14" s="39">
        <f t="shared" si="1"/>
        <v>-0.59879439671194779</v>
      </c>
      <c r="H14" s="131"/>
      <c r="I14" s="131"/>
      <c r="J14" s="131"/>
      <c r="K14" s="131"/>
      <c r="L14" s="131"/>
      <c r="M14" s="131"/>
      <c r="N14" s="131"/>
    </row>
    <row r="15" spans="1:14" ht="15.75" customHeight="1" x14ac:dyDescent="0.45">
      <c r="A15" s="1" t="s">
        <v>232</v>
      </c>
      <c r="B15" s="1">
        <v>649.19000000000005</v>
      </c>
      <c r="C15" s="39">
        <f t="shared" si="0"/>
        <v>-0.14134326556188651</v>
      </c>
      <c r="D15" s="131"/>
      <c r="E15" s="1" t="s">
        <v>232</v>
      </c>
      <c r="F15" s="1">
        <v>9.5</v>
      </c>
      <c r="G15" s="39">
        <f t="shared" si="1"/>
        <v>-0.75240864459667278</v>
      </c>
      <c r="H15" s="131"/>
      <c r="I15" s="131"/>
      <c r="J15" s="131"/>
      <c r="K15" s="131"/>
      <c r="L15" s="131"/>
      <c r="M15" s="131"/>
      <c r="N15" s="131"/>
    </row>
    <row r="16" spans="1:14" ht="15.75" customHeight="1" x14ac:dyDescent="0.45">
      <c r="A16" s="1" t="s">
        <v>233</v>
      </c>
      <c r="B16" s="1">
        <v>747.75</v>
      </c>
      <c r="C16" s="39">
        <f t="shared" si="0"/>
        <v>-9.5073076836691292E-2</v>
      </c>
      <c r="D16" s="131"/>
      <c r="E16" s="1" t="s">
        <v>233</v>
      </c>
      <c r="F16" s="1">
        <v>20.16</v>
      </c>
      <c r="G16" s="39">
        <f t="shared" si="1"/>
        <v>-0.57424745020348666</v>
      </c>
      <c r="H16" s="131"/>
      <c r="I16" s="131"/>
      <c r="J16" s="131"/>
      <c r="K16" s="131"/>
      <c r="L16" s="131"/>
      <c r="M16" s="131"/>
      <c r="N16" s="131"/>
    </row>
    <row r="17" spans="1:7" ht="15.75" customHeight="1" x14ac:dyDescent="0.45">
      <c r="A17" s="1" t="s">
        <v>234</v>
      </c>
      <c r="B17" s="1">
        <v>822.33</v>
      </c>
      <c r="C17" s="39">
        <f t="shared" si="0"/>
        <v>-2.5240281357274963E-2</v>
      </c>
      <c r="D17" s="131"/>
      <c r="E17" s="1" t="s">
        <v>234</v>
      </c>
      <c r="F17" s="1">
        <v>35.799999999999997</v>
      </c>
      <c r="G17" s="39">
        <f t="shared" si="1"/>
        <v>-4.9056156989194313E-2</v>
      </c>
    </row>
    <row r="18" spans="1:7" ht="15.75" customHeight="1" x14ac:dyDescent="0.45">
      <c r="A18" s="1" t="s">
        <v>235</v>
      </c>
      <c r="B18" s="1">
        <v>843.35</v>
      </c>
      <c r="C18" s="39">
        <f t="shared" si="0"/>
        <v>2.3721364478072791E-2</v>
      </c>
      <c r="D18" s="131"/>
      <c r="E18" s="1" t="s">
        <v>235</v>
      </c>
      <c r="F18" s="1">
        <v>37.6</v>
      </c>
      <c r="G18" s="39">
        <f t="shared" si="1"/>
        <v>-3.6557595733797577E-2</v>
      </c>
    </row>
    <row r="19" spans="1:7" ht="15.75" customHeight="1" x14ac:dyDescent="0.45">
      <c r="A19" s="1" t="s">
        <v>236</v>
      </c>
      <c r="B19" s="1">
        <v>823.58</v>
      </c>
      <c r="C19" s="39">
        <f t="shared" si="0"/>
        <v>-9.466364773569613E-4</v>
      </c>
      <c r="D19" s="131"/>
      <c r="E19" s="1" t="s">
        <v>236</v>
      </c>
      <c r="F19" s="1">
        <v>39</v>
      </c>
      <c r="G19" s="39">
        <f t="shared" si="1"/>
        <v>-0.1431008436406733</v>
      </c>
    </row>
    <row r="20" spans="1:7" ht="15.75" customHeight="1" x14ac:dyDescent="0.45">
      <c r="A20" s="1" t="s">
        <v>237</v>
      </c>
      <c r="B20" s="1">
        <v>824.36</v>
      </c>
      <c r="C20" s="39">
        <f t="shared" si="0"/>
        <v>1.2634676763942644E-2</v>
      </c>
      <c r="D20" s="131"/>
      <c r="E20" s="1" t="s">
        <v>237</v>
      </c>
      <c r="F20" s="1">
        <v>45</v>
      </c>
      <c r="G20" s="39">
        <f t="shared" si="1"/>
        <v>0.23431685191233487</v>
      </c>
    </row>
    <row r="21" spans="1:7" ht="15.75" customHeight="1" x14ac:dyDescent="0.45">
      <c r="A21" s="1" t="s">
        <v>238</v>
      </c>
      <c r="B21" s="1">
        <v>814.01</v>
      </c>
      <c r="C21" s="39">
        <f t="shared" si="0"/>
        <v>3.1269703457687106E-2</v>
      </c>
      <c r="D21" s="131"/>
      <c r="E21" s="1" t="s">
        <v>238</v>
      </c>
      <c r="F21" s="1">
        <v>35.6</v>
      </c>
      <c r="G21" s="39">
        <f t="shared" si="1"/>
        <v>-2.4966622730461057E-2</v>
      </c>
    </row>
    <row r="22" spans="1:7" ht="15.75" customHeight="1" x14ac:dyDescent="0.45">
      <c r="A22" s="1" t="s">
        <v>239</v>
      </c>
      <c r="B22" s="1">
        <v>788.95</v>
      </c>
      <c r="C22" s="39">
        <f t="shared" si="0"/>
        <v>-3.7321737346886789E-3</v>
      </c>
      <c r="D22" s="131"/>
      <c r="E22" s="1" t="s">
        <v>239</v>
      </c>
      <c r="F22" s="1">
        <v>36.5</v>
      </c>
      <c r="G22" s="39">
        <f t="shared" si="1"/>
        <v>-9.4064073724077754E-2</v>
      </c>
    </row>
    <row r="23" spans="1:7" ht="15.75" customHeight="1" x14ac:dyDescent="0.45">
      <c r="A23" s="1" t="s">
        <v>240</v>
      </c>
      <c r="B23" s="1">
        <v>791.9</v>
      </c>
      <c r="C23" s="39">
        <f t="shared" si="0"/>
        <v>-7.8990147075025316E-3</v>
      </c>
      <c r="D23" s="131"/>
      <c r="E23" s="1" t="s">
        <v>240</v>
      </c>
      <c r="F23" s="1">
        <v>40.1</v>
      </c>
      <c r="G23" s="39">
        <f t="shared" si="1"/>
        <v>0.21630910408391274</v>
      </c>
    </row>
    <row r="24" spans="1:7" ht="15.75" customHeight="1" x14ac:dyDescent="0.45">
      <c r="A24" s="1" t="s">
        <v>241</v>
      </c>
      <c r="B24" s="1">
        <v>798.18</v>
      </c>
      <c r="C24" s="39">
        <f t="shared" si="0"/>
        <v>1.7529785563403108E-2</v>
      </c>
      <c r="D24" s="131"/>
      <c r="E24" s="1" t="s">
        <v>241</v>
      </c>
      <c r="F24" s="1">
        <v>32.299999999999997</v>
      </c>
      <c r="G24" s="39">
        <f t="shared" si="1"/>
        <v>2.5079684397023391E-2</v>
      </c>
    </row>
    <row r="25" spans="1:7" ht="15.75" customHeight="1" x14ac:dyDescent="0.45">
      <c r="A25" s="1" t="s">
        <v>242</v>
      </c>
      <c r="B25" s="1">
        <v>784.31</v>
      </c>
      <c r="C25" s="39">
        <f t="shared" si="0"/>
        <v>-3.4868388732765293E-2</v>
      </c>
      <c r="D25" s="131"/>
      <c r="E25" s="1" t="s">
        <v>242</v>
      </c>
      <c r="F25" s="1">
        <v>31.5</v>
      </c>
      <c r="G25" s="39">
        <f t="shared" si="1"/>
        <v>-0.14732471475685843</v>
      </c>
    </row>
    <row r="26" spans="1:7" ht="15.75" customHeight="1" x14ac:dyDescent="0.45">
      <c r="A26" s="1" t="s">
        <v>243</v>
      </c>
      <c r="B26" s="1">
        <v>812.14</v>
      </c>
      <c r="C26" s="39">
        <f t="shared" si="0"/>
        <v>2.3433462785320068E-2</v>
      </c>
      <c r="D26" s="131"/>
      <c r="E26" s="1" t="s">
        <v>243</v>
      </c>
      <c r="F26" s="1">
        <v>36.5</v>
      </c>
      <c r="G26" s="39">
        <f t="shared" si="1"/>
        <v>-0.21156998592018683</v>
      </c>
    </row>
    <row r="27" spans="1:7" ht="15.75" customHeight="1" x14ac:dyDescent="0.45">
      <c r="A27" s="1" t="s">
        <v>244</v>
      </c>
      <c r="B27" s="1">
        <v>793.33</v>
      </c>
      <c r="C27" s="39">
        <f t="shared" si="0"/>
        <v>-6.9339171656692088E-3</v>
      </c>
      <c r="D27" s="131"/>
      <c r="E27" s="1" t="s">
        <v>244</v>
      </c>
      <c r="F27" s="1">
        <v>45.1</v>
      </c>
      <c r="G27" s="39">
        <f t="shared" si="1"/>
        <v>-0.24116205681688796</v>
      </c>
    </row>
    <row r="28" spans="1:7" ht="15.75" customHeight="1" x14ac:dyDescent="0.45">
      <c r="A28" s="1" t="s">
        <v>245</v>
      </c>
      <c r="B28" s="1">
        <v>798.85</v>
      </c>
      <c r="C28" s="39">
        <f t="shared" si="0"/>
        <v>3.0465014818661582E-2</v>
      </c>
      <c r="D28" s="131"/>
      <c r="E28" s="1" t="s">
        <v>245</v>
      </c>
      <c r="F28" s="1">
        <v>57.4</v>
      </c>
      <c r="G28" s="39">
        <f t="shared" si="1"/>
        <v>-0.80899260661962102</v>
      </c>
    </row>
    <row r="29" spans="1:7" ht="15.75" customHeight="1" x14ac:dyDescent="0.45">
      <c r="A29" s="1" t="s">
        <v>246</v>
      </c>
      <c r="B29" s="1">
        <v>774.88</v>
      </c>
      <c r="C29" s="39">
        <f t="shared" si="0"/>
        <v>4.6842083559588854E-2</v>
      </c>
      <c r="D29" s="131"/>
      <c r="E29" s="1" t="s">
        <v>246</v>
      </c>
      <c r="F29" s="1">
        <v>128.9</v>
      </c>
      <c r="G29" s="39">
        <f t="shared" si="1"/>
        <v>-0.2965641544012998</v>
      </c>
    </row>
    <row r="30" spans="1:7" ht="15.75" customHeight="1" x14ac:dyDescent="0.45">
      <c r="A30" s="1" t="s">
        <v>247</v>
      </c>
      <c r="B30" s="1">
        <v>739.42</v>
      </c>
      <c r="C30" s="39">
        <f t="shared" si="0"/>
        <v>-6.7318086173601202E-2</v>
      </c>
      <c r="D30" s="131"/>
      <c r="E30" s="1" t="s">
        <v>247</v>
      </c>
      <c r="F30" s="1">
        <v>173.4</v>
      </c>
      <c r="G30" s="39">
        <f t="shared" si="1"/>
        <v>-0.22337420521904969</v>
      </c>
    </row>
    <row r="31" spans="1:7" ht="15.75" customHeight="1" x14ac:dyDescent="0.45">
      <c r="A31" s="1" t="s">
        <v>248</v>
      </c>
      <c r="B31" s="1">
        <v>790.91</v>
      </c>
      <c r="C31" s="39">
        <f t="shared" si="0"/>
        <v>-4.2926213458367016E-2</v>
      </c>
      <c r="D31" s="131"/>
      <c r="E31" s="1" t="s">
        <v>248</v>
      </c>
      <c r="F31" s="1">
        <v>216.8</v>
      </c>
      <c r="G31" s="39">
        <f t="shared" si="1"/>
        <v>1.0199439368893049E-2</v>
      </c>
    </row>
    <row r="32" spans="1:7" ht="15.75" customHeight="1" x14ac:dyDescent="0.45">
      <c r="A32" s="1" t="s">
        <v>249</v>
      </c>
      <c r="B32" s="1">
        <v>825.6</v>
      </c>
      <c r="C32" s="39">
        <f t="shared" si="0"/>
        <v>-5.384152260763423E-2</v>
      </c>
      <c r="D32" s="131"/>
      <c r="E32" s="1" t="s">
        <v>249</v>
      </c>
      <c r="F32" s="1">
        <v>214.6</v>
      </c>
      <c r="G32" s="39">
        <f t="shared" si="1"/>
        <v>-0.12757238685057315</v>
      </c>
    </row>
    <row r="33" spans="1:7" ht="15.75" customHeight="1" x14ac:dyDescent="0.45">
      <c r="A33" s="1" t="s">
        <v>250</v>
      </c>
      <c r="B33" s="1">
        <v>871.27</v>
      </c>
      <c r="C33" s="39">
        <f t="shared" si="0"/>
        <v>3.6276253452750054E-2</v>
      </c>
      <c r="D33" s="131"/>
      <c r="E33" s="1" t="s">
        <v>250</v>
      </c>
      <c r="F33" s="1">
        <v>243.8</v>
      </c>
      <c r="G33" s="39">
        <f t="shared" si="1"/>
        <v>-9.0900441353078315E-2</v>
      </c>
    </row>
    <row r="34" spans="1:7" ht="15.75" customHeight="1" x14ac:dyDescent="0.45">
      <c r="A34" s="1" t="s">
        <v>251</v>
      </c>
      <c r="B34" s="1">
        <v>840.23</v>
      </c>
      <c r="C34" s="39">
        <f t="shared" si="0"/>
        <v>1.4855764884517975E-2</v>
      </c>
      <c r="D34" s="131"/>
      <c r="E34" s="1" t="s">
        <v>251</v>
      </c>
      <c r="F34" s="1">
        <v>267</v>
      </c>
      <c r="G34" s="39">
        <f t="shared" si="1"/>
        <v>0.1141380014790498</v>
      </c>
    </row>
    <row r="35" spans="1:7" ht="15.75" customHeight="1" x14ac:dyDescent="0.45">
      <c r="A35" s="1" t="s">
        <v>252</v>
      </c>
      <c r="B35" s="1">
        <v>827.84</v>
      </c>
      <c r="C35" s="39">
        <f t="shared" si="0"/>
        <v>1.7252730680323587E-2</v>
      </c>
      <c r="D35" s="131"/>
      <c r="E35" s="1" t="s">
        <v>252</v>
      </c>
      <c r="F35" s="1">
        <v>238.2</v>
      </c>
      <c r="G35" s="39">
        <f t="shared" si="1"/>
        <v>-4.0318089243782475E-2</v>
      </c>
    </row>
    <row r="36" spans="1:7" ht="15.75" customHeight="1" x14ac:dyDescent="0.45">
      <c r="A36" s="1" t="s">
        <v>253</v>
      </c>
      <c r="B36" s="1">
        <v>813.68</v>
      </c>
      <c r="C36" s="39">
        <f t="shared" si="0"/>
        <v>1.3623497741441474E-2</v>
      </c>
      <c r="D36" s="131"/>
      <c r="E36" s="1" t="s">
        <v>253</v>
      </c>
      <c r="F36" s="1">
        <v>248</v>
      </c>
      <c r="G36" s="39">
        <f t="shared" si="1"/>
        <v>-1.7190109482029876E-2</v>
      </c>
    </row>
    <row r="37" spans="1:7" ht="15.75" customHeight="1" x14ac:dyDescent="0.45">
      <c r="A37" s="1" t="s">
        <v>254</v>
      </c>
      <c r="B37" s="1">
        <v>802.67</v>
      </c>
      <c r="C37" s="39">
        <f t="shared" si="0"/>
        <v>1.0872803866512671E-2</v>
      </c>
      <c r="D37" s="131"/>
      <c r="E37" s="1" t="s">
        <v>254</v>
      </c>
      <c r="F37" s="1">
        <v>252.3</v>
      </c>
      <c r="G37" s="39">
        <f t="shared" si="1"/>
        <v>-0.18080104613840028</v>
      </c>
    </row>
    <row r="38" spans="1:7" ht="15.75" customHeight="1" x14ac:dyDescent="0.45">
      <c r="A38" s="1" t="s">
        <v>255</v>
      </c>
      <c r="B38" s="1">
        <v>793.99</v>
      </c>
      <c r="C38" s="39">
        <f t="shared" si="0"/>
        <v>7.5664133143046458E-2</v>
      </c>
      <c r="D38" s="131"/>
      <c r="E38" s="1" t="s">
        <v>255</v>
      </c>
      <c r="F38" s="1">
        <v>302.3</v>
      </c>
      <c r="G38" s="39">
        <f t="shared" si="1"/>
        <v>0.59342608936865726</v>
      </c>
    </row>
    <row r="39" spans="1:7" ht="15.75" customHeight="1" x14ac:dyDescent="0.45">
      <c r="A39" s="1" t="s">
        <v>256</v>
      </c>
      <c r="B39" s="1">
        <v>736.13</v>
      </c>
      <c r="C39" s="39">
        <f t="shared" si="0"/>
        <v>-2.042492597887921E-2</v>
      </c>
      <c r="D39" s="131"/>
      <c r="E39" s="1" t="s">
        <v>256</v>
      </c>
      <c r="F39" s="1">
        <v>167</v>
      </c>
      <c r="G39" s="39">
        <f t="shared" si="1"/>
        <v>-6.0413257458723994E-2</v>
      </c>
    </row>
    <row r="40" spans="1:7" ht="15.75" customHeight="1" x14ac:dyDescent="0.45">
      <c r="A40" s="1" t="s">
        <v>257</v>
      </c>
      <c r="B40" s="1">
        <v>751.32</v>
      </c>
      <c r="C40" s="39">
        <f t="shared" si="0"/>
        <v>1.7224098626872849E-2</v>
      </c>
      <c r="D40" s="131"/>
      <c r="E40" s="1" t="s">
        <v>257</v>
      </c>
      <c r="F40" s="1">
        <v>177.4</v>
      </c>
      <c r="G40" s="39">
        <f t="shared" si="1"/>
        <v>-0.24257030940844501</v>
      </c>
    </row>
    <row r="41" spans="1:7" ht="15.75" customHeight="1" x14ac:dyDescent="0.45">
      <c r="A41" s="1" t="s">
        <v>258</v>
      </c>
      <c r="B41" s="1">
        <v>738.49</v>
      </c>
      <c r="C41" s="39">
        <f t="shared" si="0"/>
        <v>-5.8192685602040644E-3</v>
      </c>
      <c r="D41" s="131"/>
      <c r="E41" s="1" t="s">
        <v>258</v>
      </c>
      <c r="F41" s="1">
        <v>226.1</v>
      </c>
      <c r="G41" s="39">
        <f t="shared" si="1"/>
        <v>0.24709009111406458</v>
      </c>
    </row>
    <row r="42" spans="1:7" ht="15.75" customHeight="1" x14ac:dyDescent="0.45">
      <c r="A42" s="1" t="s">
        <v>259</v>
      </c>
      <c r="B42" s="1">
        <v>742.8</v>
      </c>
      <c r="C42" s="39">
        <f t="shared" si="0"/>
        <v>1.8040045853140695E-2</v>
      </c>
      <c r="D42" s="131"/>
      <c r="E42" s="1" t="s">
        <v>259</v>
      </c>
      <c r="F42" s="1">
        <v>176.6</v>
      </c>
      <c r="G42" s="39">
        <f t="shared" si="1"/>
        <v>-3.1766393514757844E-2</v>
      </c>
    </row>
    <row r="43" spans="1:7" ht="15.75" customHeight="1" x14ac:dyDescent="0.45">
      <c r="A43" s="1" t="s">
        <v>260</v>
      </c>
      <c r="B43" s="1">
        <v>729.52</v>
      </c>
      <c r="C43" s="39">
        <f t="shared" si="0"/>
        <v>-1.4168803503859859E-2</v>
      </c>
      <c r="D43" s="131"/>
      <c r="E43" s="1" t="s">
        <v>260</v>
      </c>
      <c r="F43" s="1">
        <v>182.3</v>
      </c>
      <c r="G43" s="39">
        <f t="shared" si="1"/>
        <v>-0.23242562723857796</v>
      </c>
    </row>
    <row r="44" spans="1:7" ht="15.75" customHeight="1" x14ac:dyDescent="0.45">
      <c r="A44" s="1" t="s">
        <v>261</v>
      </c>
      <c r="B44" s="1">
        <v>739.93</v>
      </c>
      <c r="C44" s="39">
        <f t="shared" si="0"/>
        <v>3.6120904523742038E-2</v>
      </c>
      <c r="D44" s="131"/>
      <c r="E44" s="1" t="s">
        <v>261</v>
      </c>
      <c r="F44" s="1">
        <v>230</v>
      </c>
      <c r="G44" s="39">
        <f t="shared" si="1"/>
        <v>-1.0380716054560854E-2</v>
      </c>
    </row>
    <row r="45" spans="1:7" ht="15.75" customHeight="1" x14ac:dyDescent="0.45">
      <c r="A45" s="1" t="s">
        <v>262</v>
      </c>
      <c r="B45" s="1">
        <v>713.68</v>
      </c>
      <c r="C45" s="39">
        <f t="shared" si="0"/>
        <v>6.3291307601587118E-2</v>
      </c>
      <c r="D45" s="131"/>
      <c r="E45" s="1" t="s">
        <v>262</v>
      </c>
      <c r="F45" s="1">
        <v>232.4</v>
      </c>
      <c r="G45" s="39">
        <f t="shared" si="1"/>
        <v>0.18111746272915</v>
      </c>
    </row>
    <row r="46" spans="1:7" ht="15.75" customHeight="1" x14ac:dyDescent="0.45">
      <c r="A46" s="1" t="s">
        <v>263</v>
      </c>
      <c r="B46" s="1">
        <v>669.91</v>
      </c>
      <c r="C46" s="39">
        <f t="shared" si="0"/>
        <v>1.4373377514127398E-2</v>
      </c>
      <c r="D46" s="131"/>
      <c r="E46" s="1" t="s">
        <v>263</v>
      </c>
      <c r="F46" s="1">
        <v>193.9</v>
      </c>
      <c r="G46" s="39">
        <f t="shared" si="1"/>
        <v>2.5819792294121732E-3</v>
      </c>
    </row>
    <row r="47" spans="1:7" ht="15.75" customHeight="1" x14ac:dyDescent="0.45">
      <c r="A47" s="1" t="s">
        <v>264</v>
      </c>
      <c r="B47" s="1">
        <v>660.35</v>
      </c>
      <c r="C47" s="39">
        <f t="shared" si="0"/>
        <v>5.434657344430819E-2</v>
      </c>
      <c r="D47" s="131"/>
      <c r="E47" s="1" t="s">
        <v>264</v>
      </c>
      <c r="F47" s="1">
        <v>193.4</v>
      </c>
      <c r="G47" s="39">
        <f t="shared" si="1"/>
        <v>-0.22335035516149834</v>
      </c>
    </row>
    <row r="48" spans="1:7" ht="15.75" customHeight="1" x14ac:dyDescent="0.45">
      <c r="A48" s="1" t="s">
        <v>265</v>
      </c>
      <c r="B48" s="1">
        <v>625.41999999999996</v>
      </c>
      <c r="C48" s="39">
        <f t="shared" si="0"/>
        <v>-1.8299134656236421E-2</v>
      </c>
      <c r="D48" s="131"/>
      <c r="E48" s="1" t="s">
        <v>265</v>
      </c>
      <c r="F48" s="1">
        <v>241.8</v>
      </c>
      <c r="G48" s="39">
        <f t="shared" si="1"/>
        <v>5.9204001929053757E-2</v>
      </c>
    </row>
    <row r="49" spans="1:7" ht="15.75" customHeight="1" x14ac:dyDescent="0.45">
      <c r="A49" s="1" t="s">
        <v>266</v>
      </c>
      <c r="B49" s="1">
        <v>636.97</v>
      </c>
      <c r="C49" s="39">
        <f t="shared" si="0"/>
        <v>2.1117210623765877E-2</v>
      </c>
      <c r="D49" s="131"/>
      <c r="E49" s="1" t="s">
        <v>266</v>
      </c>
      <c r="F49" s="1">
        <v>227.9</v>
      </c>
      <c r="G49" s="39">
        <f t="shared" si="1"/>
        <v>-6.7031024379521895E-2</v>
      </c>
    </row>
    <row r="50" spans="1:7" ht="15.75" customHeight="1" x14ac:dyDescent="0.45">
      <c r="A50" s="1" t="s">
        <v>267</v>
      </c>
      <c r="B50" s="1">
        <v>623.66</v>
      </c>
      <c r="C50" s="39">
        <f t="shared" si="0"/>
        <v>8.6800928264491786E-3</v>
      </c>
      <c r="D50" s="131"/>
      <c r="E50" s="1" t="s">
        <v>267</v>
      </c>
      <c r="F50" s="1">
        <v>243.7</v>
      </c>
      <c r="G50" s="39">
        <f t="shared" si="1"/>
        <v>3.0412675099217436E-2</v>
      </c>
    </row>
    <row r="51" spans="1:7" ht="15.75" customHeight="1" x14ac:dyDescent="0.45">
      <c r="A51" s="1" t="s">
        <v>268</v>
      </c>
      <c r="B51" s="1">
        <v>618.27</v>
      </c>
      <c r="C51" s="39">
        <f t="shared" si="0"/>
        <v>-1.5030670239907175E-3</v>
      </c>
      <c r="D51" s="131"/>
      <c r="E51" s="1" t="s">
        <v>268</v>
      </c>
      <c r="F51" s="1">
        <v>236.4</v>
      </c>
      <c r="G51" s="39">
        <f t="shared" si="1"/>
        <v>-0.10129133405110061</v>
      </c>
    </row>
    <row r="52" spans="1:7" ht="15.75" customHeight="1" x14ac:dyDescent="0.45">
      <c r="A52" s="1" t="s">
        <v>269</v>
      </c>
      <c r="B52" s="1">
        <v>619.20000000000005</v>
      </c>
      <c r="C52" s="39">
        <f t="shared" si="0"/>
        <v>-6.984594756322674E-3</v>
      </c>
      <c r="D52" s="131"/>
      <c r="E52" s="1" t="s">
        <v>269</v>
      </c>
      <c r="F52" s="1">
        <v>261.60000000000002</v>
      </c>
      <c r="G52" s="39">
        <f t="shared" si="1"/>
        <v>-2.4916351264534439E-2</v>
      </c>
    </row>
    <row r="53" spans="1:7" ht="15.75" customHeight="1" x14ac:dyDescent="0.45">
      <c r="A53" s="1" t="s">
        <v>270</v>
      </c>
      <c r="B53" s="1">
        <v>623.54</v>
      </c>
      <c r="C53" s="39">
        <f t="shared" si="0"/>
        <v>9.3290721631205751E-3</v>
      </c>
      <c r="D53" s="131"/>
      <c r="E53" s="1" t="s">
        <v>270</v>
      </c>
      <c r="F53" s="1">
        <v>268.2</v>
      </c>
      <c r="G53" s="39">
        <f t="shared" si="1"/>
        <v>-6.8445866326490967E-2</v>
      </c>
    </row>
    <row r="54" spans="1:7" ht="15.75" customHeight="1" x14ac:dyDescent="0.45">
      <c r="A54" s="1" t="s">
        <v>271</v>
      </c>
      <c r="B54" s="1">
        <v>617.75</v>
      </c>
      <c r="C54" s="39">
        <f t="shared" si="0"/>
        <v>4.845594240735146E-2</v>
      </c>
      <c r="D54" s="131"/>
      <c r="E54" s="1" t="s">
        <v>271</v>
      </c>
      <c r="F54" s="1">
        <v>287.2</v>
      </c>
      <c r="G54" s="39">
        <f t="shared" si="1"/>
        <v>7.6682528392370011E-2</v>
      </c>
    </row>
    <row r="55" spans="1:7" ht="15.75" customHeight="1" x14ac:dyDescent="0.45">
      <c r="A55" s="1" t="s">
        <v>272</v>
      </c>
      <c r="B55" s="1">
        <v>588.53</v>
      </c>
      <c r="C55" s="39">
        <f t="shared" si="0"/>
        <v>3.2658430620475853E-2</v>
      </c>
      <c r="D55" s="131"/>
      <c r="E55" s="1" t="s">
        <v>272</v>
      </c>
      <c r="F55" s="1">
        <v>266</v>
      </c>
      <c r="G55" s="39">
        <f t="shared" si="1"/>
        <v>-4.6998370104669736E-2</v>
      </c>
    </row>
    <row r="56" spans="1:7" ht="15.75" customHeight="1" x14ac:dyDescent="0.45">
      <c r="A56" s="1" t="s">
        <v>273</v>
      </c>
      <c r="B56" s="1">
        <v>569.62</v>
      </c>
      <c r="C56" s="39">
        <f t="shared" si="0"/>
        <v>3.1041063128151615E-2</v>
      </c>
      <c r="D56" s="131"/>
      <c r="E56" s="1" t="s">
        <v>273</v>
      </c>
      <c r="F56" s="1">
        <v>278.8</v>
      </c>
      <c r="G56" s="39">
        <f t="shared" si="1"/>
        <v>-4.8653514811471225E-2</v>
      </c>
    </row>
    <row r="57" spans="1:7" ht="15.75" customHeight="1" x14ac:dyDescent="0.45">
      <c r="A57" s="1" t="s">
        <v>274</v>
      </c>
      <c r="B57" s="1">
        <v>552.21</v>
      </c>
      <c r="C57" s="39">
        <f t="shared" si="0"/>
        <v>3.9555865192275781E-3</v>
      </c>
      <c r="D57" s="131"/>
      <c r="E57" s="1" t="s">
        <v>274</v>
      </c>
      <c r="F57" s="1">
        <v>292.7</v>
      </c>
      <c r="G57" s="39">
        <f t="shared" si="1"/>
        <v>-3.6233416801712805E-2</v>
      </c>
    </row>
    <row r="58" spans="1:7" ht="15.75" customHeight="1" x14ac:dyDescent="0.45">
      <c r="A58" s="1" t="s">
        <v>275</v>
      </c>
      <c r="B58" s="1">
        <v>550.03</v>
      </c>
      <c r="C58" s="39">
        <f t="shared" si="0"/>
        <v>8.1783620924052239E-3</v>
      </c>
      <c r="D58" s="131"/>
      <c r="E58" s="1" t="s">
        <v>275</v>
      </c>
      <c r="F58" s="1">
        <v>303.5</v>
      </c>
      <c r="G58" s="39">
        <f t="shared" si="1"/>
        <v>4.6235221069265567E-3</v>
      </c>
    </row>
    <row r="59" spans="1:7" ht="15.75" customHeight="1" x14ac:dyDescent="0.45">
      <c r="A59" s="1" t="s">
        <v>276</v>
      </c>
      <c r="B59" s="1">
        <v>545.54999999999995</v>
      </c>
      <c r="C59" s="39">
        <f t="shared" si="0"/>
        <v>7.9501329682862519E-3</v>
      </c>
      <c r="D59" s="131"/>
      <c r="E59" s="1" t="s">
        <v>276</v>
      </c>
      <c r="F59" s="1">
        <v>302.10000000000002</v>
      </c>
      <c r="G59" s="39">
        <f t="shared" si="1"/>
        <v>4.5023681373955113E-2</v>
      </c>
    </row>
    <row r="60" spans="1:7" ht="15.75" customHeight="1" x14ac:dyDescent="0.45">
      <c r="A60" s="1" t="s">
        <v>277</v>
      </c>
      <c r="B60" s="1">
        <v>541.23</v>
      </c>
      <c r="C60" s="39">
        <f t="shared" si="0"/>
        <v>-2.1821041252361489E-2</v>
      </c>
      <c r="D60" s="131"/>
      <c r="E60" s="1" t="s">
        <v>277</v>
      </c>
      <c r="F60" s="1">
        <v>288.8</v>
      </c>
      <c r="G60" s="39">
        <f t="shared" si="1"/>
        <v>-0.17141277970495358</v>
      </c>
    </row>
    <row r="61" spans="1:7" ht="15.75" customHeight="1" x14ac:dyDescent="0.45">
      <c r="A61" s="1" t="s">
        <v>278</v>
      </c>
      <c r="B61" s="1">
        <v>553.16999999999996</v>
      </c>
      <c r="C61" s="39">
        <f t="shared" si="0"/>
        <v>1.4329266453167061E-2</v>
      </c>
      <c r="D61" s="131"/>
      <c r="E61" s="1" t="s">
        <v>278</v>
      </c>
      <c r="F61" s="1">
        <v>342.8</v>
      </c>
      <c r="G61" s="39">
        <f t="shared" si="1"/>
        <v>-7.9054875883810424E-2</v>
      </c>
    </row>
    <row r="62" spans="1:7" ht="15.75" customHeight="1" x14ac:dyDescent="0.45">
      <c r="A62" s="1" t="s">
        <v>279</v>
      </c>
      <c r="B62" s="1">
        <v>545.29999999999995</v>
      </c>
      <c r="C62" s="39">
        <f t="shared" si="0"/>
        <v>5.3351256186526308E-2</v>
      </c>
      <c r="D62" s="131"/>
      <c r="E62" s="1" t="s">
        <v>279</v>
      </c>
      <c r="F62" s="1">
        <v>371</v>
      </c>
      <c r="G62" s="39">
        <f t="shared" si="1"/>
        <v>0.17351943899367761</v>
      </c>
    </row>
    <row r="63" spans="1:7" ht="15.75" customHeight="1" x14ac:dyDescent="0.45">
      <c r="A63" s="1" t="s">
        <v>280</v>
      </c>
      <c r="B63" s="1">
        <v>516.97</v>
      </c>
      <c r="C63" s="39">
        <f t="shared" si="0"/>
        <v>9.3087199895973017E-3</v>
      </c>
      <c r="D63" s="131"/>
      <c r="E63" s="1" t="s">
        <v>280</v>
      </c>
      <c r="F63" s="1">
        <v>311.89999999999998</v>
      </c>
      <c r="G63" s="39">
        <f t="shared" si="1"/>
        <v>8.6690812793904976E-2</v>
      </c>
    </row>
    <row r="64" spans="1:7" ht="15.75" customHeight="1" x14ac:dyDescent="0.45">
      <c r="A64" s="1" t="s">
        <v>281</v>
      </c>
      <c r="B64" s="1">
        <v>512.17999999999995</v>
      </c>
      <c r="C64" s="39">
        <f t="shared" si="0"/>
        <v>2.3308315987458278E-2</v>
      </c>
      <c r="D64" s="131"/>
      <c r="E64" s="1" t="s">
        <v>281</v>
      </c>
      <c r="F64" s="1">
        <v>286</v>
      </c>
      <c r="G64" s="39">
        <f t="shared" si="1"/>
        <v>0.10769423900404644</v>
      </c>
    </row>
    <row r="65" spans="1:7" ht="15.75" customHeight="1" x14ac:dyDescent="0.45">
      <c r="A65" s="1" t="s">
        <v>282</v>
      </c>
      <c r="B65" s="1">
        <v>500.38</v>
      </c>
      <c r="C65" s="39">
        <f t="shared" si="0"/>
        <v>-7.4310654700736598E-2</v>
      </c>
      <c r="D65" s="131"/>
      <c r="E65" s="1" t="s">
        <v>282</v>
      </c>
      <c r="F65" s="1">
        <v>256.8</v>
      </c>
      <c r="G65" s="39">
        <f t="shared" si="1"/>
        <v>-0.23090154212514907</v>
      </c>
    </row>
    <row r="66" spans="1:7" ht="15.75" customHeight="1" x14ac:dyDescent="0.45">
      <c r="A66" s="1" t="s">
        <v>283</v>
      </c>
      <c r="B66" s="1">
        <v>538.98</v>
      </c>
      <c r="C66" s="39">
        <f t="shared" si="0"/>
        <v>-4.1556445884741097E-2</v>
      </c>
      <c r="D66" s="131"/>
      <c r="E66" s="1" t="s">
        <v>283</v>
      </c>
      <c r="F66" s="1">
        <v>323.5</v>
      </c>
      <c r="G66" s="39">
        <f t="shared" si="1"/>
        <v>9.9367860107267447E-2</v>
      </c>
    </row>
    <row r="67" spans="1:7" ht="15.75" customHeight="1" x14ac:dyDescent="0.45">
      <c r="A67" s="1" t="s">
        <v>284</v>
      </c>
      <c r="B67" s="1">
        <v>561.85</v>
      </c>
      <c r="C67" s="39">
        <f t="shared" si="0"/>
        <v>2.2936124615901055E-2</v>
      </c>
      <c r="D67" s="131"/>
      <c r="E67" s="1" t="s">
        <v>284</v>
      </c>
      <c r="F67" s="1">
        <v>292.89999999999998</v>
      </c>
      <c r="G67" s="39">
        <f t="shared" si="1"/>
        <v>-6.7010710282960309E-2</v>
      </c>
    </row>
    <row r="68" spans="1:7" ht="15.75" customHeight="1" x14ac:dyDescent="0.45">
      <c r="A68" s="1" t="s">
        <v>285</v>
      </c>
      <c r="B68" s="1">
        <v>549.11</v>
      </c>
      <c r="C68" s="39">
        <f t="shared" si="0"/>
        <v>5.890286183015471E-2</v>
      </c>
      <c r="D68" s="131"/>
      <c r="E68" s="1" t="s">
        <v>285</v>
      </c>
      <c r="F68" s="1">
        <v>313.2</v>
      </c>
      <c r="G68" s="39">
        <f t="shared" si="1"/>
        <v>-6.2501006200045617E-2</v>
      </c>
    </row>
    <row r="69" spans="1:7" ht="15.75" customHeight="1" x14ac:dyDescent="0.45">
      <c r="A69" s="1" t="s">
        <v>286</v>
      </c>
      <c r="B69" s="1">
        <v>517.70000000000005</v>
      </c>
      <c r="C69" s="39">
        <f t="shared" si="0"/>
        <v>-2.7736167852694744E-2</v>
      </c>
      <c r="D69" s="131"/>
      <c r="E69" s="1" t="s">
        <v>286</v>
      </c>
      <c r="F69" s="1">
        <v>333.4</v>
      </c>
      <c r="G69" s="39">
        <f t="shared" si="1"/>
        <v>-9.7652420164838438E-2</v>
      </c>
    </row>
    <row r="70" spans="1:7" ht="15.75" customHeight="1" x14ac:dyDescent="0.45">
      <c r="A70" s="1" t="s">
        <v>287</v>
      </c>
      <c r="B70" s="1">
        <v>532.26</v>
      </c>
      <c r="C70" s="39">
        <f t="shared" si="0"/>
        <v>-7.633319204151158E-2</v>
      </c>
      <c r="D70" s="131"/>
      <c r="E70" s="1" t="s">
        <v>287</v>
      </c>
      <c r="F70" s="1">
        <v>367.6</v>
      </c>
      <c r="G70" s="39">
        <f t="shared" si="1"/>
        <v>3.9111905144904605E-2</v>
      </c>
    </row>
    <row r="71" spans="1:7" ht="15.75" customHeight="1" x14ac:dyDescent="0.45">
      <c r="A71" s="1" t="s">
        <v>288</v>
      </c>
      <c r="B71" s="1">
        <v>574.48</v>
      </c>
      <c r="C71" s="39">
        <f t="shared" si="0"/>
        <v>1.0622294489681725E-2</v>
      </c>
      <c r="D71" s="131"/>
      <c r="E71" s="1" t="s">
        <v>288</v>
      </c>
      <c r="F71" s="1">
        <v>353.5</v>
      </c>
      <c r="G71" s="39">
        <f t="shared" si="1"/>
        <v>9.0231162113970892E-2</v>
      </c>
    </row>
    <row r="72" spans="1:7" ht="15.75" customHeight="1" x14ac:dyDescent="0.45">
      <c r="A72" s="1" t="s">
        <v>289</v>
      </c>
      <c r="B72" s="1">
        <v>568.41</v>
      </c>
      <c r="C72" s="39">
        <f t="shared" si="0"/>
        <v>-2.3386879654128171E-2</v>
      </c>
      <c r="D72" s="131"/>
      <c r="E72" s="1" t="s">
        <v>289</v>
      </c>
      <c r="F72" s="1">
        <v>323</v>
      </c>
      <c r="G72" s="39">
        <f t="shared" si="1"/>
        <v>6.6232421437244185E-2</v>
      </c>
    </row>
    <row r="73" spans="1:7" ht="15.75" customHeight="1" x14ac:dyDescent="0.45">
      <c r="A73" s="1" t="s">
        <v>290</v>
      </c>
      <c r="B73" s="1">
        <v>581.86</v>
      </c>
      <c r="C73" s="39">
        <f t="shared" si="0"/>
        <v>6.5867985363789955E-3</v>
      </c>
      <c r="D73" s="131"/>
      <c r="E73" s="1" t="s">
        <v>290</v>
      </c>
      <c r="F73" s="1">
        <v>302.3</v>
      </c>
      <c r="G73" s="39">
        <f t="shared" si="1"/>
        <v>-4.9687639490058048E-2</v>
      </c>
    </row>
    <row r="74" spans="1:7" ht="15.75" customHeight="1" x14ac:dyDescent="0.45">
      <c r="A74" s="1" t="s">
        <v>291</v>
      </c>
      <c r="B74" s="1">
        <v>578.04</v>
      </c>
      <c r="C74" s="39">
        <f t="shared" si="0"/>
        <v>2.9761749967111215E-2</v>
      </c>
      <c r="D74" s="131"/>
      <c r="E74" s="1" t="s">
        <v>291</v>
      </c>
      <c r="F74" s="1">
        <v>317.7</v>
      </c>
      <c r="G74" s="39">
        <f t="shared" si="1"/>
        <v>0.28548115975702337</v>
      </c>
    </row>
    <row r="75" spans="1:7" ht="15.75" customHeight="1" x14ac:dyDescent="0.45">
      <c r="A75" s="1" t="s">
        <v>292</v>
      </c>
      <c r="B75" s="1">
        <v>561.09</v>
      </c>
      <c r="C75" s="39">
        <f t="shared" si="0"/>
        <v>6.1318627883847924E-3</v>
      </c>
      <c r="D75" s="131"/>
      <c r="E75" s="1" t="s">
        <v>292</v>
      </c>
      <c r="F75" s="1">
        <v>238.8</v>
      </c>
      <c r="G75" s="39">
        <f t="shared" si="1"/>
        <v>2.4587927952746471E-2</v>
      </c>
    </row>
    <row r="76" spans="1:7" ht="15.75" customHeight="1" x14ac:dyDescent="0.45">
      <c r="A76" s="1" t="s">
        <v>293</v>
      </c>
      <c r="B76" s="1">
        <v>557.66</v>
      </c>
      <c r="C76" s="39">
        <f t="shared" si="0"/>
        <v>2.7801032312600876E-2</v>
      </c>
      <c r="D76" s="131"/>
      <c r="E76" s="1" t="s">
        <v>293</v>
      </c>
      <c r="F76" s="1">
        <v>233</v>
      </c>
      <c r="G76" s="39">
        <f t="shared" si="1"/>
        <v>-0.26927332304171098</v>
      </c>
    </row>
    <row r="77" spans="1:7" ht="15.75" customHeight="1" x14ac:dyDescent="0.45">
      <c r="A77" s="1" t="s">
        <v>294</v>
      </c>
      <c r="B77" s="1">
        <v>542.37</v>
      </c>
      <c r="C77" s="39">
        <f t="shared" si="0"/>
        <v>3.5067614609162391E-2</v>
      </c>
      <c r="D77" s="131"/>
      <c r="E77" s="1" t="s">
        <v>294</v>
      </c>
      <c r="F77" s="1">
        <v>305</v>
      </c>
      <c r="G77" s="39">
        <f t="shared" si="1"/>
        <v>0.1009984585776607</v>
      </c>
    </row>
    <row r="78" spans="1:7" ht="15.75" customHeight="1" x14ac:dyDescent="0.45">
      <c r="A78" s="1" t="s">
        <v>295</v>
      </c>
      <c r="B78" s="1">
        <v>523.67999999999995</v>
      </c>
      <c r="C78" s="39">
        <f t="shared" si="0"/>
        <v>1.4832186496359541E-2</v>
      </c>
      <c r="D78" s="131"/>
      <c r="E78" s="1" t="s">
        <v>295</v>
      </c>
      <c r="F78" s="1">
        <v>275.7</v>
      </c>
      <c r="G78" s="39">
        <f t="shared" si="1"/>
        <v>4.1472066731396862E-2</v>
      </c>
    </row>
    <row r="79" spans="1:7" ht="15.75" customHeight="1" x14ac:dyDescent="0.45">
      <c r="A79" s="1" t="s">
        <v>296</v>
      </c>
      <c r="B79" s="1">
        <v>515.97</v>
      </c>
      <c r="C79" s="39">
        <f t="shared" si="0"/>
        <v>-3.4234848840315128E-2</v>
      </c>
      <c r="D79" s="131"/>
      <c r="E79" s="1" t="s">
        <v>296</v>
      </c>
      <c r="F79" s="1">
        <v>264.5</v>
      </c>
      <c r="G79" s="39">
        <f t="shared" si="1"/>
        <v>0.19380500934777978</v>
      </c>
    </row>
    <row r="80" spans="1:7" ht="15.75" customHeight="1" x14ac:dyDescent="0.45">
      <c r="A80" s="1" t="s">
        <v>297</v>
      </c>
      <c r="B80" s="1">
        <v>533.94000000000005</v>
      </c>
      <c r="C80" s="39">
        <f t="shared" si="0"/>
        <v>-4.3842487231220445E-2</v>
      </c>
      <c r="D80" s="131"/>
      <c r="E80" s="1" t="s">
        <v>297</v>
      </c>
      <c r="F80" s="1">
        <v>217.9</v>
      </c>
      <c r="G80" s="39">
        <f t="shared" si="1"/>
        <v>-2.9839465231734759E-2</v>
      </c>
    </row>
    <row r="81" spans="1:7" ht="15.75" customHeight="1" x14ac:dyDescent="0.45">
      <c r="A81" s="1" t="s">
        <v>298</v>
      </c>
      <c r="B81" s="1">
        <v>557.87</v>
      </c>
      <c r="C81" s="39">
        <f t="shared" si="0"/>
        <v>1.7761834676353284E-3</v>
      </c>
      <c r="D81" s="131"/>
      <c r="E81" s="1" t="s">
        <v>298</v>
      </c>
      <c r="F81" s="1">
        <v>224.5</v>
      </c>
      <c r="G81" s="39">
        <f t="shared" si="1"/>
        <v>8.6970883782359718E-2</v>
      </c>
    </row>
    <row r="82" spans="1:7" ht="15.75" customHeight="1" x14ac:dyDescent="0.45">
      <c r="A82" s="1" t="s">
        <v>299</v>
      </c>
      <c r="B82" s="1">
        <v>556.88</v>
      </c>
      <c r="C82" s="39">
        <f t="shared" si="0"/>
        <v>-3.4418505223956903E-3</v>
      </c>
      <c r="D82" s="131"/>
      <c r="E82" s="1" t="s">
        <v>299</v>
      </c>
      <c r="F82" s="1">
        <v>205.8</v>
      </c>
      <c r="G82" s="39">
        <f t="shared" si="1"/>
        <v>7.3584822782648385E-2</v>
      </c>
    </row>
    <row r="83" spans="1:7" ht="15.75" customHeight="1" x14ac:dyDescent="0.45">
      <c r="A83" s="1" t="s">
        <v>300</v>
      </c>
      <c r="B83" s="1">
        <v>558.79999999999995</v>
      </c>
      <c r="C83" s="39">
        <f t="shared" si="0"/>
        <v>-1.4479489035042198E-2</v>
      </c>
      <c r="D83" s="131"/>
      <c r="E83" s="1" t="s">
        <v>300</v>
      </c>
      <c r="F83" s="1">
        <v>191.2</v>
      </c>
      <c r="G83" s="39">
        <f t="shared" si="1"/>
        <v>-5.2469380769436871E-2</v>
      </c>
    </row>
    <row r="84" spans="1:7" ht="15.75" customHeight="1" x14ac:dyDescent="0.45">
      <c r="A84" s="1" t="s">
        <v>301</v>
      </c>
      <c r="B84" s="1">
        <v>566.95000000000005</v>
      </c>
      <c r="C84" s="39">
        <f t="shared" si="0"/>
        <v>2.2330557452074414E-2</v>
      </c>
      <c r="D84" s="131"/>
      <c r="E84" s="1" t="s">
        <v>301</v>
      </c>
      <c r="F84" s="1">
        <v>201.5</v>
      </c>
      <c r="G84" s="39">
        <f t="shared" si="1"/>
        <v>-0.21246640552656032</v>
      </c>
    </row>
    <row r="85" spans="1:7" ht="15.75" customHeight="1" x14ac:dyDescent="0.45">
      <c r="A85" s="1" t="s">
        <v>302</v>
      </c>
      <c r="B85" s="1">
        <v>554.42999999999995</v>
      </c>
      <c r="C85" s="39">
        <f t="shared" si="0"/>
        <v>4.5799672346015549E-2</v>
      </c>
      <c r="D85" s="131"/>
      <c r="E85" s="1" t="s">
        <v>302</v>
      </c>
      <c r="F85" s="1">
        <v>249.2</v>
      </c>
      <c r="G85" s="39">
        <f t="shared" si="1"/>
        <v>5.5695976971212646E-2</v>
      </c>
    </row>
    <row r="86" spans="1:7" ht="15.75" customHeight="1" x14ac:dyDescent="0.45">
      <c r="A86" s="1" t="s">
        <v>303</v>
      </c>
      <c r="B86" s="1">
        <v>529.61</v>
      </c>
      <c r="C86" s="39">
        <f t="shared" si="0"/>
        <v>3.1202492951537358E-2</v>
      </c>
      <c r="D86" s="131"/>
      <c r="E86" s="1" t="s">
        <v>303</v>
      </c>
      <c r="F86" s="1">
        <v>235.7</v>
      </c>
      <c r="G86" s="39">
        <f t="shared" si="1"/>
        <v>-7.5168080384032943E-2</v>
      </c>
    </row>
    <row r="87" spans="1:7" ht="15.75" customHeight="1" x14ac:dyDescent="0.45">
      <c r="A87" s="1" t="s">
        <v>304</v>
      </c>
      <c r="B87" s="1">
        <v>513.34</v>
      </c>
      <c r="C87" s="39">
        <f t="shared" si="0"/>
        <v>1.0771956330177487E-2</v>
      </c>
      <c r="D87" s="131"/>
      <c r="E87" s="1" t="s">
        <v>304</v>
      </c>
      <c r="F87" s="1">
        <v>254.1</v>
      </c>
      <c r="G87" s="39">
        <f t="shared" si="1"/>
        <v>-1.7554576011638838E-2</v>
      </c>
    </row>
    <row r="88" spans="1:7" ht="15.75" customHeight="1" x14ac:dyDescent="0.45">
      <c r="A88" s="1" t="s">
        <v>305</v>
      </c>
      <c r="B88" s="1">
        <v>507.84</v>
      </c>
      <c r="C88" s="39">
        <f t="shared" si="0"/>
        <v>3.5332566615304581E-2</v>
      </c>
      <c r="D88" s="131"/>
      <c r="E88" s="1" t="s">
        <v>305</v>
      </c>
      <c r="F88" s="1">
        <v>258.60000000000002</v>
      </c>
      <c r="G88" s="39">
        <f t="shared" si="1"/>
        <v>0.23422561282023116</v>
      </c>
    </row>
    <row r="89" spans="1:7" ht="15.75" customHeight="1" x14ac:dyDescent="0.45">
      <c r="A89" s="1" t="s">
        <v>306</v>
      </c>
      <c r="B89" s="1">
        <v>490.21</v>
      </c>
      <c r="C89" s="39">
        <f t="shared" si="0"/>
        <v>-2.6908716600051494E-2</v>
      </c>
      <c r="D89" s="131"/>
      <c r="E89" s="1" t="s">
        <v>306</v>
      </c>
      <c r="F89" s="1">
        <v>204.6</v>
      </c>
      <c r="G89" s="39">
        <f t="shared" si="1"/>
        <v>8.3551626366246842E-2</v>
      </c>
    </row>
    <row r="90" spans="1:7" ht="15.75" customHeight="1" x14ac:dyDescent="0.45">
      <c r="A90" s="1" t="s">
        <v>307</v>
      </c>
      <c r="B90" s="1">
        <v>503.58</v>
      </c>
      <c r="C90" s="39">
        <f t="shared" si="0"/>
        <v>1.0640628229886966E-2</v>
      </c>
      <c r="D90" s="131"/>
      <c r="E90" s="1" t="s">
        <v>307</v>
      </c>
      <c r="F90" s="1">
        <v>188.2</v>
      </c>
      <c r="G90" s="39">
        <f t="shared" si="1"/>
        <v>-0.20057408177191613</v>
      </c>
    </row>
    <row r="91" spans="1:7" ht="15.75" customHeight="1" x14ac:dyDescent="0.45">
      <c r="A91" s="1" t="s">
        <v>308</v>
      </c>
      <c r="B91" s="1">
        <v>498.25</v>
      </c>
      <c r="C91" s="39">
        <f t="shared" si="0"/>
        <v>1.8596330578659649E-2</v>
      </c>
      <c r="D91" s="131"/>
      <c r="E91" s="1" t="s">
        <v>308</v>
      </c>
      <c r="F91" s="1">
        <v>230</v>
      </c>
      <c r="G91" s="39">
        <f t="shared" si="1"/>
        <v>-6.4402642341248248E-2</v>
      </c>
    </row>
    <row r="92" spans="1:7" ht="15.75" customHeight="1" x14ac:dyDescent="0.45">
      <c r="A92" s="1" t="s">
        <v>309</v>
      </c>
      <c r="B92" s="1">
        <v>489.07</v>
      </c>
      <c r="C92" s="39">
        <f t="shared" si="0"/>
        <v>6.221435882152998E-2</v>
      </c>
      <c r="D92" s="131"/>
      <c r="E92" s="1" t="s">
        <v>309</v>
      </c>
      <c r="F92" s="1">
        <v>245.3</v>
      </c>
      <c r="G92" s="39">
        <f t="shared" si="1"/>
        <v>0.12581561830543062</v>
      </c>
    </row>
    <row r="93" spans="1:7" ht="15.75" customHeight="1" x14ac:dyDescent="0.45">
      <c r="A93" s="1" t="s">
        <v>310</v>
      </c>
      <c r="B93" s="1">
        <v>459.57</v>
      </c>
      <c r="C93" s="39">
        <f t="shared" si="0"/>
        <v>5.8704953361069729E-3</v>
      </c>
      <c r="D93" s="131"/>
      <c r="E93" s="1" t="s">
        <v>310</v>
      </c>
      <c r="F93" s="1">
        <v>216.3</v>
      </c>
      <c r="G93" s="39">
        <f t="shared" si="1"/>
        <v>-1.6051709010507901E-2</v>
      </c>
    </row>
    <row r="94" spans="1:7" ht="15.75" customHeight="1" x14ac:dyDescent="0.45">
      <c r="A94" s="1" t="s">
        <v>311</v>
      </c>
      <c r="B94" s="1">
        <v>456.88</v>
      </c>
      <c r="C94" s="39">
        <f t="shared" si="0"/>
        <v>-2.4073446011189587E-4</v>
      </c>
      <c r="D94" s="131"/>
      <c r="E94" s="1" t="s">
        <v>311</v>
      </c>
      <c r="F94" s="1">
        <v>219.8</v>
      </c>
      <c r="G94" s="39">
        <f t="shared" si="1"/>
        <v>-0.18323106117679511</v>
      </c>
    </row>
    <row r="95" spans="1:7" ht="15.75" customHeight="1" x14ac:dyDescent="0.45">
      <c r="A95" s="1" t="s">
        <v>312</v>
      </c>
      <c r="B95" s="1">
        <v>456.99</v>
      </c>
      <c r="C95" s="39">
        <f t="shared" si="0"/>
        <v>5.8483815566881335E-2</v>
      </c>
      <c r="D95" s="131"/>
      <c r="E95" s="1" t="s">
        <v>312</v>
      </c>
      <c r="F95" s="1">
        <v>264</v>
      </c>
      <c r="G95" s="39">
        <f t="shared" si="1"/>
        <v>-2.6480060867394308E-3</v>
      </c>
    </row>
    <row r="96" spans="1:7" ht="15.75" customHeight="1" x14ac:dyDescent="0.45">
      <c r="A96" s="1" t="s">
        <v>313</v>
      </c>
      <c r="B96" s="1">
        <v>431.03</v>
      </c>
      <c r="C96" s="39">
        <f t="shared" si="0"/>
        <v>-5.1522950403285805E-2</v>
      </c>
      <c r="D96" s="131"/>
      <c r="E96" s="1" t="s">
        <v>313</v>
      </c>
      <c r="F96" s="1">
        <v>264.7</v>
      </c>
      <c r="G96" s="39">
        <f t="shared" si="1"/>
        <v>-0.11041007984099127</v>
      </c>
    </row>
    <row r="97" spans="1:7" ht="15.75" customHeight="1" x14ac:dyDescent="0.45">
      <c r="A97" s="1" t="s">
        <v>314</v>
      </c>
      <c r="B97" s="1">
        <v>453.82</v>
      </c>
      <c r="C97" s="39">
        <f t="shared" si="0"/>
        <v>2.1335686719771933E-2</v>
      </c>
      <c r="D97" s="131"/>
      <c r="E97" s="1" t="s">
        <v>314</v>
      </c>
      <c r="F97" s="1">
        <v>295.60000000000002</v>
      </c>
      <c r="G97" s="39">
        <f t="shared" si="1"/>
        <v>6.3907236452314428E-2</v>
      </c>
    </row>
    <row r="98" spans="1:7" ht="15.75" customHeight="1" x14ac:dyDescent="0.45">
      <c r="A98" s="1" t="s">
        <v>315</v>
      </c>
      <c r="B98" s="1">
        <v>444.24</v>
      </c>
      <c r="C98" s="39">
        <f t="shared" si="0"/>
        <v>2.2836668893012328E-2</v>
      </c>
      <c r="D98" s="131"/>
      <c r="E98" s="1" t="s">
        <v>315</v>
      </c>
      <c r="F98" s="1">
        <v>277.3</v>
      </c>
      <c r="G98" s="39">
        <f t="shared" si="1"/>
        <v>0.27087495413539969</v>
      </c>
    </row>
    <row r="99" spans="1:7" ht="15.75" customHeight="1" x14ac:dyDescent="0.45">
      <c r="A99" s="1" t="s">
        <v>316</v>
      </c>
      <c r="B99" s="1">
        <v>434.21</v>
      </c>
      <c r="C99" s="39">
        <f t="shared" si="0"/>
        <v>-3.1501882821232561E-3</v>
      </c>
      <c r="D99" s="131"/>
      <c r="E99" s="1" t="s">
        <v>316</v>
      </c>
      <c r="F99" s="1">
        <v>211.5</v>
      </c>
      <c r="G99" s="39">
        <f t="shared" si="1"/>
        <v>-5.9650708695976294E-2</v>
      </c>
    </row>
    <row r="100" spans="1:7" ht="15.75" customHeight="1" x14ac:dyDescent="0.45">
      <c r="A100" s="1" t="s">
        <v>317</v>
      </c>
      <c r="B100" s="1">
        <v>435.58</v>
      </c>
      <c r="C100" s="39">
        <f t="shared" si="0"/>
        <v>1.3242165702009451E-2</v>
      </c>
      <c r="D100" s="131"/>
      <c r="E100" s="1" t="s">
        <v>317</v>
      </c>
      <c r="F100" s="1">
        <v>224.5</v>
      </c>
      <c r="G100" s="39">
        <f t="shared" si="1"/>
        <v>0.28991172777905</v>
      </c>
    </row>
    <row r="101" spans="1:7" ht="15.75" customHeight="1" x14ac:dyDescent="0.45">
      <c r="A101" s="1" t="s">
        <v>318</v>
      </c>
      <c r="B101" s="1">
        <v>429.85</v>
      </c>
      <c r="C101" s="39"/>
      <c r="D101" s="131"/>
      <c r="E101" s="1" t="s">
        <v>318</v>
      </c>
      <c r="F101" s="1">
        <v>168</v>
      </c>
      <c r="G101" s="39" t="e">
        <f t="shared" si="1"/>
        <v>#DIV/0!</v>
      </c>
    </row>
    <row r="102" spans="1:7" ht="15.75" customHeight="1" x14ac:dyDescent="0.45">
      <c r="A102" s="131"/>
      <c r="B102" s="131"/>
      <c r="C102" s="39"/>
      <c r="D102" s="131"/>
      <c r="E102" s="131"/>
      <c r="F102" s="131"/>
      <c r="G102" s="39"/>
    </row>
    <row r="103" spans="1:7" ht="15.75" customHeight="1" x14ac:dyDescent="0.45">
      <c r="A103" s="131"/>
      <c r="B103" s="131"/>
      <c r="C103" s="39"/>
      <c r="D103" s="131"/>
      <c r="E103" s="131"/>
      <c r="F103" s="131"/>
      <c r="G103" s="39"/>
    </row>
    <row r="104" spans="1:7" ht="15.75" customHeight="1" x14ac:dyDescent="0.45">
      <c r="A104" s="131"/>
      <c r="B104" s="131"/>
      <c r="C104" s="39"/>
      <c r="D104" s="131"/>
      <c r="E104" s="131"/>
      <c r="F104" s="131"/>
      <c r="G104" s="39"/>
    </row>
    <row r="105" spans="1:7" ht="15.75" customHeight="1" x14ac:dyDescent="0.45">
      <c r="A105" s="131"/>
      <c r="B105" s="131"/>
      <c r="C105" s="39"/>
      <c r="D105" s="131"/>
      <c r="E105" s="131"/>
      <c r="F105" s="131"/>
      <c r="G105" s="39"/>
    </row>
    <row r="106" spans="1:7" ht="15.75" customHeight="1" x14ac:dyDescent="0.45">
      <c r="A106" s="131"/>
      <c r="B106" s="131"/>
      <c r="C106" s="39"/>
      <c r="D106" s="131"/>
      <c r="E106" s="131"/>
      <c r="F106" s="131"/>
      <c r="G106" s="39"/>
    </row>
    <row r="107" spans="1:7" ht="15.75" customHeight="1" x14ac:dyDescent="0.45">
      <c r="A107" s="131"/>
      <c r="B107" s="131"/>
      <c r="C107" s="39"/>
      <c r="D107" s="131"/>
      <c r="E107" s="131"/>
      <c r="F107" s="131"/>
      <c r="G107" s="39"/>
    </row>
    <row r="108" spans="1:7" ht="15.75" customHeight="1" x14ac:dyDescent="0.45">
      <c r="A108" s="131"/>
      <c r="B108" s="131"/>
      <c r="C108" s="39"/>
      <c r="D108" s="131"/>
      <c r="E108" s="131"/>
      <c r="F108" s="131"/>
      <c r="G108" s="39"/>
    </row>
    <row r="109" spans="1:7" ht="15.75" customHeight="1" x14ac:dyDescent="0.45">
      <c r="A109" s="131"/>
      <c r="B109" s="131"/>
      <c r="C109" s="39"/>
      <c r="D109" s="131"/>
      <c r="E109" s="131"/>
      <c r="F109" s="131"/>
      <c r="G109" s="39"/>
    </row>
    <row r="110" spans="1:7" ht="15.75" customHeight="1" x14ac:dyDescent="0.45">
      <c r="A110" s="131"/>
      <c r="B110" s="131"/>
      <c r="C110" s="39"/>
      <c r="D110" s="131"/>
      <c r="E110" s="131"/>
      <c r="F110" s="131"/>
      <c r="G110" s="39"/>
    </row>
    <row r="111" spans="1:7" ht="15.75" customHeight="1" x14ac:dyDescent="0.45">
      <c r="A111" s="131"/>
      <c r="B111" s="131"/>
      <c r="C111" s="39"/>
      <c r="D111" s="131"/>
      <c r="E111" s="131"/>
      <c r="F111" s="131"/>
      <c r="G111" s="39"/>
    </row>
    <row r="112" spans="1:7" ht="15.75" customHeight="1" x14ac:dyDescent="0.45">
      <c r="A112" s="131"/>
      <c r="B112" s="131"/>
      <c r="C112" s="39"/>
      <c r="D112" s="131"/>
      <c r="E112" s="131"/>
      <c r="F112" s="131"/>
      <c r="G112" s="39"/>
    </row>
    <row r="113" spans="3:7" ht="15.75" customHeight="1" x14ac:dyDescent="0.45">
      <c r="C113" s="39"/>
      <c r="D113" s="131"/>
      <c r="E113" s="131"/>
      <c r="F113" s="131"/>
      <c r="G113" s="39"/>
    </row>
    <row r="114" spans="3:7" ht="15.75" customHeight="1" x14ac:dyDescent="0.45">
      <c r="C114" s="39"/>
      <c r="D114" s="131"/>
      <c r="E114" s="131"/>
      <c r="F114" s="131"/>
      <c r="G114" s="39"/>
    </row>
    <row r="115" spans="3:7" ht="15.75" customHeight="1" x14ac:dyDescent="0.45">
      <c r="C115" s="39"/>
      <c r="D115" s="131"/>
      <c r="E115" s="131"/>
      <c r="F115" s="131"/>
      <c r="G115" s="39"/>
    </row>
    <row r="116" spans="3:7" ht="15.75" customHeight="1" x14ac:dyDescent="0.45">
      <c r="C116" s="39"/>
      <c r="D116" s="131"/>
      <c r="E116" s="131"/>
      <c r="F116" s="131"/>
      <c r="G116" s="39"/>
    </row>
    <row r="117" spans="3:7" ht="15.75" customHeight="1" x14ac:dyDescent="0.45">
      <c r="C117" s="39"/>
      <c r="D117" s="131"/>
      <c r="E117" s="131"/>
      <c r="F117" s="131"/>
      <c r="G117" s="39"/>
    </row>
    <row r="118" spans="3:7" ht="15.75" customHeight="1" x14ac:dyDescent="0.45">
      <c r="C118" s="39"/>
      <c r="D118" s="131"/>
      <c r="E118" s="131"/>
      <c r="F118" s="131"/>
      <c r="G118" s="39"/>
    </row>
    <row r="119" spans="3:7" ht="15.75" customHeight="1" x14ac:dyDescent="0.45">
      <c r="C119" s="39"/>
      <c r="D119" s="131"/>
      <c r="E119" s="131"/>
      <c r="F119" s="131"/>
      <c r="G119" s="39"/>
    </row>
    <row r="120" spans="3:7" ht="15.75" customHeight="1" x14ac:dyDescent="0.45">
      <c r="C120" s="39"/>
      <c r="D120" s="131"/>
      <c r="E120" s="131"/>
      <c r="F120" s="131"/>
      <c r="G120" s="39"/>
    </row>
    <row r="121" spans="3:7" ht="15.75" customHeight="1" x14ac:dyDescent="0.45">
      <c r="C121" s="39"/>
      <c r="D121" s="131"/>
      <c r="E121" s="131"/>
      <c r="F121" s="131"/>
      <c r="G121" s="39"/>
    </row>
    <row r="122" spans="3:7" ht="15.75" customHeight="1" x14ac:dyDescent="0.45">
      <c r="C122" s="39"/>
      <c r="D122" s="131"/>
      <c r="E122" s="131"/>
      <c r="F122" s="131"/>
      <c r="G122" s="39"/>
    </row>
    <row r="123" spans="3:7" ht="15.75" customHeight="1" x14ac:dyDescent="0.45">
      <c r="C123" s="39"/>
      <c r="D123" s="131"/>
      <c r="E123" s="131"/>
      <c r="F123" s="131"/>
      <c r="G123" s="39"/>
    </row>
    <row r="124" spans="3:7" ht="15.75" customHeight="1" x14ac:dyDescent="0.45">
      <c r="C124" s="39"/>
      <c r="D124" s="131"/>
      <c r="E124" s="131"/>
      <c r="F124" s="131"/>
      <c r="G124" s="39"/>
    </row>
    <row r="125" spans="3:7" ht="15.75" customHeight="1" x14ac:dyDescent="0.45">
      <c r="C125" s="39"/>
      <c r="D125" s="131"/>
      <c r="E125" s="131"/>
      <c r="F125" s="131"/>
      <c r="G125" s="39"/>
    </row>
    <row r="126" spans="3:7" ht="15.75" customHeight="1" x14ac:dyDescent="0.45">
      <c r="C126" s="39"/>
      <c r="D126" s="131"/>
      <c r="E126" s="131"/>
      <c r="F126" s="131"/>
      <c r="G126" s="39"/>
    </row>
    <row r="127" spans="3:7" ht="15.75" customHeight="1" x14ac:dyDescent="0.45">
      <c r="C127" s="39"/>
      <c r="D127" s="131"/>
      <c r="E127" s="131"/>
      <c r="F127" s="131"/>
      <c r="G127" s="39"/>
    </row>
    <row r="128" spans="3:7" ht="15.75" customHeight="1" x14ac:dyDescent="0.45">
      <c r="C128" s="39"/>
      <c r="D128" s="131"/>
      <c r="E128" s="131"/>
      <c r="F128" s="131"/>
      <c r="G128" s="39"/>
    </row>
    <row r="129" spans="3:7" ht="15.75" customHeight="1" x14ac:dyDescent="0.45">
      <c r="C129" s="39"/>
      <c r="D129" s="131"/>
      <c r="E129" s="131"/>
      <c r="F129" s="131"/>
      <c r="G129" s="39"/>
    </row>
    <row r="130" spans="3:7" ht="15.75" customHeight="1" x14ac:dyDescent="0.45">
      <c r="C130" s="39"/>
      <c r="D130" s="131"/>
      <c r="E130" s="131"/>
      <c r="F130" s="131"/>
      <c r="G130" s="39"/>
    </row>
    <row r="131" spans="3:7" ht="15.75" customHeight="1" x14ac:dyDescent="0.45">
      <c r="C131" s="39"/>
      <c r="D131" s="131"/>
      <c r="E131" s="131"/>
      <c r="F131" s="131"/>
      <c r="G131" s="39"/>
    </row>
    <row r="132" spans="3:7" ht="15.75" customHeight="1" x14ac:dyDescent="0.45">
      <c r="C132" s="39"/>
      <c r="D132" s="131"/>
      <c r="E132" s="131"/>
      <c r="F132" s="131"/>
      <c r="G132" s="39"/>
    </row>
    <row r="133" spans="3:7" ht="15.75" customHeight="1" x14ac:dyDescent="0.45">
      <c r="C133" s="39"/>
      <c r="D133" s="131"/>
      <c r="E133" s="131"/>
      <c r="F133" s="131"/>
      <c r="G133" s="39"/>
    </row>
    <row r="134" spans="3:7" ht="15.75" customHeight="1" x14ac:dyDescent="0.45">
      <c r="C134" s="39"/>
      <c r="D134" s="131"/>
      <c r="E134" s="131"/>
      <c r="F134" s="131"/>
      <c r="G134" s="39"/>
    </row>
    <row r="135" spans="3:7" ht="15.75" customHeight="1" x14ac:dyDescent="0.45">
      <c r="C135" s="39"/>
      <c r="D135" s="131"/>
      <c r="E135" s="131"/>
      <c r="F135" s="131"/>
      <c r="G135" s="39"/>
    </row>
    <row r="136" spans="3:7" ht="15.75" customHeight="1" x14ac:dyDescent="0.45">
      <c r="C136" s="39"/>
      <c r="D136" s="131"/>
      <c r="E136" s="131"/>
      <c r="F136" s="131"/>
      <c r="G136" s="39"/>
    </row>
    <row r="137" spans="3:7" ht="15.75" customHeight="1" x14ac:dyDescent="0.45">
      <c r="C137" s="39"/>
      <c r="D137" s="131"/>
      <c r="E137" s="131"/>
      <c r="F137" s="131"/>
      <c r="G137" s="39"/>
    </row>
    <row r="138" spans="3:7" ht="15.75" customHeight="1" x14ac:dyDescent="0.45">
      <c r="C138" s="39"/>
      <c r="D138" s="131"/>
      <c r="E138" s="131"/>
      <c r="F138" s="131"/>
      <c r="G138" s="39"/>
    </row>
    <row r="139" spans="3:7" ht="15.75" customHeight="1" x14ac:dyDescent="0.45">
      <c r="C139" s="39"/>
      <c r="D139" s="131"/>
      <c r="E139" s="131"/>
      <c r="F139" s="131"/>
      <c r="G139" s="39"/>
    </row>
    <row r="140" spans="3:7" ht="15.75" customHeight="1" x14ac:dyDescent="0.45">
      <c r="C140" s="39"/>
      <c r="D140" s="131"/>
      <c r="E140" s="131"/>
      <c r="F140" s="131"/>
      <c r="G140" s="39"/>
    </row>
    <row r="141" spans="3:7" ht="15.75" customHeight="1" x14ac:dyDescent="0.45">
      <c r="C141" s="39"/>
      <c r="D141" s="131"/>
      <c r="E141" s="131"/>
      <c r="F141" s="131"/>
      <c r="G141" s="39"/>
    </row>
    <row r="142" spans="3:7" ht="15.75" customHeight="1" x14ac:dyDescent="0.45">
      <c r="C142" s="39"/>
      <c r="D142" s="131"/>
      <c r="E142" s="131"/>
      <c r="F142" s="131"/>
      <c r="G142" s="39"/>
    </row>
    <row r="143" spans="3:7" ht="15.75" customHeight="1" x14ac:dyDescent="0.45">
      <c r="C143" s="39"/>
      <c r="D143" s="131"/>
      <c r="E143" s="131"/>
      <c r="F143" s="131"/>
      <c r="G143" s="39"/>
    </row>
    <row r="144" spans="3:7" ht="15.75" customHeight="1" x14ac:dyDescent="0.45">
      <c r="C144" s="39"/>
      <c r="D144" s="131"/>
      <c r="E144" s="131"/>
      <c r="F144" s="131"/>
      <c r="G144" s="39"/>
    </row>
    <row r="145" spans="3:7" ht="15.75" customHeight="1" x14ac:dyDescent="0.45">
      <c r="C145" s="39"/>
      <c r="D145" s="131"/>
      <c r="E145" s="131"/>
      <c r="F145" s="131"/>
      <c r="G145" s="39"/>
    </row>
    <row r="146" spans="3:7" ht="15.75" customHeight="1" x14ac:dyDescent="0.45">
      <c r="C146" s="39"/>
      <c r="D146" s="131"/>
      <c r="E146" s="131"/>
      <c r="F146" s="131"/>
      <c r="G146" s="39"/>
    </row>
    <row r="147" spans="3:7" ht="15.75" customHeight="1" x14ac:dyDescent="0.45">
      <c r="C147" s="39"/>
      <c r="D147" s="131"/>
      <c r="E147" s="131"/>
      <c r="F147" s="131"/>
      <c r="G147" s="39"/>
    </row>
    <row r="148" spans="3:7" ht="15.75" customHeight="1" x14ac:dyDescent="0.45">
      <c r="C148" s="39"/>
      <c r="D148" s="131"/>
      <c r="E148" s="131"/>
      <c r="F148" s="131"/>
      <c r="G148" s="39"/>
    </row>
    <row r="149" spans="3:7" ht="15.75" customHeight="1" x14ac:dyDescent="0.45">
      <c r="C149" s="39"/>
      <c r="D149" s="131"/>
      <c r="E149" s="131"/>
      <c r="F149" s="131"/>
      <c r="G149" s="39"/>
    </row>
    <row r="150" spans="3:7" ht="15.75" customHeight="1" x14ac:dyDescent="0.45">
      <c r="C150" s="39"/>
      <c r="D150" s="131"/>
      <c r="E150" s="131"/>
      <c r="F150" s="131"/>
      <c r="G150" s="39"/>
    </row>
    <row r="151" spans="3:7" ht="15.75" customHeight="1" x14ac:dyDescent="0.45">
      <c r="C151" s="39"/>
      <c r="D151" s="131"/>
      <c r="E151" s="131"/>
      <c r="F151" s="131"/>
      <c r="G151" s="39"/>
    </row>
    <row r="152" spans="3:7" ht="15.75" customHeight="1" x14ac:dyDescent="0.45">
      <c r="C152" s="39"/>
      <c r="D152" s="131"/>
      <c r="E152" s="131"/>
      <c r="F152" s="131"/>
      <c r="G152" s="39"/>
    </row>
    <row r="153" spans="3:7" ht="15.75" customHeight="1" x14ac:dyDescent="0.45">
      <c r="C153" s="39"/>
      <c r="D153" s="131"/>
      <c r="E153" s="131"/>
      <c r="F153" s="131"/>
      <c r="G153" s="39"/>
    </row>
    <row r="154" spans="3:7" ht="15.75" customHeight="1" x14ac:dyDescent="0.45">
      <c r="C154" s="39"/>
      <c r="D154" s="131"/>
      <c r="E154" s="131"/>
      <c r="F154" s="131"/>
      <c r="G154" s="39"/>
    </row>
    <row r="155" spans="3:7" ht="15.75" customHeight="1" x14ac:dyDescent="0.45">
      <c r="C155" s="39"/>
      <c r="D155" s="131"/>
      <c r="E155" s="131"/>
      <c r="F155" s="131"/>
      <c r="G155" s="39"/>
    </row>
    <row r="156" spans="3:7" ht="15.75" customHeight="1" x14ac:dyDescent="0.45">
      <c r="C156" s="39"/>
      <c r="D156" s="131"/>
      <c r="E156" s="131"/>
      <c r="F156" s="131"/>
      <c r="G156" s="39"/>
    </row>
    <row r="157" spans="3:7" ht="15.75" customHeight="1" x14ac:dyDescent="0.45">
      <c r="C157" s="39"/>
      <c r="D157" s="131"/>
      <c r="E157" s="131"/>
      <c r="F157" s="131"/>
      <c r="G157" s="39"/>
    </row>
    <row r="158" spans="3:7" ht="15.75" customHeight="1" x14ac:dyDescent="0.45">
      <c r="C158" s="39"/>
      <c r="D158" s="131"/>
      <c r="E158" s="131"/>
      <c r="F158" s="131"/>
      <c r="G158" s="39"/>
    </row>
    <row r="159" spans="3:7" ht="15.75" customHeight="1" x14ac:dyDescent="0.45">
      <c r="C159" s="39"/>
      <c r="D159" s="131"/>
      <c r="E159" s="131"/>
      <c r="F159" s="131"/>
      <c r="G159" s="39"/>
    </row>
    <row r="160" spans="3:7" ht="15.75" customHeight="1" x14ac:dyDescent="0.45">
      <c r="C160" s="39"/>
      <c r="D160" s="131"/>
      <c r="E160" s="131"/>
      <c r="F160" s="131"/>
      <c r="G160" s="39"/>
    </row>
    <row r="161" spans="3:7" ht="15.75" customHeight="1" x14ac:dyDescent="0.45">
      <c r="C161" s="39"/>
      <c r="D161" s="131"/>
      <c r="E161" s="131"/>
      <c r="F161" s="131"/>
      <c r="G161" s="39"/>
    </row>
    <row r="162" spans="3:7" ht="15.75" customHeight="1" x14ac:dyDescent="0.45">
      <c r="C162" s="39"/>
      <c r="D162" s="131"/>
      <c r="E162" s="131"/>
      <c r="F162" s="131"/>
      <c r="G162" s="39"/>
    </row>
    <row r="163" spans="3:7" ht="15.75" customHeight="1" x14ac:dyDescent="0.45">
      <c r="C163" s="39"/>
      <c r="D163" s="131"/>
      <c r="E163" s="131"/>
      <c r="F163" s="131"/>
      <c r="G163" s="39"/>
    </row>
    <row r="164" spans="3:7" ht="15.75" customHeight="1" x14ac:dyDescent="0.45">
      <c r="C164" s="39"/>
      <c r="D164" s="131"/>
      <c r="E164" s="131"/>
      <c r="F164" s="131"/>
      <c r="G164" s="39"/>
    </row>
    <row r="165" spans="3:7" ht="15.75" customHeight="1" x14ac:dyDescent="0.45">
      <c r="C165" s="39"/>
      <c r="D165" s="131"/>
      <c r="E165" s="131"/>
      <c r="F165" s="131"/>
      <c r="G165" s="39"/>
    </row>
    <row r="166" spans="3:7" ht="15.75" customHeight="1" x14ac:dyDescent="0.45">
      <c r="C166" s="39"/>
      <c r="D166" s="131"/>
      <c r="E166" s="131"/>
      <c r="F166" s="131"/>
      <c r="G166" s="39"/>
    </row>
    <row r="167" spans="3:7" ht="15.75" customHeight="1" x14ac:dyDescent="0.45">
      <c r="C167" s="39"/>
      <c r="D167" s="131"/>
      <c r="E167" s="131"/>
      <c r="F167" s="131"/>
      <c r="G167" s="39"/>
    </row>
    <row r="168" spans="3:7" ht="15.75" customHeight="1" x14ac:dyDescent="0.45">
      <c r="C168" s="39"/>
      <c r="D168" s="131"/>
      <c r="E168" s="131"/>
      <c r="F168" s="131"/>
      <c r="G168" s="39"/>
    </row>
    <row r="169" spans="3:7" ht="15.75" customHeight="1" x14ac:dyDescent="0.45">
      <c r="C169" s="39"/>
      <c r="D169" s="131"/>
      <c r="E169" s="131"/>
      <c r="F169" s="131"/>
      <c r="G169" s="39"/>
    </row>
    <row r="170" spans="3:7" ht="15.75" customHeight="1" x14ac:dyDescent="0.45">
      <c r="C170" s="39"/>
      <c r="D170" s="131"/>
      <c r="E170" s="131"/>
      <c r="F170" s="131"/>
      <c r="G170" s="39"/>
    </row>
    <row r="171" spans="3:7" ht="15.75" customHeight="1" x14ac:dyDescent="0.45">
      <c r="C171" s="39"/>
      <c r="D171" s="131"/>
      <c r="E171" s="131"/>
      <c r="F171" s="131"/>
      <c r="G171" s="39"/>
    </row>
    <row r="172" spans="3:7" ht="15.75" customHeight="1" x14ac:dyDescent="0.45">
      <c r="C172" s="39"/>
      <c r="D172" s="131"/>
      <c r="E172" s="131"/>
      <c r="F172" s="131"/>
      <c r="G172" s="39"/>
    </row>
    <row r="173" spans="3:7" ht="15.75" customHeight="1" x14ac:dyDescent="0.45">
      <c r="C173" s="39"/>
      <c r="D173" s="131"/>
      <c r="E173" s="131"/>
      <c r="F173" s="131"/>
      <c r="G173" s="39"/>
    </row>
    <row r="174" spans="3:7" ht="15.75" customHeight="1" x14ac:dyDescent="0.45">
      <c r="C174" s="39"/>
      <c r="D174" s="131"/>
      <c r="E174" s="131"/>
      <c r="F174" s="131"/>
      <c r="G174" s="39"/>
    </row>
    <row r="175" spans="3:7" ht="15.75" customHeight="1" x14ac:dyDescent="0.45">
      <c r="C175" s="39"/>
      <c r="D175" s="131"/>
      <c r="E175" s="131"/>
      <c r="F175" s="131"/>
      <c r="G175" s="39"/>
    </row>
    <row r="176" spans="3:7" ht="15.75" customHeight="1" x14ac:dyDescent="0.45">
      <c r="C176" s="39"/>
      <c r="D176" s="131"/>
      <c r="E176" s="131"/>
      <c r="F176" s="131"/>
      <c r="G176" s="39"/>
    </row>
    <row r="177" spans="3:7" ht="15.75" customHeight="1" x14ac:dyDescent="0.45">
      <c r="C177" s="39"/>
      <c r="D177" s="131"/>
      <c r="E177" s="131"/>
      <c r="F177" s="131"/>
      <c r="G177" s="39"/>
    </row>
    <row r="178" spans="3:7" ht="15.75" customHeight="1" x14ac:dyDescent="0.45">
      <c r="C178" s="39"/>
      <c r="D178" s="131"/>
      <c r="E178" s="131"/>
      <c r="F178" s="131"/>
      <c r="G178" s="39"/>
    </row>
    <row r="179" spans="3:7" ht="15.75" customHeight="1" x14ac:dyDescent="0.45">
      <c r="C179" s="39"/>
      <c r="D179" s="131"/>
      <c r="E179" s="131"/>
      <c r="F179" s="131"/>
      <c r="G179" s="39"/>
    </row>
    <row r="180" spans="3:7" ht="15.75" customHeight="1" x14ac:dyDescent="0.45">
      <c r="C180" s="39"/>
      <c r="D180" s="131"/>
      <c r="E180" s="131"/>
      <c r="F180" s="131"/>
      <c r="G180" s="39"/>
    </row>
    <row r="181" spans="3:7" ht="15.75" customHeight="1" x14ac:dyDescent="0.45">
      <c r="C181" s="39"/>
      <c r="D181" s="131"/>
      <c r="E181" s="131"/>
      <c r="F181" s="131"/>
      <c r="G181" s="39"/>
    </row>
    <row r="182" spans="3:7" ht="15.75" customHeight="1" x14ac:dyDescent="0.45">
      <c r="C182" s="39"/>
      <c r="D182" s="131"/>
      <c r="E182" s="131"/>
      <c r="F182" s="131"/>
      <c r="G182" s="39"/>
    </row>
    <row r="183" spans="3:7" ht="15.75" customHeight="1" x14ac:dyDescent="0.45">
      <c r="C183" s="39"/>
      <c r="D183" s="131"/>
      <c r="E183" s="131"/>
      <c r="F183" s="131"/>
      <c r="G183" s="39"/>
    </row>
    <row r="184" spans="3:7" ht="15.75" customHeight="1" x14ac:dyDescent="0.45">
      <c r="C184" s="39"/>
      <c r="D184" s="131"/>
      <c r="E184" s="131"/>
      <c r="F184" s="131"/>
      <c r="G184" s="39"/>
    </row>
    <row r="185" spans="3:7" ht="15.75" customHeight="1" x14ac:dyDescent="0.45">
      <c r="C185" s="39"/>
      <c r="D185" s="131"/>
      <c r="E185" s="131"/>
      <c r="F185" s="131"/>
      <c r="G185" s="39"/>
    </row>
    <row r="186" spans="3:7" ht="15.75" customHeight="1" x14ac:dyDescent="0.45">
      <c r="C186" s="39"/>
      <c r="D186" s="131"/>
      <c r="E186" s="131"/>
      <c r="F186" s="131"/>
      <c r="G186" s="39"/>
    </row>
    <row r="187" spans="3:7" ht="15.75" customHeight="1" x14ac:dyDescent="0.45">
      <c r="C187" s="39"/>
      <c r="D187" s="131"/>
      <c r="E187" s="131"/>
      <c r="F187" s="131"/>
      <c r="G187" s="39"/>
    </row>
    <row r="188" spans="3:7" ht="15.75" customHeight="1" x14ac:dyDescent="0.45">
      <c r="C188" s="39"/>
      <c r="D188" s="131"/>
      <c r="E188" s="131"/>
      <c r="F188" s="131"/>
      <c r="G188" s="39"/>
    </row>
    <row r="189" spans="3:7" ht="15.75" customHeight="1" x14ac:dyDescent="0.45">
      <c r="C189" s="39"/>
      <c r="D189" s="131"/>
      <c r="E189" s="131"/>
      <c r="F189" s="131"/>
      <c r="G189" s="39"/>
    </row>
    <row r="190" spans="3:7" ht="15.75" customHeight="1" x14ac:dyDescent="0.45">
      <c r="C190" s="39"/>
      <c r="D190" s="131"/>
      <c r="E190" s="131"/>
      <c r="F190" s="131"/>
      <c r="G190" s="39"/>
    </row>
    <row r="191" spans="3:7" ht="15.75" customHeight="1" x14ac:dyDescent="0.45">
      <c r="C191" s="39"/>
      <c r="D191" s="131"/>
      <c r="E191" s="131"/>
      <c r="F191" s="131"/>
      <c r="G191" s="39"/>
    </row>
    <row r="192" spans="3:7" ht="15.75" customHeight="1" x14ac:dyDescent="0.45">
      <c r="C192" s="39"/>
      <c r="D192" s="131"/>
      <c r="E192" s="131"/>
      <c r="F192" s="131"/>
      <c r="G192" s="39"/>
    </row>
    <row r="193" spans="3:7" ht="15.75" customHeight="1" x14ac:dyDescent="0.45">
      <c r="C193" s="39"/>
      <c r="D193" s="131"/>
      <c r="E193" s="131"/>
      <c r="F193" s="131"/>
      <c r="G193" s="39"/>
    </row>
    <row r="194" spans="3:7" ht="15.75" customHeight="1" x14ac:dyDescent="0.45">
      <c r="C194" s="39"/>
      <c r="D194" s="131"/>
      <c r="E194" s="131"/>
      <c r="F194" s="131"/>
      <c r="G194" s="39"/>
    </row>
    <row r="195" spans="3:7" ht="15.75" customHeight="1" x14ac:dyDescent="0.45">
      <c r="C195" s="39"/>
      <c r="D195" s="131"/>
      <c r="E195" s="131"/>
      <c r="F195" s="131"/>
      <c r="G195" s="39"/>
    </row>
    <row r="196" spans="3:7" ht="15.75" customHeight="1" x14ac:dyDescent="0.45">
      <c r="C196" s="39"/>
      <c r="D196" s="131"/>
      <c r="E196" s="131"/>
      <c r="F196" s="131"/>
      <c r="G196" s="39"/>
    </row>
    <row r="197" spans="3:7" ht="15.75" customHeight="1" x14ac:dyDescent="0.45">
      <c r="C197" s="39"/>
      <c r="D197" s="131"/>
      <c r="E197" s="131"/>
      <c r="F197" s="131"/>
      <c r="G197" s="39"/>
    </row>
    <row r="198" spans="3:7" ht="15.75" customHeight="1" x14ac:dyDescent="0.45">
      <c r="C198" s="39"/>
      <c r="D198" s="131"/>
      <c r="E198" s="131"/>
      <c r="F198" s="131"/>
      <c r="G198" s="39"/>
    </row>
    <row r="199" spans="3:7" ht="15.75" customHeight="1" x14ac:dyDescent="0.45">
      <c r="C199" s="39"/>
      <c r="D199" s="131"/>
      <c r="E199" s="131"/>
      <c r="F199" s="131"/>
      <c r="G199" s="39"/>
    </row>
    <row r="200" spans="3:7" ht="15.75" customHeight="1" x14ac:dyDescent="0.45">
      <c r="C200" s="39"/>
      <c r="D200" s="131"/>
      <c r="E200" s="131"/>
      <c r="F200" s="131"/>
      <c r="G200" s="39"/>
    </row>
    <row r="201" spans="3:7" ht="15.75" customHeight="1" x14ac:dyDescent="0.45">
      <c r="C201" s="39"/>
      <c r="D201" s="131"/>
      <c r="E201" s="131"/>
      <c r="F201" s="131"/>
      <c r="G201" s="39"/>
    </row>
    <row r="202" spans="3:7" ht="15.75" customHeight="1" x14ac:dyDescent="0.45">
      <c r="C202" s="39"/>
      <c r="D202" s="131"/>
      <c r="E202" s="131"/>
      <c r="F202" s="131"/>
      <c r="G202" s="39"/>
    </row>
    <row r="203" spans="3:7" ht="15.75" customHeight="1" x14ac:dyDescent="0.45">
      <c r="C203" s="39"/>
      <c r="D203" s="131"/>
      <c r="E203" s="131"/>
      <c r="F203" s="131"/>
      <c r="G203" s="39"/>
    </row>
    <row r="204" spans="3:7" ht="15.75" customHeight="1" x14ac:dyDescent="0.45">
      <c r="C204" s="39"/>
      <c r="D204" s="131"/>
      <c r="E204" s="131"/>
      <c r="F204" s="131"/>
      <c r="G204" s="39"/>
    </row>
    <row r="205" spans="3:7" ht="15.75" customHeight="1" x14ac:dyDescent="0.45">
      <c r="C205" s="39"/>
      <c r="D205" s="131"/>
      <c r="E205" s="131"/>
      <c r="F205" s="131"/>
      <c r="G205" s="39"/>
    </row>
    <row r="206" spans="3:7" ht="15.75" customHeight="1" x14ac:dyDescent="0.45">
      <c r="C206" s="39"/>
      <c r="D206" s="131"/>
      <c r="E206" s="131"/>
      <c r="F206" s="131"/>
      <c r="G206" s="39"/>
    </row>
    <row r="207" spans="3:7" ht="15.75" customHeight="1" x14ac:dyDescent="0.45">
      <c r="C207" s="39"/>
      <c r="D207" s="131"/>
      <c r="E207" s="131"/>
      <c r="F207" s="131"/>
      <c r="G207" s="39"/>
    </row>
    <row r="208" spans="3:7" ht="15.75" customHeight="1" x14ac:dyDescent="0.45">
      <c r="C208" s="39"/>
      <c r="D208" s="131"/>
      <c r="E208" s="131"/>
      <c r="F208" s="131"/>
      <c r="G208" s="39"/>
    </row>
    <row r="209" spans="3:7" ht="15.75" customHeight="1" x14ac:dyDescent="0.45">
      <c r="C209" s="39"/>
      <c r="D209" s="131"/>
      <c r="E209" s="131"/>
      <c r="F209" s="131"/>
      <c r="G209" s="39"/>
    </row>
    <row r="210" spans="3:7" ht="15.75" customHeight="1" x14ac:dyDescent="0.45">
      <c r="C210" s="39"/>
      <c r="D210" s="131"/>
      <c r="E210" s="131"/>
      <c r="F210" s="131"/>
      <c r="G210" s="39"/>
    </row>
    <row r="211" spans="3:7" ht="15.75" customHeight="1" x14ac:dyDescent="0.45">
      <c r="C211" s="39"/>
      <c r="D211" s="131"/>
      <c r="E211" s="131"/>
      <c r="F211" s="131"/>
      <c r="G211" s="39"/>
    </row>
    <row r="212" spans="3:7" ht="15.75" customHeight="1" x14ac:dyDescent="0.45">
      <c r="C212" s="39"/>
      <c r="D212" s="131"/>
      <c r="E212" s="131"/>
      <c r="F212" s="131"/>
      <c r="G212" s="39"/>
    </row>
    <row r="213" spans="3:7" ht="15.75" customHeight="1" x14ac:dyDescent="0.45">
      <c r="C213" s="39"/>
      <c r="D213" s="131"/>
      <c r="E213" s="131"/>
      <c r="F213" s="131"/>
      <c r="G213" s="39"/>
    </row>
    <row r="214" spans="3:7" ht="15.75" customHeight="1" x14ac:dyDescent="0.45">
      <c r="C214" s="39"/>
      <c r="D214" s="131"/>
      <c r="E214" s="131"/>
      <c r="F214" s="131"/>
      <c r="G214" s="39"/>
    </row>
    <row r="215" spans="3:7" ht="15.75" customHeight="1" x14ac:dyDescent="0.45">
      <c r="C215" s="39"/>
      <c r="D215" s="131"/>
      <c r="E215" s="131"/>
      <c r="F215" s="131"/>
      <c r="G215" s="39"/>
    </row>
    <row r="216" spans="3:7" ht="15.75" customHeight="1" x14ac:dyDescent="0.45">
      <c r="C216" s="39"/>
      <c r="D216" s="131"/>
      <c r="E216" s="131"/>
      <c r="F216" s="131"/>
      <c r="G216" s="39"/>
    </row>
    <row r="217" spans="3:7" ht="15.75" customHeight="1" x14ac:dyDescent="0.45">
      <c r="C217" s="39"/>
      <c r="D217" s="131"/>
      <c r="E217" s="131"/>
      <c r="F217" s="131"/>
      <c r="G217" s="39"/>
    </row>
    <row r="218" spans="3:7" ht="15.75" customHeight="1" x14ac:dyDescent="0.45">
      <c r="C218" s="39"/>
      <c r="D218" s="131"/>
      <c r="E218" s="131"/>
      <c r="F218" s="131"/>
      <c r="G218" s="39"/>
    </row>
    <row r="219" spans="3:7" ht="15.75" customHeight="1" x14ac:dyDescent="0.45">
      <c r="C219" s="39"/>
      <c r="D219" s="131"/>
      <c r="E219" s="131"/>
      <c r="F219" s="131"/>
      <c r="G219" s="39"/>
    </row>
    <row r="220" spans="3:7" ht="15.75" customHeight="1" x14ac:dyDescent="0.45">
      <c r="C220" s="39"/>
      <c r="D220" s="131"/>
      <c r="E220" s="131"/>
      <c r="F220" s="131"/>
      <c r="G220" s="39"/>
    </row>
    <row r="221" spans="3:7" ht="15.75" customHeight="1" x14ac:dyDescent="0.45">
      <c r="C221" s="39"/>
      <c r="D221" s="131"/>
      <c r="E221" s="131"/>
      <c r="F221" s="131"/>
      <c r="G221" s="39"/>
    </row>
    <row r="222" spans="3:7" ht="15.75" customHeight="1" x14ac:dyDescent="0.45">
      <c r="C222" s="39"/>
      <c r="D222" s="131"/>
      <c r="E222" s="131"/>
      <c r="F222" s="131"/>
      <c r="G222" s="39"/>
    </row>
    <row r="223" spans="3:7" ht="15.75" customHeight="1" x14ac:dyDescent="0.45">
      <c r="C223" s="39"/>
      <c r="D223" s="131"/>
      <c r="E223" s="131"/>
      <c r="F223" s="131"/>
      <c r="G223" s="39"/>
    </row>
    <row r="224" spans="3:7" ht="15.75" customHeight="1" x14ac:dyDescent="0.45">
      <c r="C224" s="39"/>
      <c r="D224" s="131"/>
      <c r="E224" s="131"/>
      <c r="F224" s="131"/>
      <c r="G224" s="39"/>
    </row>
    <row r="225" spans="3:7" ht="15.75" customHeight="1" x14ac:dyDescent="0.45">
      <c r="C225" s="39"/>
      <c r="D225" s="131"/>
      <c r="E225" s="131"/>
      <c r="F225" s="131"/>
      <c r="G225" s="39"/>
    </row>
    <row r="226" spans="3:7" ht="15.75" customHeight="1" x14ac:dyDescent="0.45">
      <c r="C226" s="39"/>
      <c r="D226" s="131"/>
      <c r="E226" s="131"/>
      <c r="F226" s="131"/>
      <c r="G226" s="39"/>
    </row>
    <row r="227" spans="3:7" ht="15.75" customHeight="1" x14ac:dyDescent="0.45">
      <c r="C227" s="39"/>
      <c r="D227" s="131"/>
      <c r="E227" s="131"/>
      <c r="F227" s="131"/>
      <c r="G227" s="39"/>
    </row>
    <row r="228" spans="3:7" ht="15.75" customHeight="1" x14ac:dyDescent="0.45">
      <c r="C228" s="39"/>
      <c r="D228" s="131"/>
      <c r="E228" s="131"/>
      <c r="F228" s="131"/>
      <c r="G228" s="39"/>
    </row>
    <row r="229" spans="3:7" ht="15.75" customHeight="1" x14ac:dyDescent="0.45">
      <c r="C229" s="39"/>
      <c r="D229" s="131"/>
      <c r="E229" s="131"/>
      <c r="F229" s="131"/>
      <c r="G229" s="39"/>
    </row>
    <row r="230" spans="3:7" ht="15.75" customHeight="1" x14ac:dyDescent="0.45">
      <c r="C230" s="39"/>
      <c r="D230" s="131"/>
      <c r="E230" s="131"/>
      <c r="F230" s="131"/>
      <c r="G230" s="39"/>
    </row>
    <row r="231" spans="3:7" ht="15.75" customHeight="1" x14ac:dyDescent="0.45">
      <c r="C231" s="39"/>
      <c r="D231" s="131"/>
      <c r="E231" s="131"/>
      <c r="F231" s="131"/>
      <c r="G231" s="39"/>
    </row>
    <row r="232" spans="3:7" ht="15.75" customHeight="1" x14ac:dyDescent="0.45">
      <c r="C232" s="39"/>
      <c r="D232" s="131"/>
      <c r="E232" s="131"/>
      <c r="F232" s="131"/>
      <c r="G232" s="39"/>
    </row>
    <row r="233" spans="3:7" ht="15.75" customHeight="1" x14ac:dyDescent="0.45">
      <c r="C233" s="39"/>
      <c r="D233" s="131"/>
      <c r="E233" s="131"/>
      <c r="F233" s="131"/>
      <c r="G233" s="39"/>
    </row>
    <row r="234" spans="3:7" ht="15.75" customHeight="1" x14ac:dyDescent="0.45">
      <c r="C234" s="39"/>
      <c r="D234" s="131"/>
      <c r="E234" s="131"/>
      <c r="F234" s="131"/>
      <c r="G234" s="39"/>
    </row>
    <row r="235" spans="3:7" ht="15.75" customHeight="1" x14ac:dyDescent="0.45">
      <c r="C235" s="39"/>
      <c r="D235" s="131"/>
      <c r="E235" s="131"/>
      <c r="F235" s="131"/>
      <c r="G235" s="39"/>
    </row>
    <row r="236" spans="3:7" ht="15.75" customHeight="1" x14ac:dyDescent="0.45">
      <c r="C236" s="39"/>
      <c r="D236" s="131"/>
      <c r="E236" s="131"/>
      <c r="F236" s="131"/>
      <c r="G236" s="39"/>
    </row>
    <row r="237" spans="3:7" ht="15.75" customHeight="1" x14ac:dyDescent="0.45">
      <c r="C237" s="39"/>
      <c r="D237" s="131"/>
      <c r="E237" s="131"/>
      <c r="F237" s="131"/>
      <c r="G237" s="39"/>
    </row>
    <row r="238" spans="3:7" ht="15.75" customHeight="1" x14ac:dyDescent="0.45">
      <c r="C238" s="39"/>
      <c r="D238" s="131"/>
      <c r="E238" s="131"/>
      <c r="F238" s="131"/>
      <c r="G238" s="39"/>
    </row>
    <row r="239" spans="3:7" ht="15.75" customHeight="1" x14ac:dyDescent="0.45">
      <c r="C239" s="39"/>
      <c r="D239" s="131"/>
      <c r="E239" s="131"/>
      <c r="F239" s="131"/>
      <c r="G239" s="39"/>
    </row>
    <row r="240" spans="3:7" ht="15.75" customHeight="1" x14ac:dyDescent="0.45">
      <c r="C240" s="39"/>
      <c r="D240" s="131"/>
      <c r="E240" s="131"/>
      <c r="F240" s="131"/>
      <c r="G240" s="39"/>
    </row>
    <row r="241" spans="3:7" ht="15.75" customHeight="1" x14ac:dyDescent="0.45">
      <c r="C241" s="39"/>
      <c r="D241" s="131"/>
      <c r="E241" s="131"/>
      <c r="F241" s="131"/>
      <c r="G241" s="39"/>
    </row>
    <row r="242" spans="3:7" ht="15.75" customHeight="1" x14ac:dyDescent="0.45">
      <c r="C242" s="39"/>
      <c r="D242" s="131"/>
      <c r="E242" s="131"/>
      <c r="F242" s="131"/>
      <c r="G242" s="39"/>
    </row>
    <row r="243" spans="3:7" ht="15.75" customHeight="1" x14ac:dyDescent="0.45">
      <c r="C243" s="39"/>
      <c r="D243" s="131"/>
      <c r="E243" s="131"/>
      <c r="F243" s="131"/>
      <c r="G243" s="39"/>
    </row>
    <row r="244" spans="3:7" ht="15.75" customHeight="1" x14ac:dyDescent="0.45">
      <c r="C244" s="39"/>
      <c r="D244" s="131"/>
      <c r="E244" s="131"/>
      <c r="F244" s="131"/>
      <c r="G244" s="39"/>
    </row>
    <row r="245" spans="3:7" ht="15.75" customHeight="1" x14ac:dyDescent="0.45">
      <c r="C245" s="39"/>
      <c r="D245" s="131"/>
      <c r="E245" s="131"/>
      <c r="F245" s="131"/>
      <c r="G245" s="39"/>
    </row>
    <row r="246" spans="3:7" ht="15.75" customHeight="1" x14ac:dyDescent="0.45">
      <c r="C246" s="39"/>
      <c r="D246" s="131"/>
      <c r="E246" s="131"/>
      <c r="F246" s="131"/>
      <c r="G246" s="39"/>
    </row>
    <row r="247" spans="3:7" ht="15.75" customHeight="1" x14ac:dyDescent="0.45">
      <c r="C247" s="39"/>
      <c r="D247" s="131"/>
      <c r="E247" s="131"/>
      <c r="F247" s="131"/>
      <c r="G247" s="39"/>
    </row>
    <row r="248" spans="3:7" ht="15.75" customHeight="1" x14ac:dyDescent="0.45">
      <c r="C248" s="39"/>
      <c r="D248" s="131"/>
      <c r="E248" s="131"/>
      <c r="F248" s="131"/>
      <c r="G248" s="39"/>
    </row>
    <row r="249" spans="3:7" ht="15.75" customHeight="1" x14ac:dyDescent="0.45">
      <c r="C249" s="39"/>
      <c r="D249" s="131"/>
      <c r="E249" s="131"/>
      <c r="F249" s="131"/>
      <c r="G249" s="39"/>
    </row>
    <row r="250" spans="3:7" ht="15.75" customHeight="1" x14ac:dyDescent="0.45">
      <c r="C250" s="39"/>
      <c r="D250" s="131"/>
      <c r="E250" s="131"/>
      <c r="F250" s="131"/>
      <c r="G250" s="39"/>
    </row>
    <row r="251" spans="3:7" ht="15.75" customHeight="1" x14ac:dyDescent="0.45">
      <c r="C251" s="39"/>
      <c r="D251" s="131"/>
      <c r="E251" s="131"/>
      <c r="F251" s="131"/>
      <c r="G251" s="39"/>
    </row>
    <row r="252" spans="3:7" ht="15.75" customHeight="1" x14ac:dyDescent="0.45">
      <c r="C252" s="39"/>
      <c r="D252" s="131"/>
      <c r="E252" s="131"/>
      <c r="F252" s="131"/>
      <c r="G252" s="39"/>
    </row>
    <row r="253" spans="3:7" ht="15.75" customHeight="1" x14ac:dyDescent="0.45">
      <c r="C253" s="39"/>
      <c r="D253" s="131"/>
      <c r="E253" s="131"/>
      <c r="F253" s="131"/>
      <c r="G253" s="39"/>
    </row>
    <row r="254" spans="3:7" ht="15.75" customHeight="1" x14ac:dyDescent="0.45">
      <c r="C254" s="39"/>
      <c r="D254" s="131"/>
      <c r="E254" s="131"/>
      <c r="F254" s="131"/>
      <c r="G254" s="39"/>
    </row>
    <row r="255" spans="3:7" ht="15.75" customHeight="1" x14ac:dyDescent="0.45">
      <c r="C255" s="39"/>
      <c r="D255" s="131"/>
      <c r="E255" s="131"/>
      <c r="F255" s="131"/>
      <c r="G255" s="39"/>
    </row>
    <row r="256" spans="3:7" ht="15.75" customHeight="1" x14ac:dyDescent="0.45">
      <c r="C256" s="39"/>
      <c r="D256" s="131"/>
      <c r="E256" s="131"/>
      <c r="F256" s="131"/>
      <c r="G256" s="39"/>
    </row>
    <row r="257" spans="3:7" ht="15.75" customHeight="1" x14ac:dyDescent="0.45">
      <c r="C257" s="39"/>
      <c r="D257" s="131"/>
      <c r="E257" s="131"/>
      <c r="F257" s="131"/>
      <c r="G257" s="39"/>
    </row>
    <row r="258" spans="3:7" ht="15.75" customHeight="1" x14ac:dyDescent="0.45">
      <c r="C258" s="39"/>
      <c r="D258" s="131"/>
      <c r="E258" s="131"/>
      <c r="F258" s="131"/>
      <c r="G258" s="39"/>
    </row>
    <row r="259" spans="3:7" ht="15.75" customHeight="1" x14ac:dyDescent="0.45">
      <c r="C259" s="39"/>
      <c r="D259" s="131"/>
      <c r="E259" s="131"/>
      <c r="F259" s="131"/>
      <c r="G259" s="39"/>
    </row>
    <row r="260" spans="3:7" ht="15.75" customHeight="1" x14ac:dyDescent="0.45">
      <c r="C260" s="39"/>
      <c r="D260" s="131"/>
      <c r="E260" s="131"/>
      <c r="F260" s="131"/>
      <c r="G260" s="39"/>
    </row>
    <row r="261" spans="3:7" ht="15.75" customHeight="1" x14ac:dyDescent="0.45">
      <c r="C261" s="39"/>
      <c r="D261" s="131"/>
      <c r="E261" s="131"/>
      <c r="F261" s="131"/>
      <c r="G261" s="39"/>
    </row>
    <row r="262" spans="3:7" ht="15.75" customHeight="1" x14ac:dyDescent="0.45">
      <c r="C262" s="39"/>
      <c r="D262" s="131"/>
      <c r="E262" s="131"/>
      <c r="F262" s="131"/>
      <c r="G262" s="39"/>
    </row>
    <row r="263" spans="3:7" ht="15.75" customHeight="1" x14ac:dyDescent="0.45">
      <c r="C263" s="39"/>
      <c r="D263" s="131"/>
      <c r="E263" s="131"/>
      <c r="F263" s="131"/>
      <c r="G263" s="39"/>
    </row>
    <row r="264" spans="3:7" ht="15.75" customHeight="1" x14ac:dyDescent="0.45">
      <c r="C264" s="39"/>
      <c r="D264" s="131"/>
      <c r="E264" s="131"/>
      <c r="F264" s="131"/>
      <c r="G264" s="39"/>
    </row>
    <row r="265" spans="3:7" ht="15.75" customHeight="1" x14ac:dyDescent="0.45">
      <c r="C265" s="39"/>
      <c r="D265" s="131"/>
      <c r="E265" s="131"/>
      <c r="F265" s="131"/>
      <c r="G265" s="39"/>
    </row>
    <row r="266" spans="3:7" ht="15.75" customHeight="1" x14ac:dyDescent="0.45">
      <c r="C266" s="39"/>
      <c r="D266" s="131"/>
      <c r="E266" s="131"/>
      <c r="F266" s="131"/>
      <c r="G266" s="39"/>
    </row>
    <row r="267" spans="3:7" ht="15.75" customHeight="1" x14ac:dyDescent="0.45">
      <c r="C267" s="39"/>
      <c r="D267" s="131"/>
      <c r="E267" s="131"/>
      <c r="F267" s="131"/>
      <c r="G267" s="39"/>
    </row>
    <row r="268" spans="3:7" ht="15.75" customHeight="1" x14ac:dyDescent="0.45">
      <c r="C268" s="39"/>
      <c r="D268" s="131"/>
      <c r="E268" s="131"/>
      <c r="F268" s="131"/>
      <c r="G268" s="39"/>
    </row>
    <row r="269" spans="3:7" ht="15.75" customHeight="1" x14ac:dyDescent="0.45">
      <c r="C269" s="39"/>
      <c r="D269" s="131"/>
      <c r="E269" s="131"/>
      <c r="F269" s="131"/>
      <c r="G269" s="39"/>
    </row>
    <row r="270" spans="3:7" ht="15.75" customHeight="1" x14ac:dyDescent="0.45">
      <c r="C270" s="39"/>
      <c r="D270" s="131"/>
      <c r="E270" s="131"/>
      <c r="F270" s="131"/>
      <c r="G270" s="39"/>
    </row>
    <row r="271" spans="3:7" ht="15.75" customHeight="1" x14ac:dyDescent="0.45">
      <c r="C271" s="39"/>
      <c r="D271" s="131"/>
      <c r="E271" s="131"/>
      <c r="F271" s="131"/>
      <c r="G271" s="39"/>
    </row>
    <row r="272" spans="3:7" ht="15.75" customHeight="1" x14ac:dyDescent="0.45">
      <c r="C272" s="39"/>
      <c r="D272" s="131"/>
      <c r="E272" s="131"/>
      <c r="F272" s="131"/>
      <c r="G272" s="39"/>
    </row>
    <row r="273" spans="3:7" ht="15.75" customHeight="1" x14ac:dyDescent="0.45">
      <c r="C273" s="39"/>
      <c r="D273" s="131"/>
      <c r="E273" s="131"/>
      <c r="F273" s="131"/>
      <c r="G273" s="39"/>
    </row>
    <row r="274" spans="3:7" ht="15.75" customHeight="1" x14ac:dyDescent="0.45">
      <c r="C274" s="39"/>
      <c r="D274" s="131"/>
      <c r="E274" s="131"/>
      <c r="F274" s="131"/>
      <c r="G274" s="39"/>
    </row>
    <row r="275" spans="3:7" ht="15.75" customHeight="1" x14ac:dyDescent="0.45">
      <c r="C275" s="39"/>
      <c r="D275" s="131"/>
      <c r="E275" s="131"/>
      <c r="F275" s="131"/>
      <c r="G275" s="39"/>
    </row>
    <row r="276" spans="3:7" ht="15.75" customHeight="1" x14ac:dyDescent="0.45">
      <c r="C276" s="39"/>
      <c r="D276" s="131"/>
      <c r="E276" s="131"/>
      <c r="F276" s="131"/>
      <c r="G276" s="39"/>
    </row>
    <row r="277" spans="3:7" ht="15.75" customHeight="1" x14ac:dyDescent="0.45">
      <c r="C277" s="39"/>
      <c r="D277" s="131"/>
      <c r="E277" s="131"/>
      <c r="F277" s="131"/>
      <c r="G277" s="39"/>
    </row>
    <row r="278" spans="3:7" ht="15.75" customHeight="1" x14ac:dyDescent="0.45">
      <c r="C278" s="39"/>
      <c r="D278" s="131"/>
      <c r="E278" s="131"/>
      <c r="F278" s="131"/>
      <c r="G278" s="39"/>
    </row>
    <row r="279" spans="3:7" ht="15.75" customHeight="1" x14ac:dyDescent="0.45">
      <c r="C279" s="39"/>
      <c r="D279" s="131"/>
      <c r="E279" s="131"/>
      <c r="F279" s="131"/>
      <c r="G279" s="39"/>
    </row>
    <row r="280" spans="3:7" ht="15.75" customHeight="1" x14ac:dyDescent="0.45">
      <c r="C280" s="39"/>
      <c r="D280" s="131"/>
      <c r="E280" s="131"/>
      <c r="F280" s="131"/>
      <c r="G280" s="39"/>
    </row>
    <row r="281" spans="3:7" ht="15.75" customHeight="1" x14ac:dyDescent="0.45">
      <c r="C281" s="39"/>
      <c r="D281" s="131"/>
      <c r="E281" s="131"/>
      <c r="F281" s="131"/>
      <c r="G281" s="39"/>
    </row>
    <row r="282" spans="3:7" ht="15.75" customHeight="1" x14ac:dyDescent="0.45">
      <c r="C282" s="39"/>
      <c r="D282" s="131"/>
      <c r="E282" s="131"/>
      <c r="F282" s="131"/>
      <c r="G282" s="39"/>
    </row>
    <row r="283" spans="3:7" ht="15.75" customHeight="1" x14ac:dyDescent="0.45">
      <c r="C283" s="39"/>
      <c r="D283" s="131"/>
      <c r="E283" s="131"/>
      <c r="F283" s="131"/>
      <c r="G283" s="39"/>
    </row>
    <row r="284" spans="3:7" ht="15.75" customHeight="1" x14ac:dyDescent="0.45">
      <c r="C284" s="39"/>
      <c r="D284" s="131"/>
      <c r="E284" s="131"/>
      <c r="F284" s="131"/>
      <c r="G284" s="39"/>
    </row>
    <row r="285" spans="3:7" ht="15.75" customHeight="1" x14ac:dyDescent="0.45">
      <c r="C285" s="39"/>
      <c r="D285" s="131"/>
      <c r="E285" s="131"/>
      <c r="F285" s="131"/>
      <c r="G285" s="39"/>
    </row>
    <row r="286" spans="3:7" ht="15.75" customHeight="1" x14ac:dyDescent="0.45">
      <c r="C286" s="39"/>
      <c r="D286" s="131"/>
      <c r="E286" s="131"/>
      <c r="F286" s="131"/>
      <c r="G286" s="39"/>
    </row>
    <row r="287" spans="3:7" ht="15.75" customHeight="1" x14ac:dyDescent="0.45">
      <c r="C287" s="39"/>
      <c r="D287" s="131"/>
      <c r="E287" s="131"/>
      <c r="F287" s="131"/>
      <c r="G287" s="39"/>
    </row>
    <row r="288" spans="3:7" ht="15.75" customHeight="1" x14ac:dyDescent="0.45">
      <c r="C288" s="39"/>
      <c r="D288" s="131"/>
      <c r="E288" s="131"/>
      <c r="F288" s="131"/>
      <c r="G288" s="39"/>
    </row>
    <row r="289" spans="3:7" ht="15.75" customHeight="1" x14ac:dyDescent="0.45">
      <c r="C289" s="39"/>
      <c r="D289" s="131"/>
      <c r="E289" s="131"/>
      <c r="F289" s="131"/>
      <c r="G289" s="39"/>
    </row>
    <row r="290" spans="3:7" ht="15.75" customHeight="1" x14ac:dyDescent="0.45">
      <c r="C290" s="39"/>
      <c r="D290" s="131"/>
      <c r="E290" s="131"/>
      <c r="F290" s="131"/>
      <c r="G290" s="39"/>
    </row>
    <row r="291" spans="3:7" ht="15.75" customHeight="1" x14ac:dyDescent="0.45">
      <c r="C291" s="39"/>
      <c r="D291" s="131"/>
      <c r="E291" s="131"/>
      <c r="F291" s="131"/>
      <c r="G291" s="39"/>
    </row>
    <row r="292" spans="3:7" ht="15.75" customHeight="1" x14ac:dyDescent="0.45">
      <c r="C292" s="39"/>
      <c r="D292" s="131"/>
      <c r="E292" s="131"/>
      <c r="F292" s="131"/>
      <c r="G292" s="39"/>
    </row>
    <row r="293" spans="3:7" ht="15.75" customHeight="1" x14ac:dyDescent="0.45">
      <c r="C293" s="39"/>
      <c r="D293" s="131"/>
      <c r="E293" s="131"/>
      <c r="F293" s="131"/>
      <c r="G293" s="39"/>
    </row>
    <row r="294" spans="3:7" ht="15.75" customHeight="1" x14ac:dyDescent="0.45">
      <c r="C294" s="39"/>
      <c r="D294" s="131"/>
      <c r="E294" s="131"/>
      <c r="F294" s="131"/>
      <c r="G294" s="39"/>
    </row>
    <row r="295" spans="3:7" ht="15.75" customHeight="1" x14ac:dyDescent="0.45">
      <c r="C295" s="39"/>
      <c r="D295" s="131"/>
      <c r="E295" s="131"/>
      <c r="F295" s="131"/>
      <c r="G295" s="39"/>
    </row>
    <row r="296" spans="3:7" ht="15.75" customHeight="1" x14ac:dyDescent="0.45">
      <c r="C296" s="39"/>
      <c r="D296" s="131"/>
      <c r="E296" s="131"/>
      <c r="F296" s="131"/>
      <c r="G296" s="39"/>
    </row>
    <row r="297" spans="3:7" ht="15.75" customHeight="1" x14ac:dyDescent="0.45">
      <c r="C297" s="39"/>
      <c r="D297" s="131"/>
      <c r="E297" s="131"/>
      <c r="F297" s="131"/>
      <c r="G297" s="39"/>
    </row>
    <row r="298" spans="3:7" ht="15.75" customHeight="1" x14ac:dyDescent="0.45">
      <c r="C298" s="39"/>
      <c r="D298" s="131"/>
      <c r="E298" s="131"/>
      <c r="F298" s="131"/>
      <c r="G298" s="39"/>
    </row>
    <row r="299" spans="3:7" ht="15.75" customHeight="1" x14ac:dyDescent="0.45">
      <c r="C299" s="39"/>
      <c r="D299" s="131"/>
      <c r="E299" s="131"/>
      <c r="F299" s="131"/>
      <c r="G299" s="39"/>
    </row>
    <row r="300" spans="3:7" ht="15.75" customHeight="1" x14ac:dyDescent="0.45">
      <c r="C300" s="39"/>
      <c r="D300" s="131"/>
      <c r="E300" s="131"/>
      <c r="F300" s="131"/>
      <c r="G300" s="39"/>
    </row>
    <row r="301" spans="3:7" ht="15.75" customHeight="1" x14ac:dyDescent="0.45">
      <c r="C301" s="39"/>
      <c r="D301" s="131"/>
      <c r="E301" s="131"/>
      <c r="F301" s="131"/>
      <c r="G301" s="39"/>
    </row>
    <row r="302" spans="3:7" ht="15.75" customHeight="1" x14ac:dyDescent="0.45">
      <c r="C302" s="39"/>
      <c r="D302" s="131"/>
      <c r="E302" s="131"/>
      <c r="F302" s="131"/>
      <c r="G302" s="39"/>
    </row>
    <row r="303" spans="3:7" ht="15.75" customHeight="1" x14ac:dyDescent="0.45">
      <c r="C303" s="39"/>
      <c r="D303" s="131"/>
      <c r="E303" s="131"/>
      <c r="F303" s="131"/>
      <c r="G303" s="39"/>
    </row>
    <row r="304" spans="3:7" ht="15.75" customHeight="1" x14ac:dyDescent="0.45">
      <c r="C304" s="39"/>
      <c r="D304" s="131"/>
      <c r="E304" s="131"/>
      <c r="F304" s="131"/>
      <c r="G304" s="39"/>
    </row>
    <row r="305" spans="3:7" ht="15.75" customHeight="1" x14ac:dyDescent="0.45">
      <c r="C305" s="39"/>
      <c r="D305" s="131"/>
      <c r="E305" s="131"/>
      <c r="F305" s="131"/>
      <c r="G305" s="39"/>
    </row>
    <row r="306" spans="3:7" ht="15.75" customHeight="1" x14ac:dyDescent="0.45">
      <c r="C306" s="39"/>
      <c r="D306" s="131"/>
      <c r="E306" s="131"/>
      <c r="F306" s="131"/>
      <c r="G306" s="39"/>
    </row>
    <row r="307" spans="3:7" ht="15.75" customHeight="1" x14ac:dyDescent="0.45">
      <c r="C307" s="39"/>
      <c r="D307" s="131"/>
      <c r="E307" s="131"/>
      <c r="F307" s="131"/>
      <c r="G307" s="39"/>
    </row>
    <row r="308" spans="3:7" ht="15.75" customHeight="1" x14ac:dyDescent="0.45">
      <c r="C308" s="39"/>
      <c r="D308" s="131"/>
      <c r="E308" s="131"/>
      <c r="F308" s="131"/>
      <c r="G308" s="39"/>
    </row>
    <row r="309" spans="3:7" ht="15.75" customHeight="1" x14ac:dyDescent="0.45">
      <c r="C309" s="39"/>
      <c r="D309" s="131"/>
      <c r="E309" s="131"/>
      <c r="F309" s="131"/>
      <c r="G309" s="39"/>
    </row>
    <row r="310" spans="3:7" ht="15.75" customHeight="1" x14ac:dyDescent="0.45">
      <c r="C310" s="39"/>
      <c r="D310" s="131"/>
      <c r="E310" s="131"/>
      <c r="F310" s="131"/>
      <c r="G310" s="39"/>
    </row>
    <row r="311" spans="3:7" ht="15.75" customHeight="1" x14ac:dyDescent="0.45">
      <c r="C311" s="39"/>
      <c r="D311" s="131"/>
      <c r="E311" s="131"/>
      <c r="F311" s="131"/>
      <c r="G311" s="39"/>
    </row>
    <row r="312" spans="3:7" ht="15.75" customHeight="1" x14ac:dyDescent="0.45">
      <c r="C312" s="39"/>
      <c r="D312" s="131"/>
      <c r="E312" s="131"/>
      <c r="F312" s="131"/>
      <c r="G312" s="39"/>
    </row>
    <row r="313" spans="3:7" ht="15.75" customHeight="1" x14ac:dyDescent="0.45">
      <c r="C313" s="39"/>
      <c r="D313" s="131"/>
      <c r="E313" s="131"/>
      <c r="F313" s="131"/>
      <c r="G313" s="39"/>
    </row>
    <row r="314" spans="3:7" ht="15.75" customHeight="1" x14ac:dyDescent="0.45">
      <c r="C314" s="39"/>
      <c r="D314" s="131"/>
      <c r="E314" s="131"/>
      <c r="F314" s="131"/>
      <c r="G314" s="39"/>
    </row>
    <row r="315" spans="3:7" ht="15.75" customHeight="1" x14ac:dyDescent="0.45">
      <c r="C315" s="39"/>
      <c r="D315" s="131"/>
      <c r="E315" s="131"/>
      <c r="F315" s="131"/>
      <c r="G315" s="39"/>
    </row>
    <row r="316" spans="3:7" ht="15.75" customHeight="1" x14ac:dyDescent="0.45">
      <c r="C316" s="39"/>
      <c r="D316" s="131"/>
      <c r="E316" s="131"/>
      <c r="F316" s="131"/>
      <c r="G316" s="39"/>
    </row>
    <row r="317" spans="3:7" ht="15.75" customHeight="1" x14ac:dyDescent="0.45">
      <c r="C317" s="39"/>
      <c r="D317" s="131"/>
      <c r="E317" s="131"/>
      <c r="F317" s="131"/>
      <c r="G317" s="39"/>
    </row>
    <row r="318" spans="3:7" ht="15.75" customHeight="1" x14ac:dyDescent="0.45">
      <c r="C318" s="39"/>
      <c r="D318" s="131"/>
      <c r="E318" s="131"/>
      <c r="F318" s="131"/>
      <c r="G318" s="39"/>
    </row>
    <row r="319" spans="3:7" ht="15.75" customHeight="1" x14ac:dyDescent="0.45">
      <c r="C319" s="39"/>
      <c r="D319" s="131"/>
      <c r="E319" s="131"/>
      <c r="F319" s="131"/>
      <c r="G319" s="39"/>
    </row>
    <row r="320" spans="3:7" ht="15.75" customHeight="1" x14ac:dyDescent="0.45">
      <c r="C320" s="39"/>
      <c r="D320" s="131"/>
      <c r="E320" s="131"/>
      <c r="F320" s="131"/>
      <c r="G320" s="39"/>
    </row>
    <row r="321" spans="3:7" ht="15.75" customHeight="1" x14ac:dyDescent="0.45">
      <c r="C321" s="39"/>
      <c r="D321" s="131"/>
      <c r="E321" s="131"/>
      <c r="F321" s="131"/>
      <c r="G321" s="39"/>
    </row>
    <row r="322" spans="3:7" ht="15.75" customHeight="1" x14ac:dyDescent="0.45">
      <c r="C322" s="39"/>
      <c r="D322" s="131"/>
      <c r="E322" s="131"/>
      <c r="F322" s="131"/>
      <c r="G322" s="39"/>
    </row>
    <row r="323" spans="3:7" ht="15.75" customHeight="1" x14ac:dyDescent="0.45">
      <c r="C323" s="39"/>
      <c r="D323" s="131"/>
      <c r="E323" s="131"/>
      <c r="F323" s="131"/>
      <c r="G323" s="39"/>
    </row>
    <row r="324" spans="3:7" ht="15.75" customHeight="1" x14ac:dyDescent="0.45">
      <c r="C324" s="39"/>
      <c r="D324" s="131"/>
      <c r="E324" s="131"/>
      <c r="F324" s="131"/>
      <c r="G324" s="39"/>
    </row>
    <row r="325" spans="3:7" ht="15.75" customHeight="1" x14ac:dyDescent="0.45">
      <c r="C325" s="39"/>
      <c r="D325" s="131"/>
      <c r="E325" s="131"/>
      <c r="F325" s="131"/>
      <c r="G325" s="39"/>
    </row>
    <row r="326" spans="3:7" ht="15.75" customHeight="1" x14ac:dyDescent="0.45">
      <c r="C326" s="39"/>
      <c r="D326" s="131"/>
      <c r="E326" s="131"/>
      <c r="F326" s="131"/>
      <c r="G326" s="39"/>
    </row>
    <row r="327" spans="3:7" ht="15.75" customHeight="1" x14ac:dyDescent="0.45">
      <c r="C327" s="39"/>
      <c r="D327" s="131"/>
      <c r="E327" s="131"/>
      <c r="F327" s="131"/>
      <c r="G327" s="39"/>
    </row>
    <row r="328" spans="3:7" ht="15.75" customHeight="1" x14ac:dyDescent="0.45">
      <c r="C328" s="39"/>
      <c r="D328" s="131"/>
      <c r="E328" s="131"/>
      <c r="F328" s="131"/>
      <c r="G328" s="39"/>
    </row>
    <row r="329" spans="3:7" ht="15.75" customHeight="1" x14ac:dyDescent="0.45">
      <c r="C329" s="39"/>
      <c r="D329" s="131"/>
      <c r="E329" s="131"/>
      <c r="F329" s="131"/>
      <c r="G329" s="39"/>
    </row>
    <row r="330" spans="3:7" ht="15.75" customHeight="1" x14ac:dyDescent="0.45">
      <c r="C330" s="39"/>
      <c r="D330" s="131"/>
      <c r="E330" s="131"/>
      <c r="F330" s="131"/>
      <c r="G330" s="39"/>
    </row>
    <row r="331" spans="3:7" ht="15.75" customHeight="1" x14ac:dyDescent="0.45">
      <c r="C331" s="39"/>
      <c r="D331" s="131"/>
      <c r="E331" s="131"/>
      <c r="F331" s="131"/>
      <c r="G331" s="39"/>
    </row>
    <row r="332" spans="3:7" ht="15.75" customHeight="1" x14ac:dyDescent="0.45">
      <c r="C332" s="39"/>
      <c r="D332" s="131"/>
      <c r="E332" s="131"/>
      <c r="F332" s="131"/>
      <c r="G332" s="39"/>
    </row>
    <row r="333" spans="3:7" ht="15.75" customHeight="1" x14ac:dyDescent="0.45">
      <c r="C333" s="39"/>
      <c r="D333" s="131"/>
      <c r="E333" s="131"/>
      <c r="F333" s="131"/>
      <c r="G333" s="39"/>
    </row>
    <row r="334" spans="3:7" ht="15.75" customHeight="1" x14ac:dyDescent="0.45">
      <c r="C334" s="39"/>
      <c r="D334" s="131"/>
      <c r="E334" s="131"/>
      <c r="F334" s="131"/>
      <c r="G334" s="39"/>
    </row>
    <row r="335" spans="3:7" ht="15.75" customHeight="1" x14ac:dyDescent="0.45">
      <c r="C335" s="39"/>
      <c r="D335" s="131"/>
      <c r="E335" s="131"/>
      <c r="F335" s="131"/>
      <c r="G335" s="39"/>
    </row>
    <row r="336" spans="3:7" ht="15.75" customHeight="1" x14ac:dyDescent="0.45">
      <c r="C336" s="39"/>
      <c r="D336" s="131"/>
      <c r="E336" s="131"/>
      <c r="F336" s="131"/>
      <c r="G336" s="39"/>
    </row>
    <row r="337" spans="3:7" ht="15.75" customHeight="1" x14ac:dyDescent="0.45">
      <c r="C337" s="39"/>
      <c r="D337" s="131"/>
      <c r="E337" s="131"/>
      <c r="F337" s="131"/>
      <c r="G337" s="39"/>
    </row>
    <row r="338" spans="3:7" ht="15.75" customHeight="1" x14ac:dyDescent="0.45">
      <c r="C338" s="39"/>
      <c r="D338" s="131"/>
      <c r="E338" s="131"/>
      <c r="F338" s="131"/>
      <c r="G338" s="39"/>
    </row>
    <row r="339" spans="3:7" ht="15.75" customHeight="1" x14ac:dyDescent="0.45">
      <c r="C339" s="39"/>
      <c r="D339" s="131"/>
      <c r="E339" s="131"/>
      <c r="F339" s="131"/>
      <c r="G339" s="39"/>
    </row>
    <row r="340" spans="3:7" ht="15.75" customHeight="1" x14ac:dyDescent="0.45">
      <c r="C340" s="39"/>
      <c r="D340" s="131"/>
      <c r="E340" s="131"/>
      <c r="F340" s="131"/>
      <c r="G340" s="39"/>
    </row>
    <row r="341" spans="3:7" ht="15.75" customHeight="1" x14ac:dyDescent="0.45">
      <c r="C341" s="39"/>
      <c r="D341" s="131"/>
      <c r="E341" s="131"/>
      <c r="F341" s="131"/>
      <c r="G341" s="39"/>
    </row>
    <row r="342" spans="3:7" ht="15.75" customHeight="1" x14ac:dyDescent="0.45">
      <c r="C342" s="39"/>
      <c r="D342" s="131"/>
      <c r="E342" s="131"/>
      <c r="F342" s="131"/>
      <c r="G342" s="39"/>
    </row>
    <row r="343" spans="3:7" ht="15.75" customHeight="1" x14ac:dyDescent="0.45">
      <c r="C343" s="39"/>
      <c r="D343" s="131"/>
      <c r="E343" s="131"/>
      <c r="F343" s="131"/>
      <c r="G343" s="39"/>
    </row>
    <row r="344" spans="3:7" ht="15.75" customHeight="1" x14ac:dyDescent="0.45">
      <c r="C344" s="39"/>
      <c r="D344" s="131"/>
      <c r="E344" s="131"/>
      <c r="F344" s="131"/>
      <c r="G344" s="39"/>
    </row>
    <row r="345" spans="3:7" ht="15.75" customHeight="1" x14ac:dyDescent="0.45">
      <c r="C345" s="39"/>
      <c r="D345" s="131"/>
      <c r="E345" s="131"/>
      <c r="F345" s="131"/>
      <c r="G345" s="39"/>
    </row>
    <row r="346" spans="3:7" ht="15.75" customHeight="1" x14ac:dyDescent="0.45">
      <c r="C346" s="39"/>
      <c r="D346" s="131"/>
      <c r="E346" s="131"/>
      <c r="F346" s="131"/>
      <c r="G346" s="39"/>
    </row>
    <row r="347" spans="3:7" ht="15.75" customHeight="1" x14ac:dyDescent="0.45">
      <c r="C347" s="39"/>
      <c r="D347" s="131"/>
      <c r="E347" s="131"/>
      <c r="F347" s="131"/>
      <c r="G347" s="39"/>
    </row>
    <row r="348" spans="3:7" ht="15.75" customHeight="1" x14ac:dyDescent="0.45">
      <c r="C348" s="39"/>
      <c r="D348" s="131"/>
      <c r="E348" s="131"/>
      <c r="F348" s="131"/>
      <c r="G348" s="39"/>
    </row>
    <row r="349" spans="3:7" ht="15.75" customHeight="1" x14ac:dyDescent="0.45">
      <c r="C349" s="39"/>
      <c r="D349" s="131"/>
      <c r="E349" s="131"/>
      <c r="F349" s="131"/>
      <c r="G349" s="39"/>
    </row>
    <row r="350" spans="3:7" ht="15.75" customHeight="1" x14ac:dyDescent="0.45">
      <c r="C350" s="39"/>
      <c r="D350" s="131"/>
      <c r="E350" s="131"/>
      <c r="F350" s="131"/>
      <c r="G350" s="39"/>
    </row>
    <row r="351" spans="3:7" ht="15.75" customHeight="1" x14ac:dyDescent="0.45">
      <c r="C351" s="39"/>
      <c r="D351" s="131"/>
      <c r="E351" s="131"/>
      <c r="F351" s="131"/>
      <c r="G351" s="39"/>
    </row>
    <row r="352" spans="3:7" ht="15.75" customHeight="1" x14ac:dyDescent="0.45">
      <c r="C352" s="39"/>
      <c r="D352" s="131"/>
      <c r="E352" s="131"/>
      <c r="F352" s="131"/>
      <c r="G352" s="39"/>
    </row>
    <row r="353" spans="3:7" ht="15.75" customHeight="1" x14ac:dyDescent="0.45">
      <c r="C353" s="39"/>
      <c r="D353" s="131"/>
      <c r="E353" s="131"/>
      <c r="F353" s="131"/>
      <c r="G353" s="39"/>
    </row>
    <row r="354" spans="3:7" ht="15.75" customHeight="1" x14ac:dyDescent="0.45">
      <c r="C354" s="39"/>
      <c r="D354" s="131"/>
      <c r="E354" s="131"/>
      <c r="F354" s="131"/>
      <c r="G354" s="39"/>
    </row>
    <row r="355" spans="3:7" ht="15.75" customHeight="1" x14ac:dyDescent="0.45">
      <c r="C355" s="39"/>
      <c r="D355" s="131"/>
      <c r="E355" s="131"/>
      <c r="F355" s="131"/>
      <c r="G355" s="39"/>
    </row>
    <row r="356" spans="3:7" ht="15.75" customHeight="1" x14ac:dyDescent="0.45">
      <c r="C356" s="39"/>
      <c r="D356" s="131"/>
      <c r="E356" s="131"/>
      <c r="F356" s="131"/>
      <c r="G356" s="39"/>
    </row>
    <row r="357" spans="3:7" ht="15.75" customHeight="1" x14ac:dyDescent="0.45">
      <c r="C357" s="39"/>
      <c r="D357" s="131"/>
      <c r="E357" s="131"/>
      <c r="F357" s="131"/>
      <c r="G357" s="39"/>
    </row>
    <row r="358" spans="3:7" ht="15.75" customHeight="1" x14ac:dyDescent="0.45">
      <c r="C358" s="39"/>
      <c r="D358" s="131"/>
      <c r="E358" s="131"/>
      <c r="F358" s="131"/>
      <c r="G358" s="39"/>
    </row>
    <row r="359" spans="3:7" ht="15.75" customHeight="1" x14ac:dyDescent="0.45">
      <c r="C359" s="39"/>
      <c r="D359" s="131"/>
      <c r="E359" s="131"/>
      <c r="F359" s="131"/>
      <c r="G359" s="39"/>
    </row>
    <row r="360" spans="3:7" ht="15.75" customHeight="1" x14ac:dyDescent="0.45">
      <c r="C360" s="39"/>
      <c r="D360" s="131"/>
      <c r="E360" s="131"/>
      <c r="F360" s="131"/>
      <c r="G360" s="39"/>
    </row>
    <row r="361" spans="3:7" ht="15.75" customHeight="1" x14ac:dyDescent="0.45">
      <c r="C361" s="39"/>
      <c r="D361" s="131"/>
      <c r="E361" s="131"/>
      <c r="F361" s="131"/>
      <c r="G361" s="39"/>
    </row>
    <row r="362" spans="3:7" ht="15.75" customHeight="1" x14ac:dyDescent="0.45">
      <c r="C362" s="39"/>
      <c r="D362" s="131"/>
      <c r="E362" s="131"/>
      <c r="F362" s="131"/>
      <c r="G362" s="39"/>
    </row>
    <row r="363" spans="3:7" ht="15.75" customHeight="1" x14ac:dyDescent="0.45">
      <c r="C363" s="39"/>
      <c r="D363" s="131"/>
      <c r="E363" s="131"/>
      <c r="F363" s="131"/>
      <c r="G363" s="39"/>
    </row>
    <row r="364" spans="3:7" ht="15.75" customHeight="1" x14ac:dyDescent="0.45">
      <c r="C364" s="39"/>
      <c r="D364" s="131"/>
      <c r="E364" s="131"/>
      <c r="F364" s="131"/>
      <c r="G364" s="39"/>
    </row>
    <row r="365" spans="3:7" ht="15.75" customHeight="1" x14ac:dyDescent="0.45">
      <c r="C365" s="39"/>
      <c r="D365" s="131"/>
      <c r="E365" s="131"/>
      <c r="F365" s="131"/>
      <c r="G365" s="39"/>
    </row>
    <row r="366" spans="3:7" ht="15.75" customHeight="1" x14ac:dyDescent="0.45">
      <c r="C366" s="39"/>
      <c r="D366" s="131"/>
      <c r="E366" s="131"/>
      <c r="F366" s="131"/>
      <c r="G366" s="39"/>
    </row>
    <row r="367" spans="3:7" ht="15.75" customHeight="1" x14ac:dyDescent="0.45">
      <c r="C367" s="39"/>
      <c r="D367" s="131"/>
      <c r="E367" s="131"/>
      <c r="F367" s="131"/>
      <c r="G367" s="39"/>
    </row>
    <row r="368" spans="3:7" ht="15.75" customHeight="1" x14ac:dyDescent="0.45">
      <c r="C368" s="39"/>
      <c r="D368" s="131"/>
      <c r="E368" s="131"/>
      <c r="F368" s="131"/>
      <c r="G368" s="39"/>
    </row>
    <row r="369" spans="3:7" ht="15.75" customHeight="1" x14ac:dyDescent="0.45">
      <c r="C369" s="39"/>
      <c r="D369" s="131"/>
      <c r="E369" s="131"/>
      <c r="F369" s="131"/>
      <c r="G369" s="39"/>
    </row>
    <row r="370" spans="3:7" ht="15.75" customHeight="1" x14ac:dyDescent="0.45">
      <c r="C370" s="39"/>
      <c r="D370" s="131"/>
      <c r="E370" s="131"/>
      <c r="F370" s="131"/>
      <c r="G370" s="39"/>
    </row>
    <row r="371" spans="3:7" ht="15.75" customHeight="1" x14ac:dyDescent="0.45">
      <c r="C371" s="39"/>
      <c r="D371" s="131"/>
      <c r="E371" s="131"/>
      <c r="F371" s="131"/>
      <c r="G371" s="39"/>
    </row>
    <row r="372" spans="3:7" ht="15.75" customHeight="1" x14ac:dyDescent="0.45">
      <c r="C372" s="39"/>
      <c r="D372" s="131"/>
      <c r="E372" s="131"/>
      <c r="F372" s="131"/>
      <c r="G372" s="39"/>
    </row>
    <row r="373" spans="3:7" ht="15.75" customHeight="1" x14ac:dyDescent="0.45">
      <c r="C373" s="39"/>
      <c r="D373" s="131"/>
      <c r="E373" s="131"/>
      <c r="F373" s="131"/>
      <c r="G373" s="39"/>
    </row>
    <row r="374" spans="3:7" ht="15.75" customHeight="1" x14ac:dyDescent="0.45">
      <c r="C374" s="39"/>
      <c r="D374" s="131"/>
      <c r="E374" s="131"/>
      <c r="F374" s="131"/>
      <c r="G374" s="39"/>
    </row>
    <row r="375" spans="3:7" ht="15.75" customHeight="1" x14ac:dyDescent="0.45">
      <c r="C375" s="39"/>
      <c r="D375" s="131"/>
      <c r="E375" s="131"/>
      <c r="F375" s="131"/>
      <c r="G375" s="39"/>
    </row>
    <row r="376" spans="3:7" ht="15.75" customHeight="1" x14ac:dyDescent="0.45">
      <c r="C376" s="39"/>
      <c r="D376" s="131"/>
      <c r="E376" s="131"/>
      <c r="F376" s="131"/>
      <c r="G376" s="39"/>
    </row>
    <row r="377" spans="3:7" ht="15.75" customHeight="1" x14ac:dyDescent="0.45">
      <c r="C377" s="39"/>
      <c r="D377" s="131"/>
      <c r="E377" s="131"/>
      <c r="F377" s="131"/>
      <c r="G377" s="39"/>
    </row>
    <row r="378" spans="3:7" ht="15.75" customHeight="1" x14ac:dyDescent="0.45">
      <c r="C378" s="39"/>
      <c r="D378" s="131"/>
      <c r="E378" s="131"/>
      <c r="F378" s="131"/>
      <c r="G378" s="39"/>
    </row>
    <row r="379" spans="3:7" ht="15.75" customHeight="1" x14ac:dyDescent="0.45">
      <c r="C379" s="39"/>
      <c r="D379" s="131"/>
      <c r="E379" s="131"/>
      <c r="F379" s="131"/>
      <c r="G379" s="39"/>
    </row>
    <row r="380" spans="3:7" ht="15.75" customHeight="1" x14ac:dyDescent="0.45">
      <c r="C380" s="39"/>
      <c r="D380" s="131"/>
      <c r="E380" s="131"/>
      <c r="F380" s="131"/>
      <c r="G380" s="39"/>
    </row>
    <row r="381" spans="3:7" ht="15.75" customHeight="1" x14ac:dyDescent="0.45">
      <c r="C381" s="39"/>
      <c r="D381" s="131"/>
      <c r="E381" s="131"/>
      <c r="F381" s="131"/>
      <c r="G381" s="39"/>
    </row>
    <row r="382" spans="3:7" ht="15.75" customHeight="1" x14ac:dyDescent="0.45">
      <c r="C382" s="39"/>
      <c r="D382" s="131"/>
      <c r="E382" s="131"/>
      <c r="F382" s="131"/>
      <c r="G382" s="39"/>
    </row>
    <row r="383" spans="3:7" ht="15.75" customHeight="1" x14ac:dyDescent="0.45">
      <c r="C383" s="39"/>
      <c r="D383" s="131"/>
      <c r="E383" s="131"/>
      <c r="F383" s="131"/>
      <c r="G383" s="39"/>
    </row>
    <row r="384" spans="3:7" ht="15.75" customHeight="1" x14ac:dyDescent="0.45">
      <c r="C384" s="39"/>
      <c r="D384" s="131"/>
      <c r="E384" s="131"/>
      <c r="F384" s="131"/>
      <c r="G384" s="39"/>
    </row>
    <row r="385" spans="3:7" ht="15.75" customHeight="1" x14ac:dyDescent="0.45">
      <c r="C385" s="39"/>
      <c r="D385" s="131"/>
      <c r="E385" s="131"/>
      <c r="F385" s="131"/>
      <c r="G385" s="39"/>
    </row>
    <row r="386" spans="3:7" ht="15.75" customHeight="1" x14ac:dyDescent="0.45">
      <c r="C386" s="39"/>
      <c r="D386" s="131"/>
      <c r="E386" s="131"/>
      <c r="F386" s="131"/>
      <c r="G386" s="39"/>
    </row>
    <row r="387" spans="3:7" ht="15.75" customHeight="1" x14ac:dyDescent="0.45">
      <c r="C387" s="39"/>
      <c r="D387" s="131"/>
      <c r="E387" s="131"/>
      <c r="F387" s="131"/>
      <c r="G387" s="39"/>
    </row>
    <row r="388" spans="3:7" ht="15.75" customHeight="1" x14ac:dyDescent="0.45">
      <c r="C388" s="39"/>
      <c r="D388" s="131"/>
      <c r="E388" s="131"/>
      <c r="F388" s="131"/>
      <c r="G388" s="39"/>
    </row>
    <row r="389" spans="3:7" ht="15.75" customHeight="1" x14ac:dyDescent="0.45">
      <c r="C389" s="39"/>
      <c r="D389" s="131"/>
      <c r="E389" s="131"/>
      <c r="F389" s="131"/>
      <c r="G389" s="39"/>
    </row>
    <row r="390" spans="3:7" ht="15.75" customHeight="1" x14ac:dyDescent="0.45">
      <c r="C390" s="39"/>
      <c r="D390" s="131"/>
      <c r="E390" s="131"/>
      <c r="F390" s="131"/>
      <c r="G390" s="39"/>
    </row>
    <row r="391" spans="3:7" ht="15.75" customHeight="1" x14ac:dyDescent="0.45">
      <c r="C391" s="39"/>
      <c r="D391" s="131"/>
      <c r="E391" s="131"/>
      <c r="F391" s="131"/>
      <c r="G391" s="39"/>
    </row>
    <row r="392" spans="3:7" ht="15.75" customHeight="1" x14ac:dyDescent="0.45">
      <c r="C392" s="39"/>
      <c r="D392" s="131"/>
      <c r="E392" s="131"/>
      <c r="F392" s="131"/>
      <c r="G392" s="39"/>
    </row>
    <row r="393" spans="3:7" ht="15.75" customHeight="1" x14ac:dyDescent="0.45">
      <c r="C393" s="39"/>
      <c r="D393" s="131"/>
      <c r="E393" s="131"/>
      <c r="F393" s="131"/>
      <c r="G393" s="39"/>
    </row>
    <row r="394" spans="3:7" ht="15.75" customHeight="1" x14ac:dyDescent="0.45">
      <c r="C394" s="39"/>
      <c r="D394" s="131"/>
      <c r="E394" s="131"/>
      <c r="F394" s="131"/>
      <c r="G394" s="39"/>
    </row>
    <row r="395" spans="3:7" ht="15.75" customHeight="1" x14ac:dyDescent="0.45">
      <c r="C395" s="39"/>
      <c r="D395" s="131"/>
      <c r="E395" s="131"/>
      <c r="F395" s="131"/>
      <c r="G395" s="39"/>
    </row>
    <row r="396" spans="3:7" ht="15.75" customHeight="1" x14ac:dyDescent="0.45">
      <c r="C396" s="39"/>
      <c r="D396" s="131"/>
      <c r="E396" s="131"/>
      <c r="F396" s="131"/>
      <c r="G396" s="39"/>
    </row>
    <row r="397" spans="3:7" ht="15.75" customHeight="1" x14ac:dyDescent="0.45">
      <c r="C397" s="39"/>
      <c r="D397" s="131"/>
      <c r="E397" s="131"/>
      <c r="F397" s="131"/>
      <c r="G397" s="39"/>
    </row>
    <row r="398" spans="3:7" ht="15.75" customHeight="1" x14ac:dyDescent="0.45">
      <c r="C398" s="39"/>
      <c r="D398" s="131"/>
      <c r="E398" s="131"/>
      <c r="F398" s="131"/>
      <c r="G398" s="39"/>
    </row>
    <row r="399" spans="3:7" ht="15.75" customHeight="1" x14ac:dyDescent="0.45">
      <c r="C399" s="39"/>
      <c r="D399" s="131"/>
      <c r="E399" s="131"/>
      <c r="F399" s="131"/>
      <c r="G399" s="39"/>
    </row>
    <row r="400" spans="3:7" ht="15.75" customHeight="1" x14ac:dyDescent="0.45">
      <c r="C400" s="39"/>
      <c r="D400" s="131"/>
      <c r="E400" s="131"/>
      <c r="F400" s="131"/>
      <c r="G400" s="39"/>
    </row>
    <row r="401" spans="3:7" ht="15.75" customHeight="1" x14ac:dyDescent="0.45">
      <c r="C401" s="39"/>
      <c r="D401" s="131"/>
      <c r="E401" s="131"/>
      <c r="F401" s="131"/>
      <c r="G401" s="39"/>
    </row>
    <row r="402" spans="3:7" ht="15.75" customHeight="1" x14ac:dyDescent="0.45">
      <c r="C402" s="39"/>
      <c r="D402" s="131"/>
      <c r="E402" s="131"/>
      <c r="F402" s="131"/>
      <c r="G402" s="39"/>
    </row>
    <row r="403" spans="3:7" ht="15.75" customHeight="1" x14ac:dyDescent="0.45">
      <c r="C403" s="39"/>
      <c r="D403" s="131"/>
      <c r="E403" s="131"/>
      <c r="F403" s="131"/>
      <c r="G403" s="39"/>
    </row>
    <row r="404" spans="3:7" ht="15.75" customHeight="1" x14ac:dyDescent="0.45">
      <c r="C404" s="39"/>
      <c r="D404" s="131"/>
      <c r="E404" s="131"/>
      <c r="F404" s="131"/>
      <c r="G404" s="39"/>
    </row>
    <row r="405" spans="3:7" ht="15.75" customHeight="1" x14ac:dyDescent="0.45">
      <c r="C405" s="39"/>
      <c r="D405" s="131"/>
      <c r="E405" s="131"/>
      <c r="F405" s="131"/>
      <c r="G405" s="39"/>
    </row>
    <row r="406" spans="3:7" ht="15.75" customHeight="1" x14ac:dyDescent="0.45">
      <c r="C406" s="39"/>
      <c r="D406" s="131"/>
      <c r="E406" s="131"/>
      <c r="F406" s="131"/>
      <c r="G406" s="39"/>
    </row>
    <row r="407" spans="3:7" ht="15.75" customHeight="1" x14ac:dyDescent="0.45">
      <c r="C407" s="39"/>
      <c r="D407" s="131"/>
      <c r="E407" s="131"/>
      <c r="F407" s="131"/>
      <c r="G407" s="39"/>
    </row>
    <row r="408" spans="3:7" ht="15.75" customHeight="1" x14ac:dyDescent="0.45">
      <c r="C408" s="39"/>
      <c r="D408" s="131"/>
      <c r="E408" s="131"/>
      <c r="F408" s="131"/>
      <c r="G408" s="39"/>
    </row>
    <row r="409" spans="3:7" ht="15.75" customHeight="1" x14ac:dyDescent="0.45">
      <c r="C409" s="39"/>
      <c r="D409" s="131"/>
      <c r="E409" s="131"/>
      <c r="F409" s="131"/>
      <c r="G409" s="39"/>
    </row>
    <row r="410" spans="3:7" ht="15.75" customHeight="1" x14ac:dyDescent="0.45">
      <c r="C410" s="39"/>
      <c r="D410" s="131"/>
      <c r="E410" s="131"/>
      <c r="F410" s="131"/>
      <c r="G410" s="39"/>
    </row>
    <row r="411" spans="3:7" ht="15.75" customHeight="1" x14ac:dyDescent="0.45">
      <c r="C411" s="39"/>
      <c r="D411" s="131"/>
      <c r="E411" s="131"/>
      <c r="F411" s="131"/>
      <c r="G411" s="39"/>
    </row>
    <row r="412" spans="3:7" ht="15.75" customHeight="1" x14ac:dyDescent="0.45">
      <c r="C412" s="39"/>
      <c r="D412" s="131"/>
      <c r="E412" s="131"/>
      <c r="F412" s="131"/>
      <c r="G412" s="39"/>
    </row>
    <row r="413" spans="3:7" ht="15.75" customHeight="1" x14ac:dyDescent="0.45">
      <c r="C413" s="39"/>
      <c r="D413" s="131"/>
      <c r="E413" s="131"/>
      <c r="F413" s="131"/>
      <c r="G413" s="39"/>
    </row>
    <row r="414" spans="3:7" ht="15.75" customHeight="1" x14ac:dyDescent="0.45">
      <c r="C414" s="39"/>
      <c r="D414" s="131"/>
      <c r="E414" s="131"/>
      <c r="F414" s="131"/>
      <c r="G414" s="39"/>
    </row>
    <row r="415" spans="3:7" ht="15.75" customHeight="1" x14ac:dyDescent="0.45">
      <c r="C415" s="39"/>
      <c r="D415" s="131"/>
      <c r="E415" s="131"/>
      <c r="F415" s="131"/>
      <c r="G415" s="39"/>
    </row>
    <row r="416" spans="3:7" ht="15.75" customHeight="1" x14ac:dyDescent="0.45">
      <c r="C416" s="39"/>
      <c r="D416" s="131"/>
      <c r="E416" s="131"/>
      <c r="F416" s="131"/>
      <c r="G416" s="39"/>
    </row>
    <row r="417" spans="3:7" ht="15.75" customHeight="1" x14ac:dyDescent="0.45">
      <c r="C417" s="39"/>
      <c r="D417" s="131"/>
      <c r="E417" s="131"/>
      <c r="F417" s="131"/>
      <c r="G417" s="39"/>
    </row>
    <row r="418" spans="3:7" ht="15.75" customHeight="1" x14ac:dyDescent="0.45">
      <c r="C418" s="39"/>
      <c r="D418" s="131"/>
      <c r="E418" s="131"/>
      <c r="F418" s="131"/>
      <c r="G418" s="39"/>
    </row>
    <row r="419" spans="3:7" ht="15.75" customHeight="1" x14ac:dyDescent="0.45">
      <c r="C419" s="39"/>
      <c r="D419" s="131"/>
      <c r="E419" s="131"/>
      <c r="F419" s="131"/>
      <c r="G419" s="39"/>
    </row>
    <row r="420" spans="3:7" ht="15.75" customHeight="1" x14ac:dyDescent="0.45">
      <c r="C420" s="39"/>
      <c r="D420" s="131"/>
      <c r="E420" s="131"/>
      <c r="F420" s="131"/>
      <c r="G420" s="39"/>
    </row>
    <row r="421" spans="3:7" ht="15.75" customHeight="1" x14ac:dyDescent="0.45">
      <c r="C421" s="39"/>
      <c r="D421" s="131"/>
      <c r="E421" s="131"/>
      <c r="F421" s="131"/>
      <c r="G421" s="39"/>
    </row>
    <row r="422" spans="3:7" ht="15.75" customHeight="1" x14ac:dyDescent="0.45">
      <c r="C422" s="39"/>
      <c r="D422" s="131"/>
      <c r="E422" s="131"/>
      <c r="F422" s="131"/>
      <c r="G422" s="39"/>
    </row>
    <row r="423" spans="3:7" ht="15.75" customHeight="1" x14ac:dyDescent="0.45">
      <c r="C423" s="39"/>
      <c r="D423" s="131"/>
      <c r="E423" s="131"/>
      <c r="F423" s="131"/>
      <c r="G423" s="39"/>
    </row>
    <row r="424" spans="3:7" ht="15.75" customHeight="1" x14ac:dyDescent="0.45">
      <c r="C424" s="39"/>
      <c r="D424" s="131"/>
      <c r="E424" s="131"/>
      <c r="F424" s="131"/>
      <c r="G424" s="39"/>
    </row>
    <row r="425" spans="3:7" ht="15.75" customHeight="1" x14ac:dyDescent="0.45">
      <c r="C425" s="39"/>
      <c r="D425" s="131"/>
      <c r="E425" s="131"/>
      <c r="F425" s="131"/>
      <c r="G425" s="39"/>
    </row>
    <row r="426" spans="3:7" ht="15.75" customHeight="1" x14ac:dyDescent="0.45">
      <c r="C426" s="39"/>
      <c r="D426" s="131"/>
      <c r="E426" s="131"/>
      <c r="F426" s="131"/>
      <c r="G426" s="39"/>
    </row>
    <row r="427" spans="3:7" ht="15.75" customHeight="1" x14ac:dyDescent="0.45">
      <c r="C427" s="39"/>
      <c r="D427" s="131"/>
      <c r="E427" s="131"/>
      <c r="F427" s="131"/>
      <c r="G427" s="39"/>
    </row>
    <row r="428" spans="3:7" ht="15.75" customHeight="1" x14ac:dyDescent="0.45">
      <c r="C428" s="39"/>
      <c r="D428" s="131"/>
      <c r="E428" s="131"/>
      <c r="F428" s="131"/>
      <c r="G428" s="39"/>
    </row>
    <row r="429" spans="3:7" ht="15.75" customHeight="1" x14ac:dyDescent="0.45">
      <c r="C429" s="39"/>
      <c r="D429" s="131"/>
      <c r="E429" s="131"/>
      <c r="F429" s="131"/>
      <c r="G429" s="39"/>
    </row>
    <row r="430" spans="3:7" ht="15.75" customHeight="1" x14ac:dyDescent="0.45">
      <c r="C430" s="39"/>
      <c r="D430" s="131"/>
      <c r="E430" s="131"/>
      <c r="F430" s="131"/>
      <c r="G430" s="39"/>
    </row>
    <row r="431" spans="3:7" ht="15.75" customHeight="1" x14ac:dyDescent="0.45">
      <c r="C431" s="39"/>
      <c r="D431" s="131"/>
      <c r="E431" s="131"/>
      <c r="F431" s="131"/>
      <c r="G431" s="39"/>
    </row>
    <row r="432" spans="3:7" ht="15.75" customHeight="1" x14ac:dyDescent="0.45">
      <c r="C432" s="39"/>
      <c r="D432" s="131"/>
      <c r="E432" s="131"/>
      <c r="F432" s="131"/>
      <c r="G432" s="39"/>
    </row>
    <row r="433" spans="3:7" ht="15.75" customHeight="1" x14ac:dyDescent="0.45">
      <c r="C433" s="39"/>
      <c r="D433" s="131"/>
      <c r="E433" s="131"/>
      <c r="F433" s="131"/>
      <c r="G433" s="39"/>
    </row>
    <row r="434" spans="3:7" ht="15.75" customHeight="1" x14ac:dyDescent="0.45">
      <c r="C434" s="39"/>
      <c r="D434" s="131"/>
      <c r="E434" s="131"/>
      <c r="F434" s="131"/>
      <c r="G434" s="39"/>
    </row>
    <row r="435" spans="3:7" ht="15.75" customHeight="1" x14ac:dyDescent="0.45">
      <c r="C435" s="39"/>
      <c r="D435" s="131"/>
      <c r="E435" s="131"/>
      <c r="F435" s="131"/>
      <c r="G435" s="39"/>
    </row>
    <row r="436" spans="3:7" ht="15.75" customHeight="1" x14ac:dyDescent="0.45">
      <c r="C436" s="39"/>
      <c r="D436" s="131"/>
      <c r="E436" s="131"/>
      <c r="F436" s="131"/>
      <c r="G436" s="39"/>
    </row>
    <row r="437" spans="3:7" ht="15.75" customHeight="1" x14ac:dyDescent="0.45">
      <c r="C437" s="39"/>
      <c r="D437" s="131"/>
      <c r="E437" s="131"/>
      <c r="F437" s="131"/>
      <c r="G437" s="39"/>
    </row>
    <row r="438" spans="3:7" ht="15.75" customHeight="1" x14ac:dyDescent="0.45">
      <c r="C438" s="39"/>
      <c r="D438" s="131"/>
      <c r="E438" s="131"/>
      <c r="F438" s="131"/>
      <c r="G438" s="39"/>
    </row>
    <row r="439" spans="3:7" ht="15.75" customHeight="1" x14ac:dyDescent="0.45">
      <c r="C439" s="39"/>
      <c r="D439" s="131"/>
      <c r="E439" s="131"/>
      <c r="F439" s="131"/>
      <c r="G439" s="39"/>
    </row>
    <row r="440" spans="3:7" ht="15.75" customHeight="1" x14ac:dyDescent="0.45">
      <c r="C440" s="39"/>
      <c r="D440" s="131"/>
      <c r="E440" s="131"/>
      <c r="F440" s="131"/>
      <c r="G440" s="39"/>
    </row>
    <row r="441" spans="3:7" ht="15.75" customHeight="1" x14ac:dyDescent="0.45">
      <c r="C441" s="39"/>
      <c r="D441" s="131"/>
      <c r="E441" s="131"/>
      <c r="F441" s="131"/>
      <c r="G441" s="39"/>
    </row>
    <row r="442" spans="3:7" ht="15.75" customHeight="1" x14ac:dyDescent="0.45">
      <c r="C442" s="39"/>
      <c r="D442" s="131"/>
      <c r="E442" s="131"/>
      <c r="F442" s="131"/>
      <c r="G442" s="39"/>
    </row>
    <row r="443" spans="3:7" ht="15.75" customHeight="1" x14ac:dyDescent="0.45">
      <c r="C443" s="39"/>
      <c r="D443" s="131"/>
      <c r="E443" s="131"/>
      <c r="F443" s="131"/>
      <c r="G443" s="39"/>
    </row>
    <row r="444" spans="3:7" ht="15.75" customHeight="1" x14ac:dyDescent="0.45">
      <c r="C444" s="39"/>
      <c r="D444" s="131"/>
      <c r="E444" s="131"/>
      <c r="F444" s="131"/>
      <c r="G444" s="39"/>
    </row>
    <row r="445" spans="3:7" ht="15.75" customHeight="1" x14ac:dyDescent="0.45">
      <c r="C445" s="39"/>
      <c r="D445" s="131"/>
      <c r="E445" s="131"/>
      <c r="F445" s="131"/>
      <c r="G445" s="39"/>
    </row>
    <row r="446" spans="3:7" ht="15.75" customHeight="1" x14ac:dyDescent="0.45">
      <c r="C446" s="39"/>
      <c r="D446" s="131"/>
      <c r="E446" s="131"/>
      <c r="F446" s="131"/>
      <c r="G446" s="39"/>
    </row>
    <row r="447" spans="3:7" ht="15.75" customHeight="1" x14ac:dyDescent="0.45">
      <c r="C447" s="39"/>
      <c r="D447" s="131"/>
      <c r="E447" s="131"/>
      <c r="F447" s="131"/>
      <c r="G447" s="39"/>
    </row>
    <row r="448" spans="3:7" ht="15.75" customHeight="1" x14ac:dyDescent="0.45">
      <c r="C448" s="39"/>
      <c r="D448" s="131"/>
      <c r="E448" s="131"/>
      <c r="F448" s="131"/>
      <c r="G448" s="39"/>
    </row>
    <row r="449" spans="3:7" ht="15.75" customHeight="1" x14ac:dyDescent="0.45">
      <c r="C449" s="39"/>
      <c r="D449" s="131"/>
      <c r="E449" s="131"/>
      <c r="F449" s="131"/>
      <c r="G449" s="39"/>
    </row>
    <row r="450" spans="3:7" ht="15.75" customHeight="1" x14ac:dyDescent="0.45">
      <c r="C450" s="39"/>
      <c r="D450" s="131"/>
      <c r="E450" s="131"/>
      <c r="F450" s="131"/>
      <c r="G450" s="39"/>
    </row>
    <row r="451" spans="3:7" ht="15.75" customHeight="1" x14ac:dyDescent="0.45">
      <c r="C451" s="39"/>
      <c r="D451" s="131"/>
      <c r="E451" s="131"/>
      <c r="F451" s="131"/>
      <c r="G451" s="39"/>
    </row>
    <row r="452" spans="3:7" ht="15.75" customHeight="1" x14ac:dyDescent="0.45">
      <c r="C452" s="39"/>
      <c r="D452" s="131"/>
      <c r="E452" s="131"/>
      <c r="F452" s="131"/>
      <c r="G452" s="39"/>
    </row>
    <row r="453" spans="3:7" ht="15.75" customHeight="1" x14ac:dyDescent="0.45">
      <c r="C453" s="39"/>
      <c r="D453" s="131"/>
      <c r="E453" s="131"/>
      <c r="F453" s="131"/>
      <c r="G453" s="39"/>
    </row>
    <row r="454" spans="3:7" ht="15.75" customHeight="1" x14ac:dyDescent="0.45">
      <c r="C454" s="39"/>
      <c r="D454" s="131"/>
      <c r="E454" s="131"/>
      <c r="F454" s="131"/>
      <c r="G454" s="39"/>
    </row>
    <row r="455" spans="3:7" ht="15.75" customHeight="1" x14ac:dyDescent="0.45">
      <c r="C455" s="39"/>
      <c r="D455" s="131"/>
      <c r="E455" s="131"/>
      <c r="F455" s="131"/>
      <c r="G455" s="39"/>
    </row>
    <row r="456" spans="3:7" ht="15.75" customHeight="1" x14ac:dyDescent="0.45">
      <c r="C456" s="39"/>
      <c r="D456" s="131"/>
      <c r="E456" s="131"/>
      <c r="F456" s="131"/>
      <c r="G456" s="39"/>
    </row>
    <row r="457" spans="3:7" ht="15.75" customHeight="1" x14ac:dyDescent="0.45">
      <c r="C457" s="39"/>
      <c r="D457" s="131"/>
      <c r="E457" s="131"/>
      <c r="F457" s="131"/>
      <c r="G457" s="39"/>
    </row>
    <row r="458" spans="3:7" ht="15.75" customHeight="1" x14ac:dyDescent="0.45">
      <c r="C458" s="39"/>
      <c r="D458" s="131"/>
      <c r="E458" s="131"/>
      <c r="F458" s="131"/>
      <c r="G458" s="39"/>
    </row>
    <row r="459" spans="3:7" ht="15.75" customHeight="1" x14ac:dyDescent="0.45">
      <c r="C459" s="39"/>
      <c r="D459" s="131"/>
      <c r="E459" s="131"/>
      <c r="F459" s="131"/>
      <c r="G459" s="39"/>
    </row>
    <row r="460" spans="3:7" ht="15.75" customHeight="1" x14ac:dyDescent="0.45">
      <c r="C460" s="39"/>
      <c r="D460" s="131"/>
      <c r="E460" s="131"/>
      <c r="F460" s="131"/>
      <c r="G460" s="39"/>
    </row>
    <row r="461" spans="3:7" ht="15.75" customHeight="1" x14ac:dyDescent="0.45">
      <c r="C461" s="39"/>
      <c r="D461" s="131"/>
      <c r="E461" s="131"/>
      <c r="F461" s="131"/>
      <c r="G461" s="39"/>
    </row>
    <row r="462" spans="3:7" ht="15.75" customHeight="1" x14ac:dyDescent="0.45">
      <c r="C462" s="39"/>
      <c r="D462" s="131"/>
      <c r="E462" s="131"/>
      <c r="F462" s="131"/>
      <c r="G462" s="39"/>
    </row>
    <row r="463" spans="3:7" ht="15.75" customHeight="1" x14ac:dyDescent="0.45">
      <c r="C463" s="39"/>
      <c r="D463" s="131"/>
      <c r="E463" s="131"/>
      <c r="F463" s="131"/>
      <c r="G463" s="39"/>
    </row>
    <row r="464" spans="3:7" ht="15.75" customHeight="1" x14ac:dyDescent="0.45">
      <c r="C464" s="39"/>
      <c r="D464" s="131"/>
      <c r="E464" s="131"/>
      <c r="F464" s="131"/>
      <c r="G464" s="39"/>
    </row>
    <row r="465" spans="3:7" ht="15.75" customHeight="1" x14ac:dyDescent="0.45">
      <c r="C465" s="39"/>
      <c r="D465" s="131"/>
      <c r="E465" s="131"/>
      <c r="F465" s="131"/>
      <c r="G465" s="39"/>
    </row>
    <row r="466" spans="3:7" ht="15.75" customHeight="1" x14ac:dyDescent="0.45">
      <c r="C466" s="39"/>
      <c r="D466" s="131"/>
      <c r="E466" s="131"/>
      <c r="F466" s="131"/>
      <c r="G466" s="39"/>
    </row>
    <row r="467" spans="3:7" ht="15.75" customHeight="1" x14ac:dyDescent="0.45">
      <c r="C467" s="39"/>
      <c r="D467" s="131"/>
      <c r="E467" s="131"/>
      <c r="F467" s="131"/>
      <c r="G467" s="39"/>
    </row>
    <row r="468" spans="3:7" ht="15.75" customHeight="1" x14ac:dyDescent="0.45">
      <c r="C468" s="39"/>
      <c r="D468" s="131"/>
      <c r="E468" s="131"/>
      <c r="F468" s="131"/>
      <c r="G468" s="39"/>
    </row>
    <row r="469" spans="3:7" ht="15.75" customHeight="1" x14ac:dyDescent="0.45">
      <c r="C469" s="39"/>
      <c r="D469" s="131"/>
      <c r="E469" s="131"/>
      <c r="F469" s="131"/>
      <c r="G469" s="39"/>
    </row>
    <row r="470" spans="3:7" ht="15.75" customHeight="1" x14ac:dyDescent="0.45">
      <c r="C470" s="39"/>
      <c r="D470" s="131"/>
      <c r="E470" s="131"/>
      <c r="F470" s="131"/>
      <c r="G470" s="39"/>
    </row>
    <row r="471" spans="3:7" ht="15.75" customHeight="1" x14ac:dyDescent="0.45">
      <c r="C471" s="39"/>
      <c r="D471" s="131"/>
      <c r="E471" s="131"/>
      <c r="F471" s="131"/>
      <c r="G471" s="39"/>
    </row>
    <row r="472" spans="3:7" ht="15.75" customHeight="1" x14ac:dyDescent="0.45">
      <c r="C472" s="39"/>
      <c r="D472" s="131"/>
      <c r="E472" s="131"/>
      <c r="F472" s="131"/>
      <c r="G472" s="39"/>
    </row>
    <row r="473" spans="3:7" ht="15.75" customHeight="1" x14ac:dyDescent="0.45">
      <c r="C473" s="39"/>
      <c r="D473" s="131"/>
      <c r="E473" s="131"/>
      <c r="F473" s="131"/>
      <c r="G473" s="39"/>
    </row>
    <row r="474" spans="3:7" ht="15.75" customHeight="1" x14ac:dyDescent="0.45">
      <c r="C474" s="39"/>
      <c r="D474" s="131"/>
      <c r="E474" s="131"/>
      <c r="F474" s="131"/>
      <c r="G474" s="39"/>
    </row>
    <row r="475" spans="3:7" ht="15.75" customHeight="1" x14ac:dyDescent="0.45">
      <c r="C475" s="39"/>
      <c r="D475" s="131"/>
      <c r="E475" s="131"/>
      <c r="F475" s="131"/>
      <c r="G475" s="39"/>
    </row>
    <row r="476" spans="3:7" ht="15.75" customHeight="1" x14ac:dyDescent="0.45">
      <c r="C476" s="39"/>
      <c r="D476" s="131"/>
      <c r="E476" s="131"/>
      <c r="F476" s="131"/>
      <c r="G476" s="39"/>
    </row>
    <row r="477" spans="3:7" ht="15.75" customHeight="1" x14ac:dyDescent="0.45">
      <c r="C477" s="39"/>
      <c r="D477" s="131"/>
      <c r="E477" s="131"/>
      <c r="F477" s="131"/>
      <c r="G477" s="39"/>
    </row>
    <row r="478" spans="3:7" ht="15.75" customHeight="1" x14ac:dyDescent="0.45">
      <c r="C478" s="39"/>
      <c r="D478" s="131"/>
      <c r="E478" s="131"/>
      <c r="F478" s="131"/>
      <c r="G478" s="39"/>
    </row>
    <row r="479" spans="3:7" ht="15.75" customHeight="1" x14ac:dyDescent="0.45">
      <c r="C479" s="39"/>
      <c r="D479" s="131"/>
      <c r="E479" s="131"/>
      <c r="F479" s="131"/>
      <c r="G479" s="39"/>
    </row>
    <row r="480" spans="3:7" ht="15.75" customHeight="1" x14ac:dyDescent="0.45">
      <c r="C480" s="39"/>
      <c r="D480" s="131"/>
      <c r="E480" s="131"/>
      <c r="F480" s="131"/>
      <c r="G480" s="39"/>
    </row>
    <row r="481" spans="3:7" ht="15.75" customHeight="1" x14ac:dyDescent="0.45">
      <c r="C481" s="39"/>
      <c r="D481" s="131"/>
      <c r="E481" s="131"/>
      <c r="F481" s="131"/>
      <c r="G481" s="39"/>
    </row>
    <row r="482" spans="3:7" ht="15.75" customHeight="1" x14ac:dyDescent="0.45">
      <c r="C482" s="39"/>
      <c r="D482" s="131"/>
      <c r="E482" s="131"/>
      <c r="F482" s="131"/>
      <c r="G482" s="39"/>
    </row>
    <row r="483" spans="3:7" ht="15.75" customHeight="1" x14ac:dyDescent="0.45">
      <c r="C483" s="39"/>
      <c r="D483" s="131"/>
      <c r="E483" s="131"/>
      <c r="F483" s="131"/>
      <c r="G483" s="39"/>
    </row>
    <row r="484" spans="3:7" ht="15.75" customHeight="1" x14ac:dyDescent="0.45">
      <c r="C484" s="39"/>
      <c r="D484" s="131"/>
      <c r="E484" s="131"/>
      <c r="F484" s="131"/>
      <c r="G484" s="39"/>
    </row>
    <row r="485" spans="3:7" ht="15.75" customHeight="1" x14ac:dyDescent="0.45">
      <c r="C485" s="39"/>
      <c r="D485" s="131"/>
      <c r="E485" s="131"/>
      <c r="F485" s="131"/>
      <c r="G485" s="39"/>
    </row>
    <row r="486" spans="3:7" ht="15.75" customHeight="1" x14ac:dyDescent="0.45">
      <c r="C486" s="39"/>
      <c r="D486" s="131"/>
      <c r="E486" s="131"/>
      <c r="F486" s="131"/>
      <c r="G486" s="39"/>
    </row>
    <row r="487" spans="3:7" ht="15.75" customHeight="1" x14ac:dyDescent="0.45">
      <c r="C487" s="39"/>
      <c r="D487" s="131"/>
      <c r="E487" s="131"/>
      <c r="F487" s="131"/>
      <c r="G487" s="39"/>
    </row>
    <row r="488" spans="3:7" ht="15.75" customHeight="1" x14ac:dyDescent="0.45">
      <c r="C488" s="39"/>
      <c r="D488" s="131"/>
      <c r="E488" s="131"/>
      <c r="F488" s="131"/>
      <c r="G488" s="39"/>
    </row>
    <row r="489" spans="3:7" ht="15.75" customHeight="1" x14ac:dyDescent="0.45">
      <c r="C489" s="39"/>
      <c r="D489" s="131"/>
      <c r="E489" s="131"/>
      <c r="F489" s="131"/>
      <c r="G489" s="39"/>
    </row>
    <row r="490" spans="3:7" ht="15.75" customHeight="1" x14ac:dyDescent="0.45">
      <c r="C490" s="39"/>
      <c r="D490" s="131"/>
      <c r="E490" s="131"/>
      <c r="F490" s="131"/>
      <c r="G490" s="39"/>
    </row>
    <row r="491" spans="3:7" ht="15.75" customHeight="1" x14ac:dyDescent="0.45">
      <c r="C491" s="39"/>
      <c r="D491" s="131"/>
      <c r="E491" s="131"/>
      <c r="F491" s="131"/>
      <c r="G491" s="39"/>
    </row>
    <row r="492" spans="3:7" ht="15.75" customHeight="1" x14ac:dyDescent="0.45">
      <c r="C492" s="39"/>
      <c r="D492" s="131"/>
      <c r="E492" s="131"/>
      <c r="F492" s="131"/>
      <c r="G492" s="39"/>
    </row>
    <row r="493" spans="3:7" ht="15.75" customHeight="1" x14ac:dyDescent="0.45">
      <c r="C493" s="39"/>
      <c r="D493" s="131"/>
      <c r="E493" s="131"/>
      <c r="F493" s="131"/>
      <c r="G493" s="39"/>
    </row>
    <row r="494" spans="3:7" ht="15.75" customHeight="1" x14ac:dyDescent="0.45">
      <c r="C494" s="39"/>
      <c r="D494" s="131"/>
      <c r="E494" s="131"/>
      <c r="F494" s="131"/>
      <c r="G494" s="39"/>
    </row>
    <row r="495" spans="3:7" ht="15.75" customHeight="1" x14ac:dyDescent="0.45">
      <c r="C495" s="39"/>
      <c r="D495" s="131"/>
      <c r="E495" s="131"/>
      <c r="F495" s="131"/>
      <c r="G495" s="39"/>
    </row>
    <row r="496" spans="3:7" ht="15.75" customHeight="1" x14ac:dyDescent="0.45">
      <c r="C496" s="39"/>
      <c r="D496" s="131"/>
      <c r="E496" s="131"/>
      <c r="F496" s="131"/>
      <c r="G496" s="39"/>
    </row>
    <row r="497" spans="3:7" ht="15.75" customHeight="1" x14ac:dyDescent="0.45">
      <c r="C497" s="39"/>
      <c r="D497" s="131"/>
      <c r="E497" s="131"/>
      <c r="F497" s="131"/>
      <c r="G497" s="39"/>
    </row>
    <row r="498" spans="3:7" ht="15.75" customHeight="1" x14ac:dyDescent="0.45">
      <c r="C498" s="39"/>
      <c r="D498" s="131"/>
      <c r="E498" s="131"/>
      <c r="F498" s="131"/>
      <c r="G498" s="39"/>
    </row>
    <row r="499" spans="3:7" ht="15.75" customHeight="1" x14ac:dyDescent="0.45">
      <c r="C499" s="39"/>
      <c r="D499" s="131"/>
      <c r="E499" s="131"/>
      <c r="F499" s="131"/>
      <c r="G499" s="39"/>
    </row>
    <row r="500" spans="3:7" ht="15.75" customHeight="1" x14ac:dyDescent="0.45">
      <c r="C500" s="39"/>
      <c r="D500" s="131"/>
      <c r="E500" s="131"/>
      <c r="F500" s="131"/>
      <c r="G500" s="39"/>
    </row>
    <row r="501" spans="3:7" ht="15.75" customHeight="1" x14ac:dyDescent="0.45">
      <c r="C501" s="39"/>
      <c r="D501" s="131"/>
      <c r="E501" s="131"/>
      <c r="F501" s="131"/>
      <c r="G501" s="39"/>
    </row>
    <row r="502" spans="3:7" ht="15.75" customHeight="1" x14ac:dyDescent="0.45">
      <c r="C502" s="39"/>
      <c r="D502" s="131"/>
      <c r="E502" s="131"/>
      <c r="F502" s="131"/>
      <c r="G502" s="39"/>
    </row>
    <row r="503" spans="3:7" ht="15.75" customHeight="1" x14ac:dyDescent="0.45">
      <c r="C503" s="39"/>
      <c r="D503" s="131"/>
      <c r="E503" s="131"/>
      <c r="F503" s="131"/>
      <c r="G503" s="39"/>
    </row>
    <row r="504" spans="3:7" ht="15.75" customHeight="1" x14ac:dyDescent="0.45">
      <c r="C504" s="39"/>
      <c r="D504" s="131"/>
      <c r="E504" s="131"/>
      <c r="F504" s="131"/>
      <c r="G504" s="39"/>
    </row>
    <row r="505" spans="3:7" ht="15.75" customHeight="1" x14ac:dyDescent="0.45">
      <c r="C505" s="39"/>
      <c r="D505" s="131"/>
      <c r="E505" s="131"/>
      <c r="F505" s="131"/>
      <c r="G505" s="39"/>
    </row>
    <row r="506" spans="3:7" ht="15.75" customHeight="1" x14ac:dyDescent="0.45">
      <c r="C506" s="39"/>
      <c r="D506" s="131"/>
      <c r="E506" s="131"/>
      <c r="F506" s="131"/>
      <c r="G506" s="39"/>
    </row>
    <row r="507" spans="3:7" ht="15.75" customHeight="1" x14ac:dyDescent="0.45">
      <c r="C507" s="39"/>
      <c r="D507" s="131"/>
      <c r="E507" s="131"/>
      <c r="F507" s="131"/>
      <c r="G507" s="39"/>
    </row>
    <row r="508" spans="3:7" ht="15.75" customHeight="1" x14ac:dyDescent="0.45">
      <c r="C508" s="39"/>
      <c r="D508" s="131"/>
      <c r="E508" s="131"/>
      <c r="F508" s="131"/>
      <c r="G508" s="39"/>
    </row>
    <row r="509" spans="3:7" ht="15.75" customHeight="1" x14ac:dyDescent="0.45">
      <c r="C509" s="39"/>
      <c r="D509" s="131"/>
      <c r="E509" s="131"/>
      <c r="F509" s="131"/>
      <c r="G509" s="39"/>
    </row>
    <row r="510" spans="3:7" ht="15.75" customHeight="1" x14ac:dyDescent="0.45">
      <c r="C510" s="39"/>
      <c r="D510" s="131"/>
      <c r="E510" s="131"/>
      <c r="F510" s="131"/>
      <c r="G510" s="39"/>
    </row>
    <row r="511" spans="3:7" ht="15.75" customHeight="1" x14ac:dyDescent="0.45">
      <c r="C511" s="39"/>
      <c r="D511" s="131"/>
      <c r="E511" s="131"/>
      <c r="F511" s="131"/>
      <c r="G511" s="39"/>
    </row>
    <row r="512" spans="3:7" ht="15.75" customHeight="1" x14ac:dyDescent="0.45">
      <c r="C512" s="39"/>
      <c r="D512" s="131"/>
      <c r="E512" s="131"/>
      <c r="F512" s="131"/>
      <c r="G512" s="39"/>
    </row>
    <row r="513" spans="3:7" ht="15.75" customHeight="1" x14ac:dyDescent="0.45">
      <c r="C513" s="39"/>
      <c r="D513" s="131"/>
      <c r="E513" s="131"/>
      <c r="F513" s="131"/>
      <c r="G513" s="39"/>
    </row>
    <row r="514" spans="3:7" ht="15.75" customHeight="1" x14ac:dyDescent="0.45">
      <c r="C514" s="39"/>
      <c r="D514" s="131"/>
      <c r="E514" s="131"/>
      <c r="F514" s="131"/>
      <c r="G514" s="39"/>
    </row>
    <row r="515" spans="3:7" ht="15.75" customHeight="1" x14ac:dyDescent="0.45">
      <c r="C515" s="39"/>
      <c r="D515" s="131"/>
      <c r="E515" s="131"/>
      <c r="F515" s="131"/>
      <c r="G515" s="39"/>
    </row>
    <row r="516" spans="3:7" ht="15.75" customHeight="1" x14ac:dyDescent="0.45">
      <c r="C516" s="39"/>
      <c r="D516" s="131"/>
      <c r="E516" s="131"/>
      <c r="F516" s="131"/>
      <c r="G516" s="39"/>
    </row>
    <row r="517" spans="3:7" ht="15.75" customHeight="1" x14ac:dyDescent="0.45">
      <c r="C517" s="39"/>
      <c r="D517" s="131"/>
      <c r="E517" s="131"/>
      <c r="F517" s="131"/>
      <c r="G517" s="39"/>
    </row>
    <row r="518" spans="3:7" ht="15.75" customHeight="1" x14ac:dyDescent="0.45">
      <c r="C518" s="39"/>
      <c r="D518" s="131"/>
      <c r="E518" s="131"/>
      <c r="F518" s="131"/>
      <c r="G518" s="39"/>
    </row>
    <row r="519" spans="3:7" ht="15.75" customHeight="1" x14ac:dyDescent="0.45">
      <c r="C519" s="39"/>
      <c r="D519" s="131"/>
      <c r="E519" s="131"/>
      <c r="F519" s="131"/>
      <c r="G519" s="39"/>
    </row>
    <row r="520" spans="3:7" ht="15.75" customHeight="1" x14ac:dyDescent="0.45">
      <c r="C520" s="39"/>
      <c r="D520" s="131"/>
      <c r="E520" s="131"/>
      <c r="F520" s="131"/>
      <c r="G520" s="39"/>
    </row>
    <row r="521" spans="3:7" ht="15.75" customHeight="1" x14ac:dyDescent="0.45">
      <c r="C521" s="39"/>
      <c r="D521" s="131"/>
      <c r="E521" s="131"/>
      <c r="F521" s="131"/>
      <c r="G521" s="39"/>
    </row>
    <row r="522" spans="3:7" ht="15.75" customHeight="1" x14ac:dyDescent="0.45">
      <c r="C522" s="39"/>
      <c r="D522" s="131"/>
      <c r="E522" s="131"/>
      <c r="F522" s="131"/>
      <c r="G522" s="39"/>
    </row>
    <row r="523" spans="3:7" ht="15.75" customHeight="1" x14ac:dyDescent="0.45">
      <c r="C523" s="39"/>
      <c r="D523" s="131"/>
      <c r="E523" s="131"/>
      <c r="F523" s="131"/>
      <c r="G523" s="39"/>
    </row>
    <row r="524" spans="3:7" ht="15.75" customHeight="1" x14ac:dyDescent="0.45">
      <c r="C524" s="39"/>
      <c r="D524" s="131"/>
      <c r="E524" s="131"/>
      <c r="F524" s="131"/>
      <c r="G524" s="39"/>
    </row>
    <row r="525" spans="3:7" ht="15.75" customHeight="1" x14ac:dyDescent="0.45">
      <c r="C525" s="39"/>
      <c r="D525" s="131"/>
      <c r="E525" s="131"/>
      <c r="F525" s="131"/>
      <c r="G525" s="39"/>
    </row>
    <row r="526" spans="3:7" ht="15.75" customHeight="1" x14ac:dyDescent="0.45">
      <c r="C526" s="39"/>
      <c r="D526" s="131"/>
      <c r="E526" s="131"/>
      <c r="F526" s="131"/>
      <c r="G526" s="39"/>
    </row>
    <row r="527" spans="3:7" ht="15.75" customHeight="1" x14ac:dyDescent="0.45">
      <c r="C527" s="39"/>
      <c r="D527" s="131"/>
      <c r="E527" s="131"/>
      <c r="F527" s="131"/>
      <c r="G527" s="39"/>
    </row>
    <row r="528" spans="3:7" ht="15.75" customHeight="1" x14ac:dyDescent="0.45">
      <c r="C528" s="39"/>
      <c r="D528" s="131"/>
      <c r="E528" s="131"/>
      <c r="F528" s="131"/>
      <c r="G528" s="39"/>
    </row>
    <row r="529" spans="3:7" ht="15.75" customHeight="1" x14ac:dyDescent="0.45">
      <c r="C529" s="39"/>
      <c r="D529" s="131"/>
      <c r="E529" s="131"/>
      <c r="F529" s="131"/>
      <c r="G529" s="39"/>
    </row>
    <row r="530" spans="3:7" ht="15.75" customHeight="1" x14ac:dyDescent="0.45">
      <c r="C530" s="39"/>
      <c r="D530" s="131"/>
      <c r="E530" s="131"/>
      <c r="F530" s="131"/>
      <c r="G530" s="39"/>
    </row>
    <row r="531" spans="3:7" ht="15.75" customHeight="1" x14ac:dyDescent="0.45">
      <c r="C531" s="39"/>
      <c r="D531" s="131"/>
      <c r="E531" s="131"/>
      <c r="F531" s="131"/>
      <c r="G531" s="39"/>
    </row>
    <row r="532" spans="3:7" ht="15.75" customHeight="1" x14ac:dyDescent="0.45">
      <c r="C532" s="39"/>
      <c r="D532" s="131"/>
      <c r="E532" s="131"/>
      <c r="F532" s="131"/>
      <c r="G532" s="39"/>
    </row>
    <row r="533" spans="3:7" ht="15.75" customHeight="1" x14ac:dyDescent="0.45">
      <c r="C533" s="39"/>
      <c r="D533" s="131"/>
      <c r="E533" s="131"/>
      <c r="F533" s="131"/>
      <c r="G533" s="39"/>
    </row>
    <row r="534" spans="3:7" ht="15.75" customHeight="1" x14ac:dyDescent="0.45">
      <c r="C534" s="39"/>
      <c r="D534" s="131"/>
      <c r="E534" s="131"/>
      <c r="F534" s="131"/>
      <c r="G534" s="39"/>
    </row>
    <row r="535" spans="3:7" ht="15.75" customHeight="1" x14ac:dyDescent="0.45">
      <c r="C535" s="39"/>
      <c r="D535" s="131"/>
      <c r="E535" s="131"/>
      <c r="F535" s="131"/>
      <c r="G535" s="39"/>
    </row>
    <row r="536" spans="3:7" ht="15.75" customHeight="1" x14ac:dyDescent="0.45">
      <c r="C536" s="39"/>
      <c r="D536" s="131"/>
      <c r="E536" s="131"/>
      <c r="F536" s="131"/>
      <c r="G536" s="39"/>
    </row>
    <row r="537" spans="3:7" ht="15.75" customHeight="1" x14ac:dyDescent="0.45">
      <c r="C537" s="39"/>
      <c r="D537" s="131"/>
      <c r="E537" s="131"/>
      <c r="F537" s="131"/>
      <c r="G537" s="39"/>
    </row>
    <row r="538" spans="3:7" ht="15.75" customHeight="1" x14ac:dyDescent="0.45">
      <c r="C538" s="39"/>
      <c r="D538" s="131"/>
      <c r="E538" s="131"/>
      <c r="F538" s="131"/>
      <c r="G538" s="39"/>
    </row>
    <row r="539" spans="3:7" ht="15.75" customHeight="1" x14ac:dyDescent="0.45">
      <c r="C539" s="39"/>
      <c r="D539" s="131"/>
      <c r="E539" s="131"/>
      <c r="F539" s="131"/>
      <c r="G539" s="39"/>
    </row>
    <row r="540" spans="3:7" ht="15.75" customHeight="1" x14ac:dyDescent="0.45">
      <c r="C540" s="39"/>
      <c r="D540" s="131"/>
      <c r="E540" s="131"/>
      <c r="F540" s="131"/>
      <c r="G540" s="39"/>
    </row>
    <row r="541" spans="3:7" ht="15.75" customHeight="1" x14ac:dyDescent="0.45">
      <c r="C541" s="39"/>
      <c r="D541" s="131"/>
      <c r="E541" s="131"/>
      <c r="F541" s="131"/>
      <c r="G541" s="39"/>
    </row>
    <row r="542" spans="3:7" ht="15.75" customHeight="1" x14ac:dyDescent="0.45">
      <c r="C542" s="39"/>
      <c r="D542" s="131"/>
      <c r="E542" s="131"/>
      <c r="F542" s="131"/>
      <c r="G542" s="39"/>
    </row>
    <row r="543" spans="3:7" ht="15.75" customHeight="1" x14ac:dyDescent="0.45">
      <c r="C543" s="39"/>
      <c r="D543" s="131"/>
      <c r="E543" s="131"/>
      <c r="F543" s="131"/>
      <c r="G543" s="39"/>
    </row>
    <row r="544" spans="3:7" ht="15.75" customHeight="1" x14ac:dyDescent="0.45">
      <c r="C544" s="39"/>
      <c r="D544" s="131"/>
      <c r="E544" s="131"/>
      <c r="F544" s="131"/>
      <c r="G544" s="39"/>
    </row>
    <row r="545" spans="3:7" ht="15.75" customHeight="1" x14ac:dyDescent="0.45">
      <c r="C545" s="39"/>
      <c r="D545" s="131"/>
      <c r="E545" s="131"/>
      <c r="F545" s="131"/>
      <c r="G545" s="39"/>
    </row>
    <row r="546" spans="3:7" ht="15.75" customHeight="1" x14ac:dyDescent="0.45">
      <c r="C546" s="39"/>
      <c r="D546" s="131"/>
      <c r="E546" s="131"/>
      <c r="F546" s="131"/>
      <c r="G546" s="39"/>
    </row>
    <row r="547" spans="3:7" ht="15.75" customHeight="1" x14ac:dyDescent="0.45">
      <c r="C547" s="39"/>
      <c r="D547" s="131"/>
      <c r="E547" s="131"/>
      <c r="F547" s="131"/>
      <c r="G547" s="39"/>
    </row>
    <row r="548" spans="3:7" ht="15.75" customHeight="1" x14ac:dyDescent="0.45">
      <c r="C548" s="39"/>
      <c r="D548" s="131"/>
      <c r="E548" s="131"/>
      <c r="F548" s="131"/>
      <c r="G548" s="39"/>
    </row>
    <row r="549" spans="3:7" ht="15.75" customHeight="1" x14ac:dyDescent="0.45">
      <c r="C549" s="39"/>
      <c r="D549" s="131"/>
      <c r="E549" s="131"/>
      <c r="F549" s="131"/>
      <c r="G549" s="39"/>
    </row>
    <row r="550" spans="3:7" ht="15.75" customHeight="1" x14ac:dyDescent="0.45">
      <c r="C550" s="39"/>
      <c r="D550" s="131"/>
      <c r="E550" s="131"/>
      <c r="F550" s="131"/>
      <c r="G550" s="39"/>
    </row>
    <row r="551" spans="3:7" ht="15.75" customHeight="1" x14ac:dyDescent="0.45">
      <c r="C551" s="39"/>
      <c r="D551" s="131"/>
      <c r="E551" s="131"/>
      <c r="F551" s="131"/>
      <c r="G551" s="39"/>
    </row>
    <row r="552" spans="3:7" ht="15.75" customHeight="1" x14ac:dyDescent="0.45">
      <c r="C552" s="39"/>
      <c r="D552" s="131"/>
      <c r="E552" s="131"/>
      <c r="F552" s="131"/>
      <c r="G552" s="39"/>
    </row>
    <row r="553" spans="3:7" ht="15.75" customHeight="1" x14ac:dyDescent="0.45">
      <c r="C553" s="39"/>
      <c r="D553" s="131"/>
      <c r="E553" s="131"/>
      <c r="F553" s="131"/>
      <c r="G553" s="39"/>
    </row>
    <row r="554" spans="3:7" ht="15.75" customHeight="1" x14ac:dyDescent="0.45">
      <c r="C554" s="39"/>
      <c r="D554" s="131"/>
      <c r="E554" s="131"/>
      <c r="F554" s="131"/>
      <c r="G554" s="39"/>
    </row>
    <row r="555" spans="3:7" ht="15.75" customHeight="1" x14ac:dyDescent="0.45">
      <c r="C555" s="39"/>
      <c r="D555" s="131"/>
      <c r="E555" s="131"/>
      <c r="F555" s="131"/>
      <c r="G555" s="39"/>
    </row>
    <row r="556" spans="3:7" ht="15.75" customHeight="1" x14ac:dyDescent="0.45">
      <c r="C556" s="39"/>
      <c r="D556" s="131"/>
      <c r="E556" s="131"/>
      <c r="F556" s="131"/>
      <c r="G556" s="39"/>
    </row>
    <row r="557" spans="3:7" ht="15.75" customHeight="1" x14ac:dyDescent="0.45">
      <c r="C557" s="39"/>
      <c r="D557" s="131"/>
      <c r="E557" s="131"/>
      <c r="F557" s="131"/>
      <c r="G557" s="39"/>
    </row>
    <row r="558" spans="3:7" ht="15.75" customHeight="1" x14ac:dyDescent="0.45">
      <c r="C558" s="39"/>
      <c r="D558" s="131"/>
      <c r="E558" s="131"/>
      <c r="F558" s="131"/>
      <c r="G558" s="39"/>
    </row>
    <row r="559" spans="3:7" ht="15.75" customHeight="1" x14ac:dyDescent="0.45">
      <c r="C559" s="39"/>
      <c r="D559" s="131"/>
      <c r="E559" s="131"/>
      <c r="F559" s="131"/>
      <c r="G559" s="39"/>
    </row>
    <row r="560" spans="3:7" ht="15.75" customHeight="1" x14ac:dyDescent="0.45">
      <c r="C560" s="39"/>
      <c r="D560" s="131"/>
      <c r="E560" s="131"/>
      <c r="F560" s="131"/>
      <c r="G560" s="39"/>
    </row>
    <row r="561" spans="3:7" ht="15.75" customHeight="1" x14ac:dyDescent="0.45">
      <c r="C561" s="39"/>
      <c r="D561" s="131"/>
      <c r="E561" s="131"/>
      <c r="F561" s="131"/>
      <c r="G561" s="39"/>
    </row>
    <row r="562" spans="3:7" ht="15.75" customHeight="1" x14ac:dyDescent="0.45">
      <c r="C562" s="39"/>
      <c r="D562" s="131"/>
      <c r="E562" s="131"/>
      <c r="F562" s="131"/>
      <c r="G562" s="39"/>
    </row>
    <row r="563" spans="3:7" ht="15.75" customHeight="1" x14ac:dyDescent="0.45">
      <c r="C563" s="39"/>
      <c r="D563" s="131"/>
      <c r="E563" s="131"/>
      <c r="F563" s="131"/>
      <c r="G563" s="39"/>
    </row>
    <row r="564" spans="3:7" ht="15.75" customHeight="1" x14ac:dyDescent="0.45">
      <c r="C564" s="39"/>
      <c r="D564" s="131"/>
      <c r="E564" s="131"/>
      <c r="F564" s="131"/>
      <c r="G564" s="39"/>
    </row>
    <row r="565" spans="3:7" ht="15.75" customHeight="1" x14ac:dyDescent="0.45">
      <c r="C565" s="39"/>
      <c r="D565" s="131"/>
      <c r="E565" s="131"/>
      <c r="F565" s="131"/>
      <c r="G565" s="39"/>
    </row>
    <row r="566" spans="3:7" ht="15.75" customHeight="1" x14ac:dyDescent="0.45">
      <c r="C566" s="39"/>
      <c r="D566" s="131"/>
      <c r="E566" s="131"/>
      <c r="F566" s="131"/>
      <c r="G566" s="39"/>
    </row>
    <row r="567" spans="3:7" ht="15.75" customHeight="1" x14ac:dyDescent="0.45">
      <c r="C567" s="39"/>
      <c r="D567" s="131"/>
      <c r="E567" s="131"/>
      <c r="F567" s="131"/>
      <c r="G567" s="39"/>
    </row>
    <row r="568" spans="3:7" ht="15.75" customHeight="1" x14ac:dyDescent="0.45">
      <c r="C568" s="39"/>
      <c r="D568" s="131"/>
      <c r="E568" s="131"/>
      <c r="F568" s="131"/>
      <c r="G568" s="39"/>
    </row>
    <row r="569" spans="3:7" ht="15.75" customHeight="1" x14ac:dyDescent="0.45">
      <c r="C569" s="39"/>
      <c r="D569" s="131"/>
      <c r="E569" s="131"/>
      <c r="F569" s="131"/>
      <c r="G569" s="39"/>
    </row>
    <row r="570" spans="3:7" ht="15.75" customHeight="1" x14ac:dyDescent="0.45">
      <c r="C570" s="39"/>
      <c r="D570" s="131"/>
      <c r="E570" s="131"/>
      <c r="F570" s="131"/>
      <c r="G570" s="39"/>
    </row>
    <row r="571" spans="3:7" ht="15.75" customHeight="1" x14ac:dyDescent="0.45">
      <c r="C571" s="39"/>
      <c r="D571" s="131"/>
      <c r="E571" s="131"/>
      <c r="F571" s="131"/>
      <c r="G571" s="39"/>
    </row>
    <row r="572" spans="3:7" ht="15.75" customHeight="1" x14ac:dyDescent="0.45">
      <c r="C572" s="39"/>
      <c r="D572" s="131"/>
      <c r="E572" s="131"/>
      <c r="F572" s="131"/>
      <c r="G572" s="39"/>
    </row>
    <row r="573" spans="3:7" ht="15.75" customHeight="1" x14ac:dyDescent="0.45">
      <c r="C573" s="39"/>
      <c r="D573" s="131"/>
      <c r="E573" s="131"/>
      <c r="F573" s="131"/>
      <c r="G573" s="39"/>
    </row>
    <row r="574" spans="3:7" ht="15.75" customHeight="1" x14ac:dyDescent="0.45">
      <c r="C574" s="39"/>
      <c r="D574" s="131"/>
      <c r="E574" s="131"/>
      <c r="F574" s="131"/>
      <c r="G574" s="39"/>
    </row>
    <row r="575" spans="3:7" ht="15.75" customHeight="1" x14ac:dyDescent="0.45">
      <c r="C575" s="39"/>
      <c r="D575" s="131"/>
      <c r="E575" s="131"/>
      <c r="F575" s="131"/>
      <c r="G575" s="39"/>
    </row>
    <row r="576" spans="3:7" ht="15.75" customHeight="1" x14ac:dyDescent="0.45">
      <c r="C576" s="39"/>
      <c r="D576" s="131"/>
      <c r="E576" s="131"/>
      <c r="F576" s="131"/>
      <c r="G576" s="39"/>
    </row>
    <row r="577" spans="3:7" ht="15.75" customHeight="1" x14ac:dyDescent="0.45">
      <c r="C577" s="39"/>
      <c r="D577" s="131"/>
      <c r="E577" s="131"/>
      <c r="F577" s="131"/>
      <c r="G577" s="39"/>
    </row>
    <row r="578" spans="3:7" ht="15.75" customHeight="1" x14ac:dyDescent="0.45">
      <c r="C578" s="39"/>
      <c r="D578" s="131"/>
      <c r="E578" s="131"/>
      <c r="F578" s="131"/>
      <c r="G578" s="39"/>
    </row>
    <row r="579" spans="3:7" ht="15.75" customHeight="1" x14ac:dyDescent="0.45">
      <c r="C579" s="39"/>
      <c r="D579" s="131"/>
      <c r="E579" s="131"/>
      <c r="F579" s="131"/>
      <c r="G579" s="39"/>
    </row>
    <row r="580" spans="3:7" ht="15.75" customHeight="1" x14ac:dyDescent="0.45">
      <c r="C580" s="39"/>
      <c r="D580" s="131"/>
      <c r="E580" s="131"/>
      <c r="F580" s="131"/>
      <c r="G580" s="39"/>
    </row>
    <row r="581" spans="3:7" ht="15.75" customHeight="1" x14ac:dyDescent="0.45">
      <c r="C581" s="39"/>
      <c r="D581" s="131"/>
      <c r="E581" s="131"/>
      <c r="F581" s="131"/>
      <c r="G581" s="39"/>
    </row>
    <row r="582" spans="3:7" ht="15.75" customHeight="1" x14ac:dyDescent="0.45">
      <c r="C582" s="39"/>
      <c r="D582" s="131"/>
      <c r="E582" s="131"/>
      <c r="F582" s="131"/>
      <c r="G582" s="39"/>
    </row>
    <row r="583" spans="3:7" ht="15.75" customHeight="1" x14ac:dyDescent="0.45">
      <c r="C583" s="39"/>
      <c r="D583" s="131"/>
      <c r="E583" s="131"/>
      <c r="F583" s="131"/>
      <c r="G583" s="39"/>
    </row>
    <row r="584" spans="3:7" ht="15.75" customHeight="1" x14ac:dyDescent="0.45">
      <c r="C584" s="39"/>
      <c r="D584" s="131"/>
      <c r="E584" s="131"/>
      <c r="F584" s="131"/>
      <c r="G584" s="39"/>
    </row>
    <row r="585" spans="3:7" ht="15.75" customHeight="1" x14ac:dyDescent="0.45">
      <c r="C585" s="39"/>
      <c r="D585" s="131"/>
      <c r="E585" s="131"/>
      <c r="F585" s="131"/>
      <c r="G585" s="39"/>
    </row>
    <row r="586" spans="3:7" ht="15.75" customHeight="1" x14ac:dyDescent="0.45">
      <c r="C586" s="39"/>
      <c r="D586" s="131"/>
      <c r="E586" s="131"/>
      <c r="F586" s="131"/>
      <c r="G586" s="39"/>
    </row>
    <row r="587" spans="3:7" ht="15.75" customHeight="1" x14ac:dyDescent="0.45">
      <c r="C587" s="39"/>
      <c r="D587" s="131"/>
      <c r="E587" s="131"/>
      <c r="F587" s="131"/>
      <c r="G587" s="39"/>
    </row>
    <row r="588" spans="3:7" ht="15.75" customHeight="1" x14ac:dyDescent="0.45">
      <c r="C588" s="39"/>
      <c r="D588" s="131"/>
      <c r="E588" s="131"/>
      <c r="F588" s="131"/>
      <c r="G588" s="39"/>
    </row>
    <row r="589" spans="3:7" ht="15.75" customHeight="1" x14ac:dyDescent="0.45">
      <c r="C589" s="39"/>
      <c r="D589" s="131"/>
      <c r="E589" s="131"/>
      <c r="F589" s="131"/>
      <c r="G589" s="39"/>
    </row>
    <row r="590" spans="3:7" ht="15.75" customHeight="1" x14ac:dyDescent="0.45">
      <c r="C590" s="39"/>
      <c r="D590" s="131"/>
      <c r="E590" s="131"/>
      <c r="F590" s="131"/>
      <c r="G590" s="39"/>
    </row>
    <row r="591" spans="3:7" ht="15.75" customHeight="1" x14ac:dyDescent="0.45">
      <c r="C591" s="39"/>
      <c r="D591" s="131"/>
      <c r="E591" s="131"/>
      <c r="F591" s="131"/>
      <c r="G591" s="39"/>
    </row>
    <row r="592" spans="3:7" ht="15.75" customHeight="1" x14ac:dyDescent="0.45">
      <c r="C592" s="39"/>
      <c r="D592" s="131"/>
      <c r="E592" s="131"/>
      <c r="F592" s="131"/>
      <c r="G592" s="39"/>
    </row>
    <row r="593" spans="3:7" ht="15.75" customHeight="1" x14ac:dyDescent="0.45">
      <c r="C593" s="39"/>
      <c r="D593" s="131"/>
      <c r="E593" s="131"/>
      <c r="F593" s="131"/>
      <c r="G593" s="39"/>
    </row>
    <row r="594" spans="3:7" ht="15.75" customHeight="1" x14ac:dyDescent="0.45">
      <c r="C594" s="39"/>
      <c r="D594" s="131"/>
      <c r="E594" s="131"/>
      <c r="F594" s="131"/>
      <c r="G594" s="39"/>
    </row>
    <row r="595" spans="3:7" ht="15.75" customHeight="1" x14ac:dyDescent="0.45">
      <c r="C595" s="39"/>
      <c r="D595" s="131"/>
      <c r="E595" s="131"/>
      <c r="F595" s="131"/>
      <c r="G595" s="39"/>
    </row>
    <row r="596" spans="3:7" ht="15.75" customHeight="1" x14ac:dyDescent="0.45">
      <c r="C596" s="39"/>
      <c r="D596" s="131"/>
      <c r="E596" s="131"/>
      <c r="F596" s="131"/>
      <c r="G596" s="39"/>
    </row>
    <row r="597" spans="3:7" ht="15.75" customHeight="1" x14ac:dyDescent="0.45">
      <c r="C597" s="39"/>
      <c r="D597" s="131"/>
      <c r="E597" s="131"/>
      <c r="F597" s="131"/>
      <c r="G597" s="39"/>
    </row>
    <row r="598" spans="3:7" ht="15.75" customHeight="1" x14ac:dyDescent="0.45">
      <c r="C598" s="39"/>
      <c r="D598" s="131"/>
      <c r="E598" s="131"/>
      <c r="F598" s="131"/>
      <c r="G598" s="39"/>
    </row>
    <row r="599" spans="3:7" ht="15.75" customHeight="1" x14ac:dyDescent="0.45">
      <c r="C599" s="39"/>
      <c r="D599" s="131"/>
      <c r="E599" s="131"/>
      <c r="F599" s="131"/>
      <c r="G599" s="39"/>
    </row>
    <row r="600" spans="3:7" ht="15.75" customHeight="1" x14ac:dyDescent="0.45">
      <c r="C600" s="39"/>
      <c r="D600" s="131"/>
      <c r="E600" s="131"/>
      <c r="F600" s="131"/>
      <c r="G600" s="39"/>
    </row>
    <row r="601" spans="3:7" ht="15.75" customHeight="1" x14ac:dyDescent="0.45">
      <c r="C601" s="39"/>
      <c r="D601" s="131"/>
      <c r="E601" s="131"/>
      <c r="F601" s="131"/>
      <c r="G601" s="39"/>
    </row>
    <row r="602" spans="3:7" ht="15.75" customHeight="1" x14ac:dyDescent="0.45">
      <c r="C602" s="39"/>
      <c r="D602" s="131"/>
      <c r="E602" s="131"/>
      <c r="F602" s="131"/>
      <c r="G602" s="39"/>
    </row>
    <row r="603" spans="3:7" ht="15.75" customHeight="1" x14ac:dyDescent="0.45">
      <c r="C603" s="39"/>
      <c r="D603" s="131"/>
      <c r="E603" s="131"/>
      <c r="F603" s="131"/>
      <c r="G603" s="39"/>
    </row>
    <row r="604" spans="3:7" ht="15.75" customHeight="1" x14ac:dyDescent="0.45">
      <c r="C604" s="39"/>
      <c r="D604" s="131"/>
      <c r="E604" s="131"/>
      <c r="F604" s="131"/>
      <c r="G604" s="39"/>
    </row>
    <row r="605" spans="3:7" ht="15.75" customHeight="1" x14ac:dyDescent="0.45">
      <c r="C605" s="39"/>
      <c r="D605" s="131"/>
      <c r="E605" s="131"/>
      <c r="F605" s="131"/>
      <c r="G605" s="39"/>
    </row>
    <row r="606" spans="3:7" ht="15.75" customHeight="1" x14ac:dyDescent="0.45">
      <c r="C606" s="39"/>
      <c r="D606" s="131"/>
      <c r="E606" s="131"/>
      <c r="F606" s="131"/>
      <c r="G606" s="39"/>
    </row>
    <row r="607" spans="3:7" ht="15.75" customHeight="1" x14ac:dyDescent="0.45">
      <c r="C607" s="39"/>
      <c r="D607" s="131"/>
      <c r="E607" s="131"/>
      <c r="F607" s="131"/>
      <c r="G607" s="39"/>
    </row>
    <row r="608" spans="3:7" ht="15.75" customHeight="1" x14ac:dyDescent="0.45">
      <c r="C608" s="39"/>
      <c r="D608" s="131"/>
      <c r="E608" s="131"/>
      <c r="F608" s="131"/>
      <c r="G608" s="39"/>
    </row>
    <row r="609" spans="3:7" ht="15.75" customHeight="1" x14ac:dyDescent="0.45">
      <c r="C609" s="39"/>
      <c r="D609" s="131"/>
      <c r="E609" s="131"/>
      <c r="F609" s="131"/>
      <c r="G609" s="39"/>
    </row>
    <row r="610" spans="3:7" ht="15.75" customHeight="1" x14ac:dyDescent="0.45">
      <c r="C610" s="39"/>
      <c r="D610" s="131"/>
      <c r="E610" s="131"/>
      <c r="F610" s="131"/>
      <c r="G610" s="39"/>
    </row>
    <row r="611" spans="3:7" ht="15.75" customHeight="1" x14ac:dyDescent="0.45">
      <c r="C611" s="39"/>
      <c r="D611" s="131"/>
      <c r="E611" s="131"/>
      <c r="F611" s="131"/>
      <c r="G611" s="39"/>
    </row>
    <row r="612" spans="3:7" ht="15.75" customHeight="1" x14ac:dyDescent="0.45">
      <c r="C612" s="39"/>
      <c r="D612" s="131"/>
      <c r="E612" s="131"/>
      <c r="F612" s="131"/>
      <c r="G612" s="39"/>
    </row>
    <row r="613" spans="3:7" ht="15.75" customHeight="1" x14ac:dyDescent="0.45">
      <c r="C613" s="39"/>
      <c r="D613" s="131"/>
      <c r="E613" s="131"/>
      <c r="F613" s="131"/>
      <c r="G613" s="39"/>
    </row>
    <row r="614" spans="3:7" ht="15.75" customHeight="1" x14ac:dyDescent="0.45">
      <c r="C614" s="39"/>
      <c r="D614" s="131"/>
      <c r="E614" s="131"/>
      <c r="F614" s="131"/>
      <c r="G614" s="39"/>
    </row>
    <row r="615" spans="3:7" ht="15.75" customHeight="1" x14ac:dyDescent="0.45">
      <c r="C615" s="39"/>
      <c r="D615" s="131"/>
      <c r="E615" s="131"/>
      <c r="F615" s="131"/>
      <c r="G615" s="39"/>
    </row>
    <row r="616" spans="3:7" ht="15.75" customHeight="1" x14ac:dyDescent="0.45">
      <c r="C616" s="39"/>
      <c r="D616" s="131"/>
      <c r="E616" s="131"/>
      <c r="F616" s="131"/>
      <c r="G616" s="39"/>
    </row>
    <row r="617" spans="3:7" ht="15.75" customHeight="1" x14ac:dyDescent="0.45">
      <c r="C617" s="39"/>
      <c r="D617" s="131"/>
      <c r="E617" s="131"/>
      <c r="F617" s="131"/>
      <c r="G617" s="39"/>
    </row>
    <row r="618" spans="3:7" ht="15.75" customHeight="1" x14ac:dyDescent="0.45">
      <c r="C618" s="39"/>
      <c r="D618" s="131"/>
      <c r="E618" s="131"/>
      <c r="F618" s="131"/>
      <c r="G618" s="39"/>
    </row>
    <row r="619" spans="3:7" ht="15.75" customHeight="1" x14ac:dyDescent="0.45">
      <c r="C619" s="39"/>
      <c r="D619" s="131"/>
      <c r="E619" s="131"/>
      <c r="F619" s="131"/>
      <c r="G619" s="39"/>
    </row>
    <row r="620" spans="3:7" ht="15.75" customHeight="1" x14ac:dyDescent="0.45">
      <c r="C620" s="39"/>
      <c r="D620" s="131"/>
      <c r="E620" s="131"/>
      <c r="F620" s="131"/>
      <c r="G620" s="39"/>
    </row>
    <row r="621" spans="3:7" ht="15.75" customHeight="1" x14ac:dyDescent="0.45">
      <c r="C621" s="39"/>
      <c r="D621" s="131"/>
      <c r="E621" s="131"/>
      <c r="F621" s="131"/>
      <c r="G621" s="39"/>
    </row>
    <row r="622" spans="3:7" ht="15.75" customHeight="1" x14ac:dyDescent="0.45">
      <c r="C622" s="39"/>
      <c r="D622" s="131"/>
      <c r="E622" s="131"/>
      <c r="F622" s="131"/>
      <c r="G622" s="39"/>
    </row>
    <row r="623" spans="3:7" ht="15.75" customHeight="1" x14ac:dyDescent="0.45">
      <c r="C623" s="39"/>
      <c r="D623" s="131"/>
      <c r="E623" s="131"/>
      <c r="F623" s="131"/>
      <c r="G623" s="39"/>
    </row>
    <row r="624" spans="3:7" ht="15.75" customHeight="1" x14ac:dyDescent="0.45">
      <c r="C624" s="39"/>
      <c r="D624" s="131"/>
      <c r="E624" s="131"/>
      <c r="F624" s="131"/>
      <c r="G624" s="39"/>
    </row>
    <row r="625" spans="3:7" ht="15.75" customHeight="1" x14ac:dyDescent="0.45">
      <c r="C625" s="39"/>
      <c r="D625" s="131"/>
      <c r="E625" s="131"/>
      <c r="F625" s="131"/>
      <c r="G625" s="39"/>
    </row>
    <row r="626" spans="3:7" ht="15.75" customHeight="1" x14ac:dyDescent="0.45">
      <c r="C626" s="39"/>
      <c r="D626" s="131"/>
      <c r="E626" s="131"/>
      <c r="F626" s="131"/>
      <c r="G626" s="39"/>
    </row>
    <row r="627" spans="3:7" ht="15.75" customHeight="1" x14ac:dyDescent="0.45">
      <c r="C627" s="39"/>
      <c r="D627" s="131"/>
      <c r="E627" s="131"/>
      <c r="F627" s="131"/>
      <c r="G627" s="39"/>
    </row>
    <row r="628" spans="3:7" ht="15.75" customHeight="1" x14ac:dyDescent="0.45">
      <c r="C628" s="39"/>
      <c r="D628" s="131"/>
      <c r="E628" s="131"/>
      <c r="F628" s="131"/>
      <c r="G628" s="39"/>
    </row>
    <row r="629" spans="3:7" ht="15.75" customHeight="1" x14ac:dyDescent="0.45">
      <c r="C629" s="39"/>
      <c r="D629" s="131"/>
      <c r="E629" s="131"/>
      <c r="F629" s="131"/>
      <c r="G629" s="39"/>
    </row>
    <row r="630" spans="3:7" ht="15.75" customHeight="1" x14ac:dyDescent="0.45">
      <c r="C630" s="39"/>
      <c r="D630" s="131"/>
      <c r="E630" s="131"/>
      <c r="F630" s="131"/>
      <c r="G630" s="39"/>
    </row>
    <row r="631" spans="3:7" ht="15.75" customHeight="1" x14ac:dyDescent="0.45">
      <c r="C631" s="39"/>
      <c r="D631" s="131"/>
      <c r="E631" s="131"/>
      <c r="F631" s="131"/>
      <c r="G631" s="39"/>
    </row>
    <row r="632" spans="3:7" ht="15.75" customHeight="1" x14ac:dyDescent="0.45">
      <c r="C632" s="39"/>
      <c r="D632" s="131"/>
      <c r="E632" s="131"/>
      <c r="F632" s="131"/>
      <c r="G632" s="39"/>
    </row>
    <row r="633" spans="3:7" ht="15.75" customHeight="1" x14ac:dyDescent="0.45">
      <c r="C633" s="39"/>
      <c r="D633" s="131"/>
      <c r="E633" s="131"/>
      <c r="F633" s="131"/>
      <c r="G633" s="39"/>
    </row>
    <row r="634" spans="3:7" ht="15.75" customHeight="1" x14ac:dyDescent="0.45">
      <c r="C634" s="39"/>
      <c r="D634" s="131"/>
      <c r="E634" s="131"/>
      <c r="F634" s="131"/>
      <c r="G634" s="39"/>
    </row>
    <row r="635" spans="3:7" ht="15.75" customHeight="1" x14ac:dyDescent="0.45">
      <c r="C635" s="39"/>
      <c r="D635" s="131"/>
      <c r="E635" s="131"/>
      <c r="F635" s="131"/>
      <c r="G635" s="39"/>
    </row>
    <row r="636" spans="3:7" ht="15.75" customHeight="1" x14ac:dyDescent="0.45">
      <c r="C636" s="39"/>
      <c r="D636" s="131"/>
      <c r="E636" s="131"/>
      <c r="F636" s="131"/>
      <c r="G636" s="39"/>
    </row>
    <row r="637" spans="3:7" ht="15.75" customHeight="1" x14ac:dyDescent="0.45">
      <c r="C637" s="39"/>
      <c r="D637" s="131"/>
      <c r="E637" s="131"/>
      <c r="F637" s="131"/>
      <c r="G637" s="39"/>
    </row>
    <row r="638" spans="3:7" ht="15.75" customHeight="1" x14ac:dyDescent="0.45">
      <c r="C638" s="39"/>
      <c r="D638" s="131"/>
      <c r="E638" s="131"/>
      <c r="F638" s="131"/>
      <c r="G638" s="39"/>
    </row>
    <row r="639" spans="3:7" ht="15.75" customHeight="1" x14ac:dyDescent="0.45">
      <c r="C639" s="39"/>
      <c r="D639" s="131"/>
      <c r="E639" s="131"/>
      <c r="F639" s="131"/>
      <c r="G639" s="39"/>
    </row>
    <row r="640" spans="3:7" ht="15.75" customHeight="1" x14ac:dyDescent="0.45">
      <c r="C640" s="39"/>
      <c r="D640" s="131"/>
      <c r="E640" s="131"/>
      <c r="F640" s="131"/>
      <c r="G640" s="39"/>
    </row>
    <row r="641" spans="3:7" ht="15.75" customHeight="1" x14ac:dyDescent="0.45">
      <c r="C641" s="39"/>
      <c r="D641" s="131"/>
      <c r="E641" s="131"/>
      <c r="F641" s="131"/>
      <c r="G641" s="39"/>
    </row>
    <row r="642" spans="3:7" ht="15.75" customHeight="1" x14ac:dyDescent="0.45">
      <c r="C642" s="39"/>
      <c r="D642" s="131"/>
      <c r="E642" s="131"/>
      <c r="F642" s="131"/>
      <c r="G642" s="39"/>
    </row>
    <row r="643" spans="3:7" ht="15.75" customHeight="1" x14ac:dyDescent="0.45">
      <c r="C643" s="39"/>
      <c r="D643" s="131"/>
      <c r="E643" s="131"/>
      <c r="F643" s="131"/>
      <c r="G643" s="39"/>
    </row>
    <row r="644" spans="3:7" ht="15.75" customHeight="1" x14ac:dyDescent="0.45">
      <c r="C644" s="39"/>
      <c r="D644" s="131"/>
      <c r="E644" s="131"/>
      <c r="F644" s="131"/>
      <c r="G644" s="39"/>
    </row>
    <row r="645" spans="3:7" ht="15.75" customHeight="1" x14ac:dyDescent="0.45">
      <c r="C645" s="39"/>
      <c r="D645" s="131"/>
      <c r="E645" s="131"/>
      <c r="F645" s="131"/>
      <c r="G645" s="39"/>
    </row>
    <row r="646" spans="3:7" ht="15.75" customHeight="1" x14ac:dyDescent="0.45">
      <c r="C646" s="39"/>
      <c r="D646" s="131"/>
      <c r="E646" s="131"/>
      <c r="F646" s="131"/>
      <c r="G646" s="39"/>
    </row>
    <row r="647" spans="3:7" ht="15.75" customHeight="1" x14ac:dyDescent="0.45">
      <c r="C647" s="39"/>
      <c r="D647" s="131"/>
      <c r="E647" s="131"/>
      <c r="F647" s="131"/>
      <c r="G647" s="39"/>
    </row>
    <row r="648" spans="3:7" ht="15.75" customHeight="1" x14ac:dyDescent="0.45">
      <c r="C648" s="39"/>
      <c r="D648" s="131"/>
      <c r="E648" s="131"/>
      <c r="F648" s="131"/>
      <c r="G648" s="39"/>
    </row>
    <row r="649" spans="3:7" ht="15.75" customHeight="1" x14ac:dyDescent="0.45">
      <c r="C649" s="39"/>
      <c r="D649" s="131"/>
      <c r="E649" s="131"/>
      <c r="F649" s="131"/>
      <c r="G649" s="39"/>
    </row>
    <row r="650" spans="3:7" ht="15.75" customHeight="1" x14ac:dyDescent="0.45">
      <c r="C650" s="39"/>
      <c r="D650" s="131"/>
      <c r="E650" s="131"/>
      <c r="F650" s="131"/>
      <c r="G650" s="39"/>
    </row>
    <row r="651" spans="3:7" ht="15.75" customHeight="1" x14ac:dyDescent="0.45">
      <c r="C651" s="39"/>
      <c r="D651" s="131"/>
      <c r="E651" s="131"/>
      <c r="F651" s="131"/>
      <c r="G651" s="39"/>
    </row>
    <row r="652" spans="3:7" ht="15.75" customHeight="1" x14ac:dyDescent="0.45">
      <c r="C652" s="39"/>
      <c r="D652" s="131"/>
      <c r="E652" s="131"/>
      <c r="F652" s="131"/>
      <c r="G652" s="39"/>
    </row>
    <row r="653" spans="3:7" ht="15.75" customHeight="1" x14ac:dyDescent="0.45">
      <c r="C653" s="39"/>
      <c r="D653" s="131"/>
      <c r="E653" s="131"/>
      <c r="F653" s="131"/>
      <c r="G653" s="39"/>
    </row>
    <row r="654" spans="3:7" ht="15.75" customHeight="1" x14ac:dyDescent="0.45">
      <c r="C654" s="39"/>
      <c r="D654" s="131"/>
      <c r="E654" s="131"/>
      <c r="F654" s="131"/>
      <c r="G654" s="39"/>
    </row>
    <row r="655" spans="3:7" ht="15.75" customHeight="1" x14ac:dyDescent="0.45">
      <c r="C655" s="39"/>
      <c r="D655" s="131"/>
      <c r="E655" s="131"/>
      <c r="F655" s="131"/>
      <c r="G655" s="39"/>
    </row>
    <row r="656" spans="3:7" ht="15.75" customHeight="1" x14ac:dyDescent="0.45">
      <c r="C656" s="39"/>
      <c r="D656" s="131"/>
      <c r="E656" s="131"/>
      <c r="F656" s="131"/>
      <c r="G656" s="39"/>
    </row>
    <row r="657" spans="3:7" ht="15.75" customHeight="1" x14ac:dyDescent="0.45">
      <c r="C657" s="39"/>
      <c r="D657" s="131"/>
      <c r="E657" s="131"/>
      <c r="F657" s="131"/>
      <c r="G657" s="39"/>
    </row>
    <row r="658" spans="3:7" ht="15.75" customHeight="1" x14ac:dyDescent="0.45">
      <c r="C658" s="39"/>
      <c r="D658" s="131"/>
      <c r="E658" s="131"/>
      <c r="F658" s="131"/>
      <c r="G658" s="39"/>
    </row>
    <row r="659" spans="3:7" ht="15.75" customHeight="1" x14ac:dyDescent="0.45">
      <c r="C659" s="39"/>
      <c r="D659" s="131"/>
      <c r="E659" s="131"/>
      <c r="F659" s="131"/>
      <c r="G659" s="39"/>
    </row>
    <row r="660" spans="3:7" ht="15.75" customHeight="1" x14ac:dyDescent="0.45">
      <c r="C660" s="39"/>
      <c r="D660" s="131"/>
      <c r="E660" s="131"/>
      <c r="F660" s="131"/>
      <c r="G660" s="39"/>
    </row>
    <row r="661" spans="3:7" ht="15.75" customHeight="1" x14ac:dyDescent="0.45">
      <c r="C661" s="39"/>
      <c r="D661" s="131"/>
      <c r="E661" s="131"/>
      <c r="F661" s="131"/>
      <c r="G661" s="39"/>
    </row>
    <row r="662" spans="3:7" ht="15.75" customHeight="1" x14ac:dyDescent="0.45">
      <c r="C662" s="39"/>
      <c r="D662" s="131"/>
      <c r="E662" s="131"/>
      <c r="F662" s="131"/>
      <c r="G662" s="39"/>
    </row>
    <row r="663" spans="3:7" ht="15.75" customHeight="1" x14ac:dyDescent="0.45">
      <c r="C663" s="39"/>
      <c r="D663" s="131"/>
      <c r="E663" s="131"/>
      <c r="F663" s="131"/>
      <c r="G663" s="39"/>
    </row>
    <row r="664" spans="3:7" ht="15.75" customHeight="1" x14ac:dyDescent="0.45">
      <c r="C664" s="39"/>
      <c r="D664" s="131"/>
      <c r="E664" s="131"/>
      <c r="F664" s="131"/>
      <c r="G664" s="39"/>
    </row>
    <row r="665" spans="3:7" ht="15.75" customHeight="1" x14ac:dyDescent="0.45">
      <c r="C665" s="39"/>
      <c r="D665" s="131"/>
      <c r="E665" s="131"/>
      <c r="F665" s="131"/>
      <c r="G665" s="39"/>
    </row>
    <row r="666" spans="3:7" ht="15.75" customHeight="1" x14ac:dyDescent="0.45">
      <c r="C666" s="39"/>
      <c r="D666" s="131"/>
      <c r="E666" s="131"/>
      <c r="F666" s="131"/>
      <c r="G666" s="39"/>
    </row>
    <row r="667" spans="3:7" ht="15.75" customHeight="1" x14ac:dyDescent="0.45">
      <c r="C667" s="39"/>
      <c r="D667" s="131"/>
      <c r="E667" s="131"/>
      <c r="F667" s="131"/>
      <c r="G667" s="39"/>
    </row>
    <row r="668" spans="3:7" ht="15.75" customHeight="1" x14ac:dyDescent="0.45">
      <c r="C668" s="39"/>
      <c r="D668" s="131"/>
      <c r="E668" s="131"/>
      <c r="F668" s="131"/>
      <c r="G668" s="39"/>
    </row>
    <row r="669" spans="3:7" ht="15.75" customHeight="1" x14ac:dyDescent="0.45">
      <c r="C669" s="39"/>
      <c r="D669" s="131"/>
      <c r="E669" s="131"/>
      <c r="F669" s="131"/>
      <c r="G669" s="39"/>
    </row>
    <row r="670" spans="3:7" ht="15.75" customHeight="1" x14ac:dyDescent="0.45">
      <c r="C670" s="39"/>
      <c r="D670" s="131"/>
      <c r="E670" s="131"/>
      <c r="F670" s="131"/>
      <c r="G670" s="39"/>
    </row>
    <row r="671" spans="3:7" ht="15.75" customHeight="1" x14ac:dyDescent="0.45">
      <c r="C671" s="39"/>
      <c r="D671" s="131"/>
      <c r="E671" s="131"/>
      <c r="F671" s="131"/>
      <c r="G671" s="39"/>
    </row>
    <row r="672" spans="3:7" ht="15.75" customHeight="1" x14ac:dyDescent="0.45">
      <c r="C672" s="39"/>
      <c r="D672" s="131"/>
      <c r="E672" s="131"/>
      <c r="F672" s="131"/>
      <c r="G672" s="39"/>
    </row>
    <row r="673" spans="3:7" ht="15.75" customHeight="1" x14ac:dyDescent="0.45">
      <c r="C673" s="39"/>
      <c r="D673" s="131"/>
      <c r="E673" s="131"/>
      <c r="F673" s="131"/>
      <c r="G673" s="39"/>
    </row>
    <row r="674" spans="3:7" ht="15.75" customHeight="1" x14ac:dyDescent="0.45">
      <c r="C674" s="39"/>
      <c r="D674" s="131"/>
      <c r="E674" s="131"/>
      <c r="F674" s="131"/>
      <c r="G674" s="39"/>
    </row>
    <row r="675" spans="3:7" ht="15.75" customHeight="1" x14ac:dyDescent="0.45">
      <c r="C675" s="39"/>
      <c r="D675" s="131"/>
      <c r="E675" s="131"/>
      <c r="F675" s="131"/>
      <c r="G675" s="39"/>
    </row>
    <row r="676" spans="3:7" ht="15.75" customHeight="1" x14ac:dyDescent="0.45">
      <c r="C676" s="39"/>
      <c r="D676" s="131"/>
      <c r="E676" s="131"/>
      <c r="F676" s="131"/>
      <c r="G676" s="39"/>
    </row>
    <row r="677" spans="3:7" ht="15.75" customHeight="1" x14ac:dyDescent="0.45">
      <c r="C677" s="39"/>
      <c r="D677" s="131"/>
      <c r="E677" s="131"/>
      <c r="F677" s="131"/>
      <c r="G677" s="39"/>
    </row>
    <row r="678" spans="3:7" ht="15.75" customHeight="1" x14ac:dyDescent="0.45">
      <c r="C678" s="39"/>
      <c r="D678" s="131"/>
      <c r="E678" s="131"/>
      <c r="F678" s="131"/>
      <c r="G678" s="39"/>
    </row>
    <row r="679" spans="3:7" ht="15.75" customHeight="1" x14ac:dyDescent="0.45">
      <c r="C679" s="39"/>
      <c r="D679" s="131"/>
      <c r="E679" s="131"/>
      <c r="F679" s="131"/>
      <c r="G679" s="39"/>
    </row>
    <row r="680" spans="3:7" ht="15.75" customHeight="1" x14ac:dyDescent="0.45">
      <c r="C680" s="39"/>
      <c r="D680" s="131"/>
      <c r="E680" s="131"/>
      <c r="F680" s="131"/>
      <c r="G680" s="39"/>
    </row>
    <row r="681" spans="3:7" ht="15.75" customHeight="1" x14ac:dyDescent="0.45">
      <c r="C681" s="39"/>
      <c r="D681" s="131"/>
      <c r="E681" s="131"/>
      <c r="F681" s="131"/>
      <c r="G681" s="39"/>
    </row>
    <row r="682" spans="3:7" ht="15.75" customHeight="1" x14ac:dyDescent="0.45">
      <c r="C682" s="39"/>
      <c r="D682" s="131"/>
      <c r="E682" s="131"/>
      <c r="F682" s="131"/>
      <c r="G682" s="39"/>
    </row>
    <row r="683" spans="3:7" ht="15.75" customHeight="1" x14ac:dyDescent="0.45">
      <c r="C683" s="39"/>
      <c r="D683" s="131"/>
      <c r="E683" s="131"/>
      <c r="F683" s="131"/>
      <c r="G683" s="39"/>
    </row>
    <row r="684" spans="3:7" ht="15.75" customHeight="1" x14ac:dyDescent="0.45">
      <c r="C684" s="39"/>
      <c r="D684" s="131"/>
      <c r="E684" s="131"/>
      <c r="F684" s="131"/>
      <c r="G684" s="39"/>
    </row>
    <row r="685" spans="3:7" ht="15.75" customHeight="1" x14ac:dyDescent="0.45">
      <c r="C685" s="39"/>
      <c r="D685" s="131"/>
      <c r="E685" s="131"/>
      <c r="F685" s="131"/>
      <c r="G685" s="39"/>
    </row>
    <row r="686" spans="3:7" ht="15.75" customHeight="1" x14ac:dyDescent="0.45">
      <c r="C686" s="39"/>
      <c r="D686" s="131"/>
      <c r="E686" s="131"/>
      <c r="F686" s="131"/>
      <c r="G686" s="39"/>
    </row>
    <row r="687" spans="3:7" ht="15.75" customHeight="1" x14ac:dyDescent="0.45">
      <c r="C687" s="39"/>
      <c r="D687" s="131"/>
      <c r="E687" s="131"/>
      <c r="F687" s="131"/>
      <c r="G687" s="39"/>
    </row>
    <row r="688" spans="3:7" ht="15.75" customHeight="1" x14ac:dyDescent="0.45">
      <c r="C688" s="39"/>
      <c r="D688" s="131"/>
      <c r="E688" s="131"/>
      <c r="F688" s="131"/>
      <c r="G688" s="39"/>
    </row>
    <row r="689" spans="3:7" ht="15.75" customHeight="1" x14ac:dyDescent="0.45">
      <c r="C689" s="39"/>
      <c r="D689" s="131"/>
      <c r="E689" s="131"/>
      <c r="F689" s="131"/>
      <c r="G689" s="39"/>
    </row>
    <row r="690" spans="3:7" ht="15.75" customHeight="1" x14ac:dyDescent="0.45">
      <c r="C690" s="39"/>
      <c r="D690" s="131"/>
      <c r="E690" s="131"/>
      <c r="F690" s="131"/>
      <c r="G690" s="39"/>
    </row>
    <row r="691" spans="3:7" ht="15.75" customHeight="1" x14ac:dyDescent="0.45">
      <c r="C691" s="39"/>
      <c r="D691" s="131"/>
      <c r="E691" s="131"/>
      <c r="F691" s="131"/>
      <c r="G691" s="39"/>
    </row>
    <row r="692" spans="3:7" ht="15.75" customHeight="1" x14ac:dyDescent="0.45">
      <c r="C692" s="39"/>
      <c r="D692" s="131"/>
      <c r="E692" s="131"/>
      <c r="F692" s="131"/>
      <c r="G692" s="39"/>
    </row>
    <row r="693" spans="3:7" ht="15.75" customHeight="1" x14ac:dyDescent="0.45">
      <c r="C693" s="39"/>
      <c r="D693" s="131"/>
      <c r="E693" s="131"/>
      <c r="F693" s="131"/>
      <c r="G693" s="39"/>
    </row>
    <row r="694" spans="3:7" ht="15.75" customHeight="1" x14ac:dyDescent="0.45">
      <c r="C694" s="39"/>
      <c r="D694" s="131"/>
      <c r="E694" s="131"/>
      <c r="F694" s="131"/>
      <c r="G694" s="39"/>
    </row>
    <row r="695" spans="3:7" ht="15.75" customHeight="1" x14ac:dyDescent="0.45">
      <c r="C695" s="39"/>
      <c r="D695" s="131"/>
      <c r="E695" s="131"/>
      <c r="F695" s="131"/>
      <c r="G695" s="39"/>
    </row>
    <row r="696" spans="3:7" ht="15.75" customHeight="1" x14ac:dyDescent="0.45">
      <c r="C696" s="39"/>
      <c r="D696" s="131"/>
      <c r="E696" s="131"/>
      <c r="F696" s="131"/>
      <c r="G696" s="39"/>
    </row>
    <row r="697" spans="3:7" ht="15.75" customHeight="1" x14ac:dyDescent="0.45">
      <c r="C697" s="39"/>
      <c r="D697" s="131"/>
      <c r="E697" s="131"/>
      <c r="F697" s="131"/>
      <c r="G697" s="39"/>
    </row>
    <row r="698" spans="3:7" ht="15.75" customHeight="1" x14ac:dyDescent="0.45">
      <c r="C698" s="39"/>
      <c r="D698" s="131"/>
      <c r="E698" s="131"/>
      <c r="F698" s="131"/>
      <c r="G698" s="39"/>
    </row>
    <row r="699" spans="3:7" ht="15.75" customHeight="1" x14ac:dyDescent="0.45">
      <c r="C699" s="39"/>
      <c r="D699" s="131"/>
      <c r="E699" s="131"/>
      <c r="F699" s="131"/>
      <c r="G699" s="39"/>
    </row>
    <row r="700" spans="3:7" ht="15.75" customHeight="1" x14ac:dyDescent="0.45">
      <c r="C700" s="39"/>
      <c r="D700" s="131"/>
      <c r="E700" s="131"/>
      <c r="F700" s="131"/>
      <c r="G700" s="39"/>
    </row>
    <row r="701" spans="3:7" ht="15.75" customHeight="1" x14ac:dyDescent="0.45">
      <c r="C701" s="39"/>
      <c r="D701" s="131"/>
      <c r="E701" s="131"/>
      <c r="F701" s="131"/>
      <c r="G701" s="39"/>
    </row>
    <row r="702" spans="3:7" ht="15.75" customHeight="1" x14ac:dyDescent="0.45">
      <c r="C702" s="39"/>
      <c r="D702" s="131"/>
      <c r="E702" s="131"/>
      <c r="F702" s="131"/>
      <c r="G702" s="39"/>
    </row>
    <row r="703" spans="3:7" ht="15.75" customHeight="1" x14ac:dyDescent="0.45">
      <c r="C703" s="39"/>
      <c r="D703" s="131"/>
      <c r="E703" s="131"/>
      <c r="F703" s="131"/>
      <c r="G703" s="39"/>
    </row>
    <row r="704" spans="3:7" ht="15.75" customHeight="1" x14ac:dyDescent="0.45">
      <c r="C704" s="39"/>
      <c r="D704" s="131"/>
      <c r="E704" s="131"/>
      <c r="F704" s="131"/>
      <c r="G704" s="39"/>
    </row>
    <row r="705" spans="3:7" ht="15.75" customHeight="1" x14ac:dyDescent="0.45">
      <c r="C705" s="39"/>
      <c r="D705" s="131"/>
      <c r="E705" s="131"/>
      <c r="F705" s="131"/>
      <c r="G705" s="39"/>
    </row>
    <row r="706" spans="3:7" ht="15.75" customHeight="1" x14ac:dyDescent="0.45">
      <c r="C706" s="39"/>
      <c r="D706" s="131"/>
      <c r="E706" s="131"/>
      <c r="F706" s="131"/>
      <c r="G706" s="39"/>
    </row>
    <row r="707" spans="3:7" ht="15.75" customHeight="1" x14ac:dyDescent="0.45">
      <c r="C707" s="39"/>
      <c r="D707" s="131"/>
      <c r="E707" s="131"/>
      <c r="F707" s="131"/>
      <c r="G707" s="39"/>
    </row>
    <row r="708" spans="3:7" ht="15.75" customHeight="1" x14ac:dyDescent="0.45">
      <c r="C708" s="39"/>
      <c r="D708" s="131"/>
      <c r="E708" s="131"/>
      <c r="F708" s="131"/>
      <c r="G708" s="39"/>
    </row>
    <row r="709" spans="3:7" ht="15.75" customHeight="1" x14ac:dyDescent="0.45">
      <c r="C709" s="39"/>
      <c r="D709" s="131"/>
      <c r="E709" s="131"/>
      <c r="F709" s="131"/>
      <c r="G709" s="39"/>
    </row>
    <row r="710" spans="3:7" ht="15.75" customHeight="1" x14ac:dyDescent="0.45">
      <c r="C710" s="39"/>
      <c r="D710" s="131"/>
      <c r="E710" s="131"/>
      <c r="F710" s="131"/>
      <c r="G710" s="39"/>
    </row>
    <row r="711" spans="3:7" ht="15.75" customHeight="1" x14ac:dyDescent="0.45">
      <c r="C711" s="39"/>
      <c r="D711" s="131"/>
      <c r="E711" s="131"/>
      <c r="F711" s="131"/>
      <c r="G711" s="39"/>
    </row>
    <row r="712" spans="3:7" ht="15.75" customHeight="1" x14ac:dyDescent="0.45">
      <c r="C712" s="39"/>
      <c r="D712" s="131"/>
      <c r="E712" s="131"/>
      <c r="F712" s="131"/>
      <c r="G712" s="39"/>
    </row>
    <row r="713" spans="3:7" ht="15.75" customHeight="1" x14ac:dyDescent="0.45">
      <c r="C713" s="39"/>
      <c r="D713" s="131"/>
      <c r="E713" s="131"/>
      <c r="F713" s="131"/>
      <c r="G713" s="39"/>
    </row>
    <row r="714" spans="3:7" ht="15.75" customHeight="1" x14ac:dyDescent="0.45">
      <c r="C714" s="39"/>
      <c r="D714" s="131"/>
      <c r="E714" s="131"/>
      <c r="F714" s="131"/>
      <c r="G714" s="39"/>
    </row>
    <row r="715" spans="3:7" ht="15.75" customHeight="1" x14ac:dyDescent="0.45">
      <c r="C715" s="39"/>
      <c r="D715" s="131"/>
      <c r="E715" s="131"/>
      <c r="F715" s="131"/>
      <c r="G715" s="39"/>
    </row>
    <row r="716" spans="3:7" ht="15.75" customHeight="1" x14ac:dyDescent="0.45">
      <c r="C716" s="39"/>
      <c r="D716" s="131"/>
      <c r="E716" s="131"/>
      <c r="F716" s="131"/>
      <c r="G716" s="39"/>
    </row>
    <row r="717" spans="3:7" ht="15.75" customHeight="1" x14ac:dyDescent="0.45">
      <c r="C717" s="39"/>
      <c r="D717" s="131"/>
      <c r="E717" s="131"/>
      <c r="F717" s="131"/>
      <c r="G717" s="39"/>
    </row>
    <row r="718" spans="3:7" ht="15.75" customHeight="1" x14ac:dyDescent="0.45">
      <c r="C718" s="39"/>
      <c r="D718" s="131"/>
      <c r="E718" s="131"/>
      <c r="F718" s="131"/>
      <c r="G718" s="39"/>
    </row>
    <row r="719" spans="3:7" ht="15.75" customHeight="1" x14ac:dyDescent="0.45">
      <c r="C719" s="39"/>
      <c r="D719" s="131"/>
      <c r="E719" s="131"/>
      <c r="F719" s="131"/>
      <c r="G719" s="39"/>
    </row>
    <row r="720" spans="3:7" ht="15.75" customHeight="1" x14ac:dyDescent="0.45">
      <c r="C720" s="39"/>
      <c r="D720" s="131"/>
      <c r="E720" s="131"/>
      <c r="F720" s="131"/>
      <c r="G720" s="39"/>
    </row>
    <row r="721" spans="3:7" ht="15.75" customHeight="1" x14ac:dyDescent="0.45">
      <c r="C721" s="39"/>
      <c r="D721" s="131"/>
      <c r="E721" s="131"/>
      <c r="F721" s="131"/>
      <c r="G721" s="39"/>
    </row>
    <row r="722" spans="3:7" ht="15.75" customHeight="1" x14ac:dyDescent="0.45">
      <c r="C722" s="39"/>
      <c r="D722" s="131"/>
      <c r="E722" s="131"/>
      <c r="F722" s="131"/>
      <c r="G722" s="39"/>
    </row>
    <row r="723" spans="3:7" ht="15.75" customHeight="1" x14ac:dyDescent="0.45">
      <c r="C723" s="39"/>
      <c r="D723" s="131"/>
      <c r="E723" s="131"/>
      <c r="F723" s="131"/>
      <c r="G723" s="39"/>
    </row>
    <row r="724" spans="3:7" ht="15.75" customHeight="1" x14ac:dyDescent="0.45">
      <c r="C724" s="39"/>
      <c r="D724" s="131"/>
      <c r="E724" s="131"/>
      <c r="F724" s="131"/>
      <c r="G724" s="39"/>
    </row>
    <row r="725" spans="3:7" ht="15.75" customHeight="1" x14ac:dyDescent="0.45">
      <c r="C725" s="39"/>
      <c r="D725" s="131"/>
      <c r="E725" s="131"/>
      <c r="F725" s="131"/>
      <c r="G725" s="39"/>
    </row>
    <row r="726" spans="3:7" ht="15.75" customHeight="1" x14ac:dyDescent="0.45">
      <c r="C726" s="39"/>
      <c r="D726" s="131"/>
      <c r="E726" s="131"/>
      <c r="F726" s="131"/>
      <c r="G726" s="39"/>
    </row>
    <row r="727" spans="3:7" ht="15.75" customHeight="1" x14ac:dyDescent="0.45">
      <c r="C727" s="39"/>
      <c r="D727" s="131"/>
      <c r="E727" s="131"/>
      <c r="F727" s="131"/>
      <c r="G727" s="39"/>
    </row>
    <row r="728" spans="3:7" ht="15.75" customHeight="1" x14ac:dyDescent="0.45">
      <c r="C728" s="39"/>
      <c r="D728" s="131"/>
      <c r="E728" s="131"/>
      <c r="F728" s="131"/>
      <c r="G728" s="39"/>
    </row>
    <row r="729" spans="3:7" ht="15.75" customHeight="1" x14ac:dyDescent="0.45">
      <c r="C729" s="39"/>
      <c r="D729" s="131"/>
      <c r="E729" s="131"/>
      <c r="F729" s="131"/>
      <c r="G729" s="39"/>
    </row>
    <row r="730" spans="3:7" ht="15.75" customHeight="1" x14ac:dyDescent="0.45">
      <c r="C730" s="39"/>
      <c r="D730" s="131"/>
      <c r="E730" s="131"/>
      <c r="F730" s="131"/>
      <c r="G730" s="39"/>
    </row>
    <row r="731" spans="3:7" ht="15.75" customHeight="1" x14ac:dyDescent="0.45">
      <c r="C731" s="39"/>
      <c r="D731" s="131"/>
      <c r="E731" s="131"/>
      <c r="F731" s="131"/>
      <c r="G731" s="39"/>
    </row>
    <row r="732" spans="3:7" ht="15.75" customHeight="1" x14ac:dyDescent="0.45">
      <c r="C732" s="39"/>
      <c r="D732" s="131"/>
      <c r="E732" s="131"/>
      <c r="F732" s="131"/>
      <c r="G732" s="39"/>
    </row>
    <row r="733" spans="3:7" ht="15.75" customHeight="1" x14ac:dyDescent="0.45">
      <c r="C733" s="39"/>
      <c r="D733" s="131"/>
      <c r="E733" s="131"/>
      <c r="F733" s="131"/>
      <c r="G733" s="39"/>
    </row>
    <row r="734" spans="3:7" ht="15.75" customHeight="1" x14ac:dyDescent="0.45">
      <c r="C734" s="39"/>
      <c r="D734" s="131"/>
      <c r="E734" s="131"/>
      <c r="F734" s="131"/>
      <c r="G734" s="39"/>
    </row>
    <row r="735" spans="3:7" ht="15.75" customHeight="1" x14ac:dyDescent="0.45">
      <c r="C735" s="39"/>
      <c r="D735" s="131"/>
      <c r="E735" s="131"/>
      <c r="F735" s="131"/>
      <c r="G735" s="39"/>
    </row>
    <row r="736" spans="3:7" ht="15.75" customHeight="1" x14ac:dyDescent="0.45">
      <c r="C736" s="39"/>
      <c r="D736" s="131"/>
      <c r="E736" s="131"/>
      <c r="F736" s="131"/>
      <c r="G736" s="39"/>
    </row>
    <row r="737" spans="3:7" ht="15.75" customHeight="1" x14ac:dyDescent="0.45">
      <c r="C737" s="39"/>
      <c r="D737" s="131"/>
      <c r="E737" s="131"/>
      <c r="F737" s="131"/>
      <c r="G737" s="39"/>
    </row>
    <row r="738" spans="3:7" ht="15.75" customHeight="1" x14ac:dyDescent="0.45">
      <c r="C738" s="39"/>
      <c r="D738" s="131"/>
      <c r="E738" s="131"/>
      <c r="F738" s="131"/>
      <c r="G738" s="39"/>
    </row>
    <row r="739" spans="3:7" ht="15.75" customHeight="1" x14ac:dyDescent="0.45">
      <c r="C739" s="39"/>
      <c r="D739" s="131"/>
      <c r="E739" s="131"/>
      <c r="F739" s="131"/>
      <c r="G739" s="39"/>
    </row>
    <row r="740" spans="3:7" ht="15.75" customHeight="1" x14ac:dyDescent="0.45">
      <c r="C740" s="39"/>
      <c r="D740" s="131"/>
      <c r="E740" s="131"/>
      <c r="F740" s="131"/>
      <c r="G740" s="39"/>
    </row>
    <row r="741" spans="3:7" ht="15.75" customHeight="1" x14ac:dyDescent="0.45">
      <c r="C741" s="39"/>
      <c r="D741" s="131"/>
      <c r="E741" s="131"/>
      <c r="F741" s="131"/>
      <c r="G741" s="39"/>
    </row>
    <row r="742" spans="3:7" ht="15.75" customHeight="1" x14ac:dyDescent="0.45">
      <c r="C742" s="39"/>
      <c r="D742" s="131"/>
      <c r="E742" s="131"/>
      <c r="F742" s="131"/>
      <c r="G742" s="39"/>
    </row>
    <row r="743" spans="3:7" ht="15.75" customHeight="1" x14ac:dyDescent="0.45">
      <c r="C743" s="39"/>
      <c r="D743" s="131"/>
      <c r="E743" s="131"/>
      <c r="F743" s="131"/>
      <c r="G743" s="39"/>
    </row>
    <row r="744" spans="3:7" ht="15.75" customHeight="1" x14ac:dyDescent="0.45">
      <c r="C744" s="39"/>
      <c r="D744" s="131"/>
      <c r="E744" s="131"/>
      <c r="F744" s="131"/>
      <c r="G744" s="39"/>
    </row>
    <row r="745" spans="3:7" ht="15.75" customHeight="1" x14ac:dyDescent="0.45">
      <c r="C745" s="39"/>
      <c r="D745" s="131"/>
      <c r="E745" s="131"/>
      <c r="F745" s="131"/>
      <c r="G745" s="39"/>
    </row>
    <row r="746" spans="3:7" ht="15.75" customHeight="1" x14ac:dyDescent="0.45">
      <c r="C746" s="39"/>
      <c r="D746" s="131"/>
      <c r="E746" s="131"/>
      <c r="F746" s="131"/>
      <c r="G746" s="39"/>
    </row>
    <row r="747" spans="3:7" ht="15.75" customHeight="1" x14ac:dyDescent="0.45">
      <c r="C747" s="39"/>
      <c r="D747" s="131"/>
      <c r="E747" s="131"/>
      <c r="F747" s="131"/>
      <c r="G747" s="39"/>
    </row>
    <row r="748" spans="3:7" ht="15.75" customHeight="1" x14ac:dyDescent="0.45">
      <c r="C748" s="39"/>
      <c r="D748" s="131"/>
      <c r="E748" s="131"/>
      <c r="F748" s="131"/>
      <c r="G748" s="39"/>
    </row>
    <row r="749" spans="3:7" ht="15.75" customHeight="1" x14ac:dyDescent="0.45">
      <c r="C749" s="39"/>
      <c r="D749" s="131"/>
      <c r="E749" s="131"/>
      <c r="F749" s="131"/>
      <c r="G749" s="39"/>
    </row>
    <row r="750" spans="3:7" ht="15.75" customHeight="1" x14ac:dyDescent="0.45">
      <c r="C750" s="39"/>
      <c r="D750" s="131"/>
      <c r="E750" s="131"/>
      <c r="F750" s="131"/>
      <c r="G750" s="39"/>
    </row>
    <row r="751" spans="3:7" ht="15.75" customHeight="1" x14ac:dyDescent="0.45">
      <c r="C751" s="39"/>
      <c r="D751" s="131"/>
      <c r="E751" s="131"/>
      <c r="F751" s="131"/>
      <c r="G751" s="39"/>
    </row>
    <row r="752" spans="3:7" ht="15.75" customHeight="1" x14ac:dyDescent="0.45">
      <c r="C752" s="39"/>
      <c r="D752" s="131"/>
      <c r="E752" s="131"/>
      <c r="F752" s="131"/>
      <c r="G752" s="39"/>
    </row>
    <row r="753" spans="3:7" ht="15.75" customHeight="1" x14ac:dyDescent="0.45">
      <c r="C753" s="39"/>
      <c r="D753" s="131"/>
      <c r="E753" s="131"/>
      <c r="F753" s="131"/>
      <c r="G753" s="39"/>
    </row>
    <row r="754" spans="3:7" ht="15.75" customHeight="1" x14ac:dyDescent="0.45">
      <c r="C754" s="39"/>
      <c r="D754" s="131"/>
      <c r="E754" s="131"/>
      <c r="F754" s="131"/>
      <c r="G754" s="39"/>
    </row>
    <row r="755" spans="3:7" ht="15.75" customHeight="1" x14ac:dyDescent="0.45">
      <c r="C755" s="39"/>
      <c r="D755" s="131"/>
      <c r="E755" s="131"/>
      <c r="F755" s="131"/>
      <c r="G755" s="39"/>
    </row>
    <row r="756" spans="3:7" ht="15.75" customHeight="1" x14ac:dyDescent="0.45">
      <c r="C756" s="39"/>
      <c r="D756" s="131"/>
      <c r="E756" s="131"/>
      <c r="F756" s="131"/>
      <c r="G756" s="39"/>
    </row>
    <row r="757" spans="3:7" ht="15.75" customHeight="1" x14ac:dyDescent="0.45">
      <c r="C757" s="39"/>
      <c r="D757" s="131"/>
      <c r="E757" s="131"/>
      <c r="F757" s="131"/>
      <c r="G757" s="39"/>
    </row>
    <row r="758" spans="3:7" ht="15.75" customHeight="1" x14ac:dyDescent="0.45">
      <c r="C758" s="39"/>
      <c r="D758" s="131"/>
      <c r="E758" s="131"/>
      <c r="F758" s="131"/>
      <c r="G758" s="39"/>
    </row>
    <row r="759" spans="3:7" ht="15.75" customHeight="1" x14ac:dyDescent="0.45">
      <c r="C759" s="39"/>
      <c r="D759" s="131"/>
      <c r="E759" s="131"/>
      <c r="F759" s="131"/>
      <c r="G759" s="39"/>
    </row>
    <row r="760" spans="3:7" ht="15.75" customHeight="1" x14ac:dyDescent="0.45">
      <c r="C760" s="39"/>
      <c r="D760" s="131"/>
      <c r="E760" s="131"/>
      <c r="F760" s="131"/>
      <c r="G760" s="39"/>
    </row>
    <row r="761" spans="3:7" ht="15.75" customHeight="1" x14ac:dyDescent="0.45">
      <c r="C761" s="39"/>
      <c r="D761" s="131"/>
      <c r="E761" s="131"/>
      <c r="F761" s="131"/>
      <c r="G761" s="39"/>
    </row>
    <row r="762" spans="3:7" ht="15.75" customHeight="1" x14ac:dyDescent="0.45">
      <c r="C762" s="39"/>
      <c r="D762" s="131"/>
      <c r="E762" s="131"/>
      <c r="F762" s="131"/>
      <c r="G762" s="39"/>
    </row>
    <row r="763" spans="3:7" ht="15.75" customHeight="1" x14ac:dyDescent="0.45">
      <c r="C763" s="39"/>
      <c r="D763" s="131"/>
      <c r="E763" s="131"/>
      <c r="F763" s="131"/>
      <c r="G763" s="39"/>
    </row>
    <row r="764" spans="3:7" ht="15.75" customHeight="1" x14ac:dyDescent="0.45">
      <c r="C764" s="39"/>
      <c r="D764" s="131"/>
      <c r="E764" s="131"/>
      <c r="F764" s="131"/>
      <c r="G764" s="39"/>
    </row>
    <row r="765" spans="3:7" ht="15.75" customHeight="1" x14ac:dyDescent="0.45">
      <c r="C765" s="39"/>
      <c r="D765" s="131"/>
      <c r="E765" s="131"/>
      <c r="F765" s="131"/>
      <c r="G765" s="39"/>
    </row>
    <row r="766" spans="3:7" ht="15.75" customHeight="1" x14ac:dyDescent="0.45">
      <c r="C766" s="39"/>
      <c r="D766" s="131"/>
      <c r="E766" s="131"/>
      <c r="F766" s="131"/>
      <c r="G766" s="39"/>
    </row>
    <row r="767" spans="3:7" ht="15.75" customHeight="1" x14ac:dyDescent="0.45">
      <c r="C767" s="39"/>
      <c r="D767" s="131"/>
      <c r="E767" s="131"/>
      <c r="F767" s="131"/>
      <c r="G767" s="39"/>
    </row>
    <row r="768" spans="3:7" ht="15.75" customHeight="1" x14ac:dyDescent="0.45">
      <c r="C768" s="39"/>
      <c r="D768" s="131"/>
      <c r="E768" s="131"/>
      <c r="F768" s="131"/>
      <c r="G768" s="39"/>
    </row>
    <row r="769" spans="3:7" ht="15.75" customHeight="1" x14ac:dyDescent="0.45">
      <c r="C769" s="39"/>
      <c r="D769" s="131"/>
      <c r="E769" s="131"/>
      <c r="F769" s="131"/>
      <c r="G769" s="39"/>
    </row>
    <row r="770" spans="3:7" ht="15.75" customHeight="1" x14ac:dyDescent="0.45">
      <c r="C770" s="39"/>
      <c r="D770" s="131"/>
      <c r="E770" s="131"/>
      <c r="F770" s="131"/>
      <c r="G770" s="39"/>
    </row>
    <row r="771" spans="3:7" ht="15.75" customHeight="1" x14ac:dyDescent="0.45">
      <c r="C771" s="39"/>
      <c r="D771" s="131"/>
      <c r="E771" s="131"/>
      <c r="F771" s="131"/>
      <c r="G771" s="39"/>
    </row>
    <row r="772" spans="3:7" ht="15.75" customHeight="1" x14ac:dyDescent="0.45">
      <c r="C772" s="39"/>
      <c r="D772" s="131"/>
      <c r="E772" s="131"/>
      <c r="F772" s="131"/>
      <c r="G772" s="39"/>
    </row>
    <row r="773" spans="3:7" ht="15.75" customHeight="1" x14ac:dyDescent="0.45">
      <c r="C773" s="39"/>
      <c r="D773" s="131"/>
      <c r="E773" s="131"/>
      <c r="F773" s="131"/>
      <c r="G773" s="39"/>
    </row>
    <row r="774" spans="3:7" ht="15.75" customHeight="1" x14ac:dyDescent="0.45">
      <c r="C774" s="39"/>
      <c r="D774" s="131"/>
      <c r="E774" s="131"/>
      <c r="F774" s="131"/>
      <c r="G774" s="39"/>
    </row>
    <row r="775" spans="3:7" ht="15.75" customHeight="1" x14ac:dyDescent="0.45">
      <c r="C775" s="39"/>
      <c r="D775" s="131"/>
      <c r="E775" s="131"/>
      <c r="F775" s="131"/>
      <c r="G775" s="39"/>
    </row>
    <row r="776" spans="3:7" ht="15.75" customHeight="1" x14ac:dyDescent="0.45">
      <c r="C776" s="39"/>
      <c r="D776" s="131"/>
      <c r="E776" s="131"/>
      <c r="F776" s="131"/>
      <c r="G776" s="39"/>
    </row>
    <row r="777" spans="3:7" ht="15.75" customHeight="1" x14ac:dyDescent="0.45">
      <c r="C777" s="39"/>
      <c r="D777" s="131"/>
      <c r="E777" s="131"/>
      <c r="F777" s="131"/>
      <c r="G777" s="39"/>
    </row>
    <row r="778" spans="3:7" ht="15.75" customHeight="1" x14ac:dyDescent="0.45">
      <c r="C778" s="39"/>
      <c r="D778" s="131"/>
      <c r="E778" s="131"/>
      <c r="F778" s="131"/>
      <c r="G778" s="39"/>
    </row>
    <row r="779" spans="3:7" ht="15.75" customHeight="1" x14ac:dyDescent="0.45">
      <c r="C779" s="39"/>
      <c r="D779" s="131"/>
      <c r="E779" s="131"/>
      <c r="F779" s="131"/>
      <c r="G779" s="39"/>
    </row>
    <row r="780" spans="3:7" ht="15.75" customHeight="1" x14ac:dyDescent="0.45">
      <c r="C780" s="39"/>
      <c r="D780" s="131"/>
      <c r="E780" s="131"/>
      <c r="F780" s="131"/>
      <c r="G780" s="39"/>
    </row>
    <row r="781" spans="3:7" ht="15.75" customHeight="1" x14ac:dyDescent="0.45">
      <c r="C781" s="39"/>
      <c r="D781" s="131"/>
      <c r="E781" s="131"/>
      <c r="F781" s="131"/>
      <c r="G781" s="39"/>
    </row>
    <row r="782" spans="3:7" ht="15.75" customHeight="1" x14ac:dyDescent="0.45">
      <c r="C782" s="39"/>
      <c r="D782" s="131"/>
      <c r="E782" s="131"/>
      <c r="F782" s="131"/>
      <c r="G782" s="39"/>
    </row>
    <row r="783" spans="3:7" ht="15.75" customHeight="1" x14ac:dyDescent="0.45">
      <c r="C783" s="39"/>
      <c r="D783" s="131"/>
      <c r="E783" s="131"/>
      <c r="F783" s="131"/>
      <c r="G783" s="39"/>
    </row>
    <row r="784" spans="3:7" ht="15.75" customHeight="1" x14ac:dyDescent="0.45">
      <c r="C784" s="39"/>
      <c r="D784" s="131"/>
      <c r="E784" s="131"/>
      <c r="F784" s="131"/>
      <c r="G784" s="39"/>
    </row>
    <row r="785" spans="3:7" ht="15.75" customHeight="1" x14ac:dyDescent="0.45">
      <c r="C785" s="39"/>
      <c r="D785" s="131"/>
      <c r="E785" s="131"/>
      <c r="F785" s="131"/>
      <c r="G785" s="39"/>
    </row>
    <row r="786" spans="3:7" ht="15.75" customHeight="1" x14ac:dyDescent="0.45">
      <c r="C786" s="39"/>
      <c r="D786" s="131"/>
      <c r="E786" s="131"/>
      <c r="F786" s="131"/>
      <c r="G786" s="39"/>
    </row>
    <row r="787" spans="3:7" ht="15.75" customHeight="1" x14ac:dyDescent="0.45">
      <c r="C787" s="39"/>
      <c r="D787" s="131"/>
      <c r="E787" s="131"/>
      <c r="F787" s="131"/>
      <c r="G787" s="39"/>
    </row>
    <row r="788" spans="3:7" ht="15.75" customHeight="1" x14ac:dyDescent="0.45">
      <c r="C788" s="39"/>
      <c r="D788" s="131"/>
      <c r="E788" s="131"/>
      <c r="F788" s="131"/>
      <c r="G788" s="39"/>
    </row>
    <row r="789" spans="3:7" ht="15.75" customHeight="1" x14ac:dyDescent="0.45">
      <c r="C789" s="39"/>
      <c r="D789" s="131"/>
      <c r="E789" s="131"/>
      <c r="F789" s="131"/>
      <c r="G789" s="39"/>
    </row>
    <row r="790" spans="3:7" ht="15.75" customHeight="1" x14ac:dyDescent="0.45">
      <c r="C790" s="39"/>
      <c r="D790" s="131"/>
      <c r="E790" s="131"/>
      <c r="F790" s="131"/>
      <c r="G790" s="39"/>
    </row>
    <row r="791" spans="3:7" ht="15.75" customHeight="1" x14ac:dyDescent="0.45">
      <c r="C791" s="39"/>
      <c r="D791" s="131"/>
      <c r="E791" s="131"/>
      <c r="F791" s="131"/>
      <c r="G791" s="39"/>
    </row>
    <row r="792" spans="3:7" ht="15.75" customHeight="1" x14ac:dyDescent="0.45">
      <c r="C792" s="39"/>
      <c r="D792" s="131"/>
      <c r="E792" s="131"/>
      <c r="F792" s="131"/>
      <c r="G792" s="39"/>
    </row>
    <row r="793" spans="3:7" ht="15.75" customHeight="1" x14ac:dyDescent="0.45">
      <c r="C793" s="39"/>
      <c r="D793" s="131"/>
      <c r="E793" s="131"/>
      <c r="F793" s="131"/>
      <c r="G793" s="39"/>
    </row>
    <row r="794" spans="3:7" ht="15.75" customHeight="1" x14ac:dyDescent="0.45">
      <c r="C794" s="39"/>
      <c r="D794" s="131"/>
      <c r="E794" s="131"/>
      <c r="F794" s="131"/>
      <c r="G794" s="39"/>
    </row>
    <row r="795" spans="3:7" ht="15.75" customHeight="1" x14ac:dyDescent="0.45">
      <c r="C795" s="39"/>
      <c r="D795" s="131"/>
      <c r="E795" s="131"/>
      <c r="F795" s="131"/>
      <c r="G795" s="39"/>
    </row>
    <row r="796" spans="3:7" ht="15.75" customHeight="1" x14ac:dyDescent="0.45">
      <c r="C796" s="39"/>
      <c r="D796" s="131"/>
      <c r="E796" s="131"/>
      <c r="F796" s="131"/>
      <c r="G796" s="39"/>
    </row>
    <row r="797" spans="3:7" ht="15.75" customHeight="1" x14ac:dyDescent="0.45">
      <c r="C797" s="39"/>
      <c r="D797" s="131"/>
      <c r="E797" s="131"/>
      <c r="F797" s="131"/>
      <c r="G797" s="39"/>
    </row>
    <row r="798" spans="3:7" ht="15.75" customHeight="1" x14ac:dyDescent="0.45">
      <c r="C798" s="39"/>
      <c r="D798" s="131"/>
      <c r="E798" s="131"/>
      <c r="F798" s="131"/>
      <c r="G798" s="39"/>
    </row>
    <row r="799" spans="3:7" ht="15.75" customHeight="1" x14ac:dyDescent="0.45">
      <c r="C799" s="39"/>
      <c r="D799" s="131"/>
      <c r="E799" s="131"/>
      <c r="F799" s="131"/>
      <c r="G799" s="39"/>
    </row>
    <row r="800" spans="3:7" ht="15.75" customHeight="1" x14ac:dyDescent="0.45">
      <c r="C800" s="39"/>
      <c r="D800" s="131"/>
      <c r="E800" s="131"/>
      <c r="F800" s="131"/>
      <c r="G800" s="39"/>
    </row>
    <row r="801" spans="3:7" ht="15.75" customHeight="1" x14ac:dyDescent="0.45">
      <c r="C801" s="39"/>
      <c r="D801" s="131"/>
      <c r="E801" s="131"/>
      <c r="F801" s="131"/>
      <c r="G801" s="39"/>
    </row>
    <row r="802" spans="3:7" ht="15.75" customHeight="1" x14ac:dyDescent="0.45">
      <c r="C802" s="39"/>
      <c r="D802" s="131"/>
      <c r="E802" s="131"/>
      <c r="F802" s="131"/>
      <c r="G802" s="39"/>
    </row>
    <row r="803" spans="3:7" ht="15.75" customHeight="1" x14ac:dyDescent="0.45">
      <c r="C803" s="39"/>
      <c r="D803" s="131"/>
      <c r="E803" s="131"/>
      <c r="F803" s="131"/>
      <c r="G803" s="39"/>
    </row>
    <row r="804" spans="3:7" ht="15.75" customHeight="1" x14ac:dyDescent="0.45">
      <c r="C804" s="39"/>
      <c r="D804" s="131"/>
      <c r="E804" s="131"/>
      <c r="F804" s="131"/>
      <c r="G804" s="39"/>
    </row>
    <row r="805" spans="3:7" ht="15.75" customHeight="1" x14ac:dyDescent="0.45">
      <c r="C805" s="39"/>
      <c r="D805" s="131"/>
      <c r="E805" s="131"/>
      <c r="F805" s="131"/>
      <c r="G805" s="39"/>
    </row>
    <row r="806" spans="3:7" ht="15.75" customHeight="1" x14ac:dyDescent="0.45">
      <c r="C806" s="39"/>
      <c r="D806" s="131"/>
      <c r="E806" s="131"/>
      <c r="F806" s="131"/>
      <c r="G806" s="39"/>
    </row>
    <row r="807" spans="3:7" ht="15.75" customHeight="1" x14ac:dyDescent="0.45">
      <c r="C807" s="39"/>
      <c r="D807" s="131"/>
      <c r="E807" s="131"/>
      <c r="F807" s="131"/>
      <c r="G807" s="39"/>
    </row>
    <row r="808" spans="3:7" ht="15.75" customHeight="1" x14ac:dyDescent="0.45">
      <c r="C808" s="39"/>
      <c r="D808" s="131"/>
      <c r="E808" s="131"/>
      <c r="F808" s="131"/>
      <c r="G808" s="39"/>
    </row>
    <row r="809" spans="3:7" ht="15.75" customHeight="1" x14ac:dyDescent="0.45">
      <c r="C809" s="39"/>
      <c r="D809" s="131"/>
      <c r="E809" s="131"/>
      <c r="F809" s="131"/>
      <c r="G809" s="39"/>
    </row>
    <row r="810" spans="3:7" ht="15.75" customHeight="1" x14ac:dyDescent="0.45">
      <c r="C810" s="39"/>
      <c r="D810" s="131"/>
      <c r="E810" s="131"/>
      <c r="F810" s="131"/>
      <c r="G810" s="39"/>
    </row>
    <row r="811" spans="3:7" ht="15.75" customHeight="1" x14ac:dyDescent="0.45">
      <c r="C811" s="39"/>
      <c r="D811" s="131"/>
      <c r="E811" s="131"/>
      <c r="F811" s="131"/>
      <c r="G811" s="39"/>
    </row>
    <row r="812" spans="3:7" ht="15.75" customHeight="1" x14ac:dyDescent="0.45">
      <c r="C812" s="39"/>
      <c r="D812" s="131"/>
      <c r="E812" s="131"/>
      <c r="F812" s="131"/>
      <c r="G812" s="39"/>
    </row>
    <row r="813" spans="3:7" ht="15.75" customHeight="1" x14ac:dyDescent="0.45">
      <c r="C813" s="39"/>
      <c r="D813" s="131"/>
      <c r="E813" s="131"/>
      <c r="F813" s="131"/>
      <c r="G813" s="39"/>
    </row>
    <row r="814" spans="3:7" ht="15.75" customHeight="1" x14ac:dyDescent="0.45">
      <c r="C814" s="39"/>
      <c r="D814" s="131"/>
      <c r="E814" s="131"/>
      <c r="F814" s="131"/>
      <c r="G814" s="39"/>
    </row>
    <row r="815" spans="3:7" ht="15.75" customHeight="1" x14ac:dyDescent="0.45">
      <c r="C815" s="39"/>
      <c r="D815" s="131"/>
      <c r="E815" s="131"/>
      <c r="F815" s="131"/>
      <c r="G815" s="39"/>
    </row>
    <row r="816" spans="3:7" ht="15.75" customHeight="1" x14ac:dyDescent="0.45">
      <c r="C816" s="39"/>
      <c r="D816" s="131"/>
      <c r="E816" s="131"/>
      <c r="F816" s="131"/>
      <c r="G816" s="39"/>
    </row>
    <row r="817" spans="3:7" ht="15.75" customHeight="1" x14ac:dyDescent="0.45">
      <c r="C817" s="39"/>
      <c r="D817" s="131"/>
      <c r="E817" s="131"/>
      <c r="F817" s="131"/>
      <c r="G817" s="39"/>
    </row>
    <row r="818" spans="3:7" ht="15.75" customHeight="1" x14ac:dyDescent="0.45">
      <c r="C818" s="39"/>
      <c r="D818" s="131"/>
      <c r="E818" s="131"/>
      <c r="F818" s="131"/>
      <c r="G818" s="39"/>
    </row>
    <row r="819" spans="3:7" ht="15.75" customHeight="1" x14ac:dyDescent="0.45">
      <c r="C819" s="39"/>
      <c r="D819" s="131"/>
      <c r="E819" s="131"/>
      <c r="F819" s="131"/>
      <c r="G819" s="39"/>
    </row>
    <row r="820" spans="3:7" ht="15.75" customHeight="1" x14ac:dyDescent="0.45">
      <c r="C820" s="39"/>
      <c r="D820" s="131"/>
      <c r="E820" s="131"/>
      <c r="F820" s="131"/>
      <c r="G820" s="39"/>
    </row>
    <row r="821" spans="3:7" ht="15.75" customHeight="1" x14ac:dyDescent="0.45">
      <c r="C821" s="39"/>
      <c r="D821" s="131"/>
      <c r="E821" s="131"/>
      <c r="F821" s="131"/>
      <c r="G821" s="39"/>
    </row>
    <row r="822" spans="3:7" ht="15.75" customHeight="1" x14ac:dyDescent="0.45">
      <c r="C822" s="39"/>
      <c r="D822" s="131"/>
      <c r="E822" s="131"/>
      <c r="F822" s="131"/>
      <c r="G822" s="39"/>
    </row>
    <row r="823" spans="3:7" ht="15.75" customHeight="1" x14ac:dyDescent="0.45">
      <c r="C823" s="39"/>
      <c r="D823" s="131"/>
      <c r="E823" s="131"/>
      <c r="F823" s="131"/>
      <c r="G823" s="39"/>
    </row>
    <row r="824" spans="3:7" ht="15.75" customHeight="1" x14ac:dyDescent="0.45">
      <c r="C824" s="39"/>
      <c r="D824" s="131"/>
      <c r="E824" s="131"/>
      <c r="F824" s="131"/>
      <c r="G824" s="39"/>
    </row>
    <row r="825" spans="3:7" ht="15.75" customHeight="1" x14ac:dyDescent="0.45">
      <c r="C825" s="39"/>
      <c r="D825" s="131"/>
      <c r="E825" s="131"/>
      <c r="F825" s="131"/>
      <c r="G825" s="39"/>
    </row>
    <row r="826" spans="3:7" ht="15.75" customHeight="1" x14ac:dyDescent="0.45">
      <c r="C826" s="39"/>
      <c r="D826" s="131"/>
      <c r="E826" s="131"/>
      <c r="F826" s="131"/>
      <c r="G826" s="39"/>
    </row>
    <row r="827" spans="3:7" ht="15.75" customHeight="1" x14ac:dyDescent="0.45">
      <c r="C827" s="39"/>
      <c r="D827" s="131"/>
      <c r="E827" s="131"/>
      <c r="F827" s="131"/>
      <c r="G827" s="39"/>
    </row>
    <row r="828" spans="3:7" ht="15.75" customHeight="1" x14ac:dyDescent="0.45">
      <c r="C828" s="39"/>
      <c r="D828" s="131"/>
      <c r="E828" s="131"/>
      <c r="F828" s="131"/>
      <c r="G828" s="39"/>
    </row>
    <row r="829" spans="3:7" ht="15.75" customHeight="1" x14ac:dyDescent="0.45">
      <c r="C829" s="39"/>
      <c r="D829" s="131"/>
      <c r="E829" s="131"/>
      <c r="F829" s="131"/>
      <c r="G829" s="39"/>
    </row>
    <row r="830" spans="3:7" ht="15.75" customHeight="1" x14ac:dyDescent="0.45">
      <c r="C830" s="39"/>
      <c r="D830" s="131"/>
      <c r="E830" s="131"/>
      <c r="F830" s="131"/>
      <c r="G830" s="39"/>
    </row>
    <row r="831" spans="3:7" ht="15.75" customHeight="1" x14ac:dyDescent="0.45">
      <c r="C831" s="39"/>
      <c r="D831" s="131"/>
      <c r="E831" s="131"/>
      <c r="F831" s="131"/>
      <c r="G831" s="39"/>
    </row>
    <row r="832" spans="3:7" ht="15.75" customHeight="1" x14ac:dyDescent="0.45">
      <c r="C832" s="39"/>
      <c r="D832" s="131"/>
      <c r="E832" s="131"/>
      <c r="F832" s="131"/>
      <c r="G832" s="39"/>
    </row>
    <row r="833" spans="3:7" ht="15.75" customHeight="1" x14ac:dyDescent="0.45">
      <c r="C833" s="39"/>
      <c r="D833" s="131"/>
      <c r="E833" s="131"/>
      <c r="F833" s="131"/>
      <c r="G833" s="39"/>
    </row>
    <row r="834" spans="3:7" ht="15.75" customHeight="1" x14ac:dyDescent="0.45">
      <c r="C834" s="39"/>
      <c r="D834" s="131"/>
      <c r="E834" s="131"/>
      <c r="F834" s="131"/>
      <c r="G834" s="39"/>
    </row>
    <row r="835" spans="3:7" ht="15.75" customHeight="1" x14ac:dyDescent="0.45">
      <c r="C835" s="39"/>
      <c r="D835" s="131"/>
      <c r="E835" s="131"/>
      <c r="F835" s="131"/>
      <c r="G835" s="39"/>
    </row>
    <row r="836" spans="3:7" ht="15.75" customHeight="1" x14ac:dyDescent="0.45">
      <c r="C836" s="39"/>
      <c r="D836" s="131"/>
      <c r="E836" s="131"/>
      <c r="F836" s="131"/>
      <c r="G836" s="39"/>
    </row>
    <row r="837" spans="3:7" ht="15.75" customHeight="1" x14ac:dyDescent="0.45">
      <c r="C837" s="39"/>
      <c r="D837" s="131"/>
      <c r="E837" s="131"/>
      <c r="F837" s="131"/>
      <c r="G837" s="39"/>
    </row>
    <row r="838" spans="3:7" ht="15.75" customHeight="1" x14ac:dyDescent="0.45">
      <c r="C838" s="39"/>
      <c r="D838" s="131"/>
      <c r="E838" s="131"/>
      <c r="F838" s="131"/>
      <c r="G838" s="39"/>
    </row>
    <row r="839" spans="3:7" ht="15.75" customHeight="1" x14ac:dyDescent="0.45">
      <c r="C839" s="39"/>
      <c r="D839" s="131"/>
      <c r="E839" s="131"/>
      <c r="F839" s="131"/>
      <c r="G839" s="39"/>
    </row>
    <row r="840" spans="3:7" ht="15.75" customHeight="1" x14ac:dyDescent="0.45">
      <c r="C840" s="39"/>
      <c r="D840" s="131"/>
      <c r="E840" s="131"/>
      <c r="F840" s="131"/>
      <c r="G840" s="39"/>
    </row>
    <row r="841" spans="3:7" ht="15.75" customHeight="1" x14ac:dyDescent="0.45">
      <c r="C841" s="39"/>
      <c r="D841" s="131"/>
      <c r="E841" s="131"/>
      <c r="F841" s="131"/>
      <c r="G841" s="39"/>
    </row>
    <row r="842" spans="3:7" ht="15.75" customHeight="1" x14ac:dyDescent="0.45">
      <c r="C842" s="39"/>
      <c r="D842" s="131"/>
      <c r="E842" s="131"/>
      <c r="F842" s="131"/>
      <c r="G842" s="39"/>
    </row>
    <row r="843" spans="3:7" ht="15.75" customHeight="1" x14ac:dyDescent="0.45">
      <c r="C843" s="39"/>
      <c r="D843" s="131"/>
      <c r="E843" s="131"/>
      <c r="F843" s="131"/>
      <c r="G843" s="39"/>
    </row>
    <row r="844" spans="3:7" ht="15.75" customHeight="1" x14ac:dyDescent="0.45">
      <c r="C844" s="39"/>
      <c r="D844" s="131"/>
      <c r="E844" s="131"/>
      <c r="F844" s="131"/>
      <c r="G844" s="39"/>
    </row>
    <row r="845" spans="3:7" ht="15.75" customHeight="1" x14ac:dyDescent="0.45">
      <c r="C845" s="39"/>
      <c r="D845" s="131"/>
      <c r="E845" s="131"/>
      <c r="F845" s="131"/>
      <c r="G845" s="39"/>
    </row>
    <row r="846" spans="3:7" ht="15.75" customHeight="1" x14ac:dyDescent="0.45">
      <c r="C846" s="39"/>
      <c r="D846" s="131"/>
      <c r="E846" s="131"/>
      <c r="F846" s="131"/>
      <c r="G846" s="39"/>
    </row>
    <row r="847" spans="3:7" ht="15.75" customHeight="1" x14ac:dyDescent="0.45">
      <c r="C847" s="39"/>
      <c r="D847" s="131"/>
      <c r="E847" s="131"/>
      <c r="F847" s="131"/>
      <c r="G847" s="39"/>
    </row>
    <row r="848" spans="3:7" ht="15.75" customHeight="1" x14ac:dyDescent="0.45">
      <c r="C848" s="39"/>
      <c r="D848" s="131"/>
      <c r="E848" s="131"/>
      <c r="F848" s="131"/>
      <c r="G848" s="39"/>
    </row>
    <row r="849" spans="3:7" ht="15.75" customHeight="1" x14ac:dyDescent="0.45">
      <c r="C849" s="39"/>
      <c r="D849" s="131"/>
      <c r="E849" s="131"/>
      <c r="F849" s="131"/>
      <c r="G849" s="39"/>
    </row>
    <row r="850" spans="3:7" ht="15.75" customHeight="1" x14ac:dyDescent="0.45">
      <c r="C850" s="39"/>
      <c r="D850" s="131"/>
      <c r="E850" s="131"/>
      <c r="F850" s="131"/>
      <c r="G850" s="39"/>
    </row>
    <row r="851" spans="3:7" ht="15.75" customHeight="1" x14ac:dyDescent="0.45">
      <c r="C851" s="39"/>
      <c r="D851" s="131"/>
      <c r="E851" s="131"/>
      <c r="F851" s="131"/>
      <c r="G851" s="39"/>
    </row>
    <row r="852" spans="3:7" ht="15.75" customHeight="1" x14ac:dyDescent="0.45">
      <c r="C852" s="39"/>
      <c r="D852" s="131"/>
      <c r="E852" s="131"/>
      <c r="F852" s="131"/>
      <c r="G852" s="39"/>
    </row>
    <row r="853" spans="3:7" ht="15.75" customHeight="1" x14ac:dyDescent="0.45">
      <c r="C853" s="39"/>
      <c r="D853" s="131"/>
      <c r="E853" s="131"/>
      <c r="F853" s="131"/>
      <c r="G853" s="39"/>
    </row>
    <row r="854" spans="3:7" ht="15.75" customHeight="1" x14ac:dyDescent="0.45">
      <c r="C854" s="39"/>
      <c r="D854" s="131"/>
      <c r="E854" s="131"/>
      <c r="F854" s="131"/>
      <c r="G854" s="39"/>
    </row>
    <row r="855" spans="3:7" ht="15.75" customHeight="1" x14ac:dyDescent="0.45">
      <c r="C855" s="39"/>
      <c r="D855" s="131"/>
      <c r="E855" s="131"/>
      <c r="F855" s="131"/>
      <c r="G855" s="39"/>
    </row>
    <row r="856" spans="3:7" ht="15.75" customHeight="1" x14ac:dyDescent="0.45">
      <c r="C856" s="39"/>
      <c r="D856" s="131"/>
      <c r="E856" s="131"/>
      <c r="F856" s="131"/>
      <c r="G856" s="39"/>
    </row>
    <row r="857" spans="3:7" ht="15.75" customHeight="1" x14ac:dyDescent="0.45">
      <c r="C857" s="39"/>
      <c r="D857" s="131"/>
      <c r="E857" s="131"/>
      <c r="F857" s="131"/>
      <c r="G857" s="39"/>
    </row>
    <row r="858" spans="3:7" ht="15.75" customHeight="1" x14ac:dyDescent="0.45">
      <c r="C858" s="39"/>
      <c r="D858" s="131"/>
      <c r="E858" s="131"/>
      <c r="F858" s="131"/>
      <c r="G858" s="39"/>
    </row>
    <row r="859" spans="3:7" ht="15.75" customHeight="1" x14ac:dyDescent="0.45">
      <c r="C859" s="39"/>
      <c r="D859" s="131"/>
      <c r="E859" s="131"/>
      <c r="F859" s="131"/>
      <c r="G859" s="39"/>
    </row>
    <row r="860" spans="3:7" ht="15.75" customHeight="1" x14ac:dyDescent="0.45">
      <c r="C860" s="39"/>
      <c r="D860" s="131"/>
      <c r="E860" s="131"/>
      <c r="F860" s="131"/>
      <c r="G860" s="39"/>
    </row>
    <row r="861" spans="3:7" ht="15.75" customHeight="1" x14ac:dyDescent="0.45">
      <c r="C861" s="39"/>
      <c r="D861" s="131"/>
      <c r="E861" s="131"/>
      <c r="F861" s="131"/>
      <c r="G861" s="39"/>
    </row>
    <row r="862" spans="3:7" ht="15.75" customHeight="1" x14ac:dyDescent="0.45">
      <c r="C862" s="39"/>
      <c r="D862" s="131"/>
      <c r="E862" s="131"/>
      <c r="F862" s="131"/>
      <c r="G862" s="39"/>
    </row>
    <row r="863" spans="3:7" ht="15.75" customHeight="1" x14ac:dyDescent="0.45">
      <c r="C863" s="39"/>
      <c r="D863" s="131"/>
      <c r="E863" s="131"/>
      <c r="F863" s="131"/>
      <c r="G863" s="39"/>
    </row>
    <row r="864" spans="3:7" ht="15.75" customHeight="1" x14ac:dyDescent="0.45">
      <c r="C864" s="39"/>
      <c r="D864" s="131"/>
      <c r="E864" s="131"/>
      <c r="F864" s="131"/>
      <c r="G864" s="39"/>
    </row>
    <row r="865" spans="3:7" ht="15.75" customHeight="1" x14ac:dyDescent="0.45">
      <c r="C865" s="39"/>
      <c r="D865" s="131"/>
      <c r="E865" s="131"/>
      <c r="F865" s="131"/>
      <c r="G865" s="39"/>
    </row>
    <row r="866" spans="3:7" ht="15.75" customHeight="1" x14ac:dyDescent="0.45">
      <c r="C866" s="39"/>
      <c r="D866" s="131"/>
      <c r="E866" s="131"/>
      <c r="F866" s="131"/>
      <c r="G866" s="39"/>
    </row>
    <row r="867" spans="3:7" ht="15.75" customHeight="1" x14ac:dyDescent="0.45">
      <c r="C867" s="39"/>
      <c r="D867" s="131"/>
      <c r="E867" s="131"/>
      <c r="F867" s="131"/>
      <c r="G867" s="39"/>
    </row>
    <row r="868" spans="3:7" ht="15.75" customHeight="1" x14ac:dyDescent="0.45">
      <c r="C868" s="39"/>
      <c r="D868" s="131"/>
      <c r="E868" s="131"/>
      <c r="F868" s="131"/>
      <c r="G868" s="39"/>
    </row>
    <row r="869" spans="3:7" ht="15.75" customHeight="1" x14ac:dyDescent="0.45">
      <c r="C869" s="39"/>
      <c r="D869" s="131"/>
      <c r="E869" s="131"/>
      <c r="F869" s="131"/>
      <c r="G869" s="39"/>
    </row>
    <row r="870" spans="3:7" ht="15.75" customHeight="1" x14ac:dyDescent="0.45">
      <c r="C870" s="39"/>
      <c r="D870" s="131"/>
      <c r="E870" s="131"/>
      <c r="F870" s="131"/>
      <c r="G870" s="39"/>
    </row>
    <row r="871" spans="3:7" ht="15.75" customHeight="1" x14ac:dyDescent="0.45">
      <c r="C871" s="39"/>
      <c r="D871" s="131"/>
      <c r="E871" s="131"/>
      <c r="F871" s="131"/>
      <c r="G871" s="39"/>
    </row>
    <row r="872" spans="3:7" ht="15.75" customHeight="1" x14ac:dyDescent="0.45">
      <c r="C872" s="39"/>
      <c r="D872" s="131"/>
      <c r="E872" s="131"/>
      <c r="F872" s="131"/>
      <c r="G872" s="39"/>
    </row>
    <row r="873" spans="3:7" ht="15.75" customHeight="1" x14ac:dyDescent="0.45">
      <c r="C873" s="39"/>
      <c r="D873" s="131"/>
      <c r="E873" s="131"/>
      <c r="F873" s="131"/>
      <c r="G873" s="39"/>
    </row>
    <row r="874" spans="3:7" ht="15.75" customHeight="1" x14ac:dyDescent="0.45">
      <c r="C874" s="39"/>
      <c r="D874" s="131"/>
      <c r="E874" s="131"/>
      <c r="F874" s="131"/>
      <c r="G874" s="39"/>
    </row>
    <row r="875" spans="3:7" ht="15.75" customHeight="1" x14ac:dyDescent="0.45">
      <c r="C875" s="39"/>
      <c r="D875" s="131"/>
      <c r="E875" s="131"/>
      <c r="F875" s="131"/>
      <c r="G875" s="39"/>
    </row>
    <row r="876" spans="3:7" ht="15.75" customHeight="1" x14ac:dyDescent="0.45">
      <c r="C876" s="39"/>
      <c r="D876" s="131"/>
      <c r="E876" s="131"/>
      <c r="F876" s="131"/>
      <c r="G876" s="39"/>
    </row>
    <row r="877" spans="3:7" ht="15.75" customHeight="1" x14ac:dyDescent="0.45">
      <c r="C877" s="39"/>
      <c r="D877" s="131"/>
      <c r="E877" s="131"/>
      <c r="F877" s="131"/>
      <c r="G877" s="39"/>
    </row>
    <row r="878" spans="3:7" ht="15.75" customHeight="1" x14ac:dyDescent="0.45">
      <c r="C878" s="39"/>
      <c r="D878" s="131"/>
      <c r="E878" s="131"/>
      <c r="F878" s="131"/>
      <c r="G878" s="39"/>
    </row>
    <row r="879" spans="3:7" ht="15.75" customHeight="1" x14ac:dyDescent="0.45">
      <c r="C879" s="39"/>
      <c r="D879" s="131"/>
      <c r="E879" s="131"/>
      <c r="F879" s="131"/>
      <c r="G879" s="39"/>
    </row>
    <row r="880" spans="3:7" ht="15.75" customHeight="1" x14ac:dyDescent="0.45">
      <c r="C880" s="39"/>
      <c r="D880" s="131"/>
      <c r="E880" s="131"/>
      <c r="F880" s="131"/>
      <c r="G880" s="39"/>
    </row>
    <row r="881" spans="3:7" ht="15.75" customHeight="1" x14ac:dyDescent="0.45">
      <c r="C881" s="39"/>
      <c r="D881" s="131"/>
      <c r="E881" s="131"/>
      <c r="F881" s="131"/>
      <c r="G881" s="39"/>
    </row>
    <row r="882" spans="3:7" ht="15.75" customHeight="1" x14ac:dyDescent="0.45">
      <c r="C882" s="39"/>
      <c r="D882" s="131"/>
      <c r="E882" s="131"/>
      <c r="F882" s="131"/>
      <c r="G882" s="39"/>
    </row>
    <row r="883" spans="3:7" ht="15.75" customHeight="1" x14ac:dyDescent="0.45">
      <c r="C883" s="39"/>
      <c r="D883" s="131"/>
      <c r="E883" s="131"/>
      <c r="F883" s="131"/>
      <c r="G883" s="39"/>
    </row>
    <row r="884" spans="3:7" ht="15.75" customHeight="1" x14ac:dyDescent="0.45">
      <c r="C884" s="39"/>
      <c r="D884" s="131"/>
      <c r="E884" s="131"/>
      <c r="F884" s="131"/>
      <c r="G884" s="39"/>
    </row>
    <row r="885" spans="3:7" ht="15.75" customHeight="1" x14ac:dyDescent="0.45">
      <c r="C885" s="39"/>
      <c r="D885" s="131"/>
      <c r="E885" s="131"/>
      <c r="F885" s="131"/>
      <c r="G885" s="39"/>
    </row>
    <row r="886" spans="3:7" ht="15.75" customHeight="1" x14ac:dyDescent="0.45">
      <c r="C886" s="39"/>
      <c r="D886" s="131"/>
      <c r="E886" s="131"/>
      <c r="F886" s="131"/>
      <c r="G886" s="39"/>
    </row>
    <row r="887" spans="3:7" ht="15.75" customHeight="1" x14ac:dyDescent="0.45">
      <c r="C887" s="39"/>
      <c r="D887" s="131"/>
      <c r="E887" s="131"/>
      <c r="F887" s="131"/>
      <c r="G887" s="39"/>
    </row>
    <row r="888" spans="3:7" ht="15.75" customHeight="1" x14ac:dyDescent="0.45">
      <c r="C888" s="39"/>
      <c r="D888" s="131"/>
      <c r="E888" s="131"/>
      <c r="F888" s="131"/>
      <c r="G888" s="39"/>
    </row>
    <row r="889" spans="3:7" ht="15.75" customHeight="1" x14ac:dyDescent="0.45">
      <c r="C889" s="39"/>
      <c r="D889" s="131"/>
      <c r="E889" s="131"/>
      <c r="F889" s="131"/>
      <c r="G889" s="39"/>
    </row>
    <row r="890" spans="3:7" ht="15.75" customHeight="1" x14ac:dyDescent="0.45">
      <c r="C890" s="39"/>
      <c r="D890" s="131"/>
      <c r="E890" s="131"/>
      <c r="F890" s="131"/>
      <c r="G890" s="39"/>
    </row>
    <row r="891" spans="3:7" ht="15.75" customHeight="1" x14ac:dyDescent="0.45">
      <c r="C891" s="39"/>
      <c r="D891" s="131"/>
      <c r="E891" s="131"/>
      <c r="F891" s="131"/>
      <c r="G891" s="39"/>
    </row>
    <row r="892" spans="3:7" ht="15.75" customHeight="1" x14ac:dyDescent="0.45">
      <c r="C892" s="39"/>
      <c r="D892" s="131"/>
      <c r="E892" s="131"/>
      <c r="F892" s="131"/>
      <c r="G892" s="39"/>
    </row>
    <row r="893" spans="3:7" ht="15.75" customHeight="1" x14ac:dyDescent="0.45">
      <c r="C893" s="39"/>
      <c r="D893" s="131"/>
      <c r="E893" s="131"/>
      <c r="F893" s="131"/>
      <c r="G893" s="39"/>
    </row>
    <row r="894" spans="3:7" ht="15.75" customHeight="1" x14ac:dyDescent="0.45">
      <c r="C894" s="39"/>
      <c r="D894" s="131"/>
      <c r="E894" s="131"/>
      <c r="F894" s="131"/>
      <c r="G894" s="39"/>
    </row>
    <row r="895" spans="3:7" ht="15.75" customHeight="1" x14ac:dyDescent="0.45">
      <c r="C895" s="39"/>
      <c r="D895" s="131"/>
      <c r="E895" s="131"/>
      <c r="F895" s="131"/>
      <c r="G895" s="39"/>
    </row>
    <row r="896" spans="3:7" ht="15.75" customHeight="1" x14ac:dyDescent="0.45">
      <c r="C896" s="39"/>
      <c r="D896" s="131"/>
      <c r="E896" s="131"/>
      <c r="F896" s="131"/>
      <c r="G896" s="39"/>
    </row>
    <row r="897" spans="3:7" ht="15.75" customHeight="1" x14ac:dyDescent="0.45">
      <c r="C897" s="39"/>
      <c r="D897" s="131"/>
      <c r="E897" s="131"/>
      <c r="F897" s="131"/>
      <c r="G897" s="39"/>
    </row>
    <row r="898" spans="3:7" ht="15.75" customHeight="1" x14ac:dyDescent="0.45">
      <c r="C898" s="39"/>
      <c r="D898" s="131"/>
      <c r="E898" s="131"/>
      <c r="F898" s="131"/>
      <c r="G898" s="39"/>
    </row>
    <row r="899" spans="3:7" ht="15.75" customHeight="1" x14ac:dyDescent="0.45">
      <c r="C899" s="39"/>
      <c r="D899" s="131"/>
      <c r="E899" s="131"/>
      <c r="F899" s="131"/>
      <c r="G899" s="39"/>
    </row>
    <row r="900" spans="3:7" ht="15.75" customHeight="1" x14ac:dyDescent="0.45">
      <c r="C900" s="39"/>
      <c r="D900" s="131"/>
      <c r="E900" s="131"/>
      <c r="F900" s="131"/>
      <c r="G900" s="39"/>
    </row>
    <row r="901" spans="3:7" ht="15.75" customHeight="1" x14ac:dyDescent="0.45">
      <c r="C901" s="39"/>
      <c r="D901" s="131"/>
      <c r="E901" s="131"/>
      <c r="F901" s="131"/>
      <c r="G901" s="39"/>
    </row>
    <row r="902" spans="3:7" ht="15.75" customHeight="1" x14ac:dyDescent="0.45">
      <c r="C902" s="39"/>
      <c r="D902" s="131"/>
      <c r="E902" s="131"/>
      <c r="F902" s="131"/>
      <c r="G902" s="39"/>
    </row>
    <row r="903" spans="3:7" ht="15.75" customHeight="1" x14ac:dyDescent="0.45">
      <c r="C903" s="39"/>
      <c r="D903" s="131"/>
      <c r="E903" s="131"/>
      <c r="F903" s="131"/>
      <c r="G903" s="39"/>
    </row>
    <row r="904" spans="3:7" ht="15.75" customHeight="1" x14ac:dyDescent="0.45">
      <c r="C904" s="39"/>
      <c r="D904" s="131"/>
      <c r="E904" s="131"/>
      <c r="F904" s="131"/>
      <c r="G904" s="39"/>
    </row>
    <row r="905" spans="3:7" ht="15.75" customHeight="1" x14ac:dyDescent="0.45">
      <c r="C905" s="39"/>
      <c r="D905" s="131"/>
      <c r="E905" s="131"/>
      <c r="F905" s="131"/>
      <c r="G905" s="39"/>
    </row>
    <row r="906" spans="3:7" ht="15.75" customHeight="1" x14ac:dyDescent="0.45">
      <c r="C906" s="39"/>
      <c r="D906" s="131"/>
      <c r="E906" s="131"/>
      <c r="F906" s="131"/>
      <c r="G906" s="39"/>
    </row>
    <row r="907" spans="3:7" ht="15.75" customHeight="1" x14ac:dyDescent="0.45">
      <c r="C907" s="39"/>
      <c r="D907" s="131"/>
      <c r="E907" s="131"/>
      <c r="F907" s="131"/>
      <c r="G907" s="39"/>
    </row>
    <row r="908" spans="3:7" ht="15.75" customHeight="1" x14ac:dyDescent="0.45">
      <c r="C908" s="39"/>
      <c r="D908" s="131"/>
      <c r="E908" s="131"/>
      <c r="F908" s="131"/>
      <c r="G908" s="39"/>
    </row>
    <row r="909" spans="3:7" ht="15.75" customHeight="1" x14ac:dyDescent="0.45">
      <c r="C909" s="39"/>
      <c r="D909" s="131"/>
      <c r="E909" s="131"/>
      <c r="F909" s="131"/>
      <c r="G909" s="39"/>
    </row>
    <row r="910" spans="3:7" ht="15.75" customHeight="1" x14ac:dyDescent="0.45">
      <c r="C910" s="39"/>
      <c r="D910" s="131"/>
      <c r="E910" s="131"/>
      <c r="F910" s="131"/>
      <c r="G910" s="39"/>
    </row>
    <row r="911" spans="3:7" ht="15.75" customHeight="1" x14ac:dyDescent="0.45">
      <c r="C911" s="39"/>
      <c r="D911" s="131"/>
      <c r="E911" s="131"/>
      <c r="F911" s="131"/>
      <c r="G911" s="39"/>
    </row>
    <row r="912" spans="3:7" ht="15.75" customHeight="1" x14ac:dyDescent="0.45">
      <c r="C912" s="39"/>
      <c r="D912" s="131"/>
      <c r="E912" s="131"/>
      <c r="F912" s="131"/>
      <c r="G912" s="39"/>
    </row>
    <row r="913" spans="3:7" ht="15.75" customHeight="1" x14ac:dyDescent="0.45">
      <c r="C913" s="39"/>
      <c r="D913" s="131"/>
      <c r="E913" s="131"/>
      <c r="F913" s="131"/>
      <c r="G913" s="39"/>
    </row>
    <row r="914" spans="3:7" ht="15.75" customHeight="1" x14ac:dyDescent="0.45">
      <c r="C914" s="39"/>
      <c r="D914" s="131"/>
      <c r="E914" s="131"/>
      <c r="F914" s="131"/>
      <c r="G914" s="39"/>
    </row>
    <row r="915" spans="3:7" ht="15.75" customHeight="1" x14ac:dyDescent="0.45">
      <c r="C915" s="39"/>
      <c r="D915" s="131"/>
      <c r="E915" s="131"/>
      <c r="F915" s="131"/>
      <c r="G915" s="39"/>
    </row>
    <row r="916" spans="3:7" ht="15.75" customHeight="1" x14ac:dyDescent="0.45">
      <c r="C916" s="39"/>
      <c r="D916" s="131"/>
      <c r="E916" s="131"/>
      <c r="F916" s="131"/>
      <c r="G916" s="39"/>
    </row>
    <row r="917" spans="3:7" ht="15.75" customHeight="1" x14ac:dyDescent="0.45">
      <c r="C917" s="39"/>
      <c r="D917" s="131"/>
      <c r="E917" s="131"/>
      <c r="F917" s="131"/>
      <c r="G917" s="39"/>
    </row>
    <row r="918" spans="3:7" ht="15.75" customHeight="1" x14ac:dyDescent="0.45">
      <c r="C918" s="39"/>
      <c r="D918" s="131"/>
      <c r="E918" s="131"/>
      <c r="F918" s="131"/>
      <c r="G918" s="39"/>
    </row>
    <row r="919" spans="3:7" ht="15.75" customHeight="1" x14ac:dyDescent="0.45">
      <c r="C919" s="39"/>
      <c r="D919" s="131"/>
      <c r="E919" s="131"/>
      <c r="F919" s="131"/>
      <c r="G919" s="39"/>
    </row>
    <row r="920" spans="3:7" ht="15.75" customHeight="1" x14ac:dyDescent="0.45">
      <c r="C920" s="39"/>
      <c r="D920" s="131"/>
      <c r="E920" s="131"/>
      <c r="F920" s="131"/>
      <c r="G920" s="39"/>
    </row>
    <row r="921" spans="3:7" ht="15.75" customHeight="1" x14ac:dyDescent="0.45">
      <c r="C921" s="39"/>
      <c r="D921" s="131"/>
      <c r="E921" s="131"/>
      <c r="F921" s="131"/>
      <c r="G921" s="39"/>
    </row>
    <row r="922" spans="3:7" ht="15.75" customHeight="1" x14ac:dyDescent="0.45">
      <c r="C922" s="39"/>
      <c r="D922" s="131"/>
      <c r="E922" s="131"/>
      <c r="F922" s="131"/>
      <c r="G922" s="39"/>
    </row>
    <row r="923" spans="3:7" ht="15.75" customHeight="1" x14ac:dyDescent="0.45">
      <c r="C923" s="39"/>
      <c r="D923" s="131"/>
      <c r="E923" s="131"/>
      <c r="F923" s="131"/>
      <c r="G923" s="39"/>
    </row>
    <row r="924" spans="3:7" ht="15.75" customHeight="1" x14ac:dyDescent="0.45">
      <c r="C924" s="39"/>
      <c r="D924" s="131"/>
      <c r="E924" s="131"/>
      <c r="F924" s="131"/>
      <c r="G924" s="39"/>
    </row>
    <row r="925" spans="3:7" ht="15.75" customHeight="1" x14ac:dyDescent="0.45">
      <c r="C925" s="39"/>
      <c r="D925" s="131"/>
      <c r="E925" s="131"/>
      <c r="F925" s="131"/>
      <c r="G925" s="39"/>
    </row>
    <row r="926" spans="3:7" ht="15.75" customHeight="1" x14ac:dyDescent="0.45">
      <c r="C926" s="39"/>
      <c r="D926" s="131"/>
      <c r="E926" s="131"/>
      <c r="F926" s="131"/>
      <c r="G926" s="39"/>
    </row>
    <row r="927" spans="3:7" ht="15.75" customHeight="1" x14ac:dyDescent="0.45">
      <c r="C927" s="39"/>
      <c r="D927" s="131"/>
      <c r="E927" s="131"/>
      <c r="F927" s="131"/>
      <c r="G927" s="39"/>
    </row>
    <row r="928" spans="3:7" ht="15.75" customHeight="1" x14ac:dyDescent="0.45">
      <c r="C928" s="39"/>
      <c r="D928" s="131"/>
      <c r="E928" s="131"/>
      <c r="F928" s="131"/>
      <c r="G928" s="39"/>
    </row>
    <row r="929" spans="3:7" ht="15.75" customHeight="1" x14ac:dyDescent="0.45">
      <c r="C929" s="39"/>
      <c r="D929" s="131"/>
      <c r="E929" s="131"/>
      <c r="F929" s="131"/>
      <c r="G929" s="39"/>
    </row>
    <row r="930" spans="3:7" ht="15.75" customHeight="1" x14ac:dyDescent="0.45">
      <c r="C930" s="39"/>
      <c r="D930" s="131"/>
      <c r="E930" s="131"/>
      <c r="F930" s="131"/>
      <c r="G930" s="39"/>
    </row>
    <row r="931" spans="3:7" ht="15.75" customHeight="1" x14ac:dyDescent="0.45">
      <c r="C931" s="39"/>
      <c r="D931" s="131"/>
      <c r="E931" s="131"/>
      <c r="F931" s="131"/>
      <c r="G931" s="39"/>
    </row>
    <row r="932" spans="3:7" ht="15.75" customHeight="1" x14ac:dyDescent="0.45">
      <c r="C932" s="39"/>
      <c r="D932" s="131"/>
      <c r="E932" s="131"/>
      <c r="F932" s="131"/>
      <c r="G932" s="39"/>
    </row>
    <row r="933" spans="3:7" ht="15.75" customHeight="1" x14ac:dyDescent="0.45">
      <c r="C933" s="39"/>
      <c r="D933" s="131"/>
      <c r="E933" s="131"/>
      <c r="F933" s="131"/>
      <c r="G933" s="39"/>
    </row>
    <row r="934" spans="3:7" ht="15.75" customHeight="1" x14ac:dyDescent="0.45">
      <c r="C934" s="39"/>
      <c r="D934" s="131"/>
      <c r="E934" s="131"/>
      <c r="F934" s="131"/>
      <c r="G934" s="39"/>
    </row>
    <row r="935" spans="3:7" ht="15.75" customHeight="1" x14ac:dyDescent="0.45">
      <c r="C935" s="39"/>
      <c r="D935" s="131"/>
      <c r="E935" s="131"/>
      <c r="F935" s="131"/>
      <c r="G935" s="39"/>
    </row>
    <row r="936" spans="3:7" ht="15.75" customHeight="1" x14ac:dyDescent="0.45">
      <c r="C936" s="39"/>
      <c r="D936" s="131"/>
      <c r="E936" s="131"/>
      <c r="F936" s="131"/>
      <c r="G936" s="39"/>
    </row>
    <row r="937" spans="3:7" ht="15.75" customHeight="1" x14ac:dyDescent="0.45">
      <c r="C937" s="39"/>
      <c r="D937" s="131"/>
      <c r="E937" s="131"/>
      <c r="F937" s="131"/>
      <c r="G937" s="39"/>
    </row>
    <row r="938" spans="3:7" ht="15.75" customHeight="1" x14ac:dyDescent="0.45">
      <c r="C938" s="39"/>
      <c r="D938" s="131"/>
      <c r="E938" s="131"/>
      <c r="F938" s="131"/>
      <c r="G938" s="39"/>
    </row>
    <row r="939" spans="3:7" ht="15.75" customHeight="1" x14ac:dyDescent="0.45">
      <c r="C939" s="39"/>
      <c r="D939" s="131"/>
      <c r="E939" s="131"/>
      <c r="F939" s="131"/>
      <c r="G939" s="39"/>
    </row>
    <row r="940" spans="3:7" ht="15.75" customHeight="1" x14ac:dyDescent="0.45">
      <c r="C940" s="39"/>
      <c r="D940" s="131"/>
      <c r="E940" s="131"/>
      <c r="F940" s="131"/>
      <c r="G940" s="39"/>
    </row>
    <row r="941" spans="3:7" ht="15.75" customHeight="1" x14ac:dyDescent="0.45">
      <c r="C941" s="39"/>
      <c r="D941" s="131"/>
      <c r="E941" s="131"/>
      <c r="F941" s="131"/>
      <c r="G941" s="39"/>
    </row>
    <row r="942" spans="3:7" ht="15.75" customHeight="1" x14ac:dyDescent="0.45">
      <c r="C942" s="39"/>
      <c r="D942" s="131"/>
      <c r="E942" s="131"/>
      <c r="F942" s="131"/>
      <c r="G942" s="39"/>
    </row>
    <row r="943" spans="3:7" ht="15.75" customHeight="1" x14ac:dyDescent="0.45">
      <c r="C943" s="39"/>
      <c r="D943" s="131"/>
      <c r="E943" s="131"/>
      <c r="F943" s="131"/>
      <c r="G943" s="39"/>
    </row>
    <row r="944" spans="3:7" ht="15.75" customHeight="1" x14ac:dyDescent="0.45">
      <c r="C944" s="39"/>
      <c r="D944" s="131"/>
      <c r="E944" s="131"/>
      <c r="F944" s="131"/>
      <c r="G944" s="39"/>
    </row>
    <row r="945" spans="3:7" ht="15.75" customHeight="1" x14ac:dyDescent="0.45">
      <c r="C945" s="39"/>
      <c r="D945" s="131"/>
      <c r="E945" s="131"/>
      <c r="F945" s="131"/>
      <c r="G945" s="39"/>
    </row>
    <row r="946" spans="3:7" ht="15.75" customHeight="1" x14ac:dyDescent="0.45">
      <c r="C946" s="39"/>
      <c r="D946" s="131"/>
      <c r="E946" s="131"/>
      <c r="F946" s="131"/>
      <c r="G946" s="39"/>
    </row>
    <row r="947" spans="3:7" ht="15.75" customHeight="1" x14ac:dyDescent="0.45">
      <c r="C947" s="39"/>
      <c r="D947" s="131"/>
      <c r="E947" s="131"/>
      <c r="F947" s="131"/>
      <c r="G947" s="39"/>
    </row>
    <row r="948" spans="3:7" ht="15.75" customHeight="1" x14ac:dyDescent="0.45">
      <c r="C948" s="39"/>
      <c r="D948" s="131"/>
      <c r="E948" s="131"/>
      <c r="F948" s="131"/>
      <c r="G948" s="39"/>
    </row>
    <row r="949" spans="3:7" ht="15.75" customHeight="1" x14ac:dyDescent="0.45">
      <c r="C949" s="39"/>
      <c r="D949" s="131"/>
      <c r="E949" s="131"/>
      <c r="F949" s="131"/>
      <c r="G949" s="39"/>
    </row>
    <row r="950" spans="3:7" ht="15.75" customHeight="1" x14ac:dyDescent="0.45">
      <c r="C950" s="39"/>
      <c r="D950" s="131"/>
      <c r="E950" s="131"/>
      <c r="F950" s="131"/>
      <c r="G950" s="39"/>
    </row>
    <row r="951" spans="3:7" ht="15.75" customHeight="1" x14ac:dyDescent="0.45">
      <c r="C951" s="39"/>
      <c r="D951" s="131"/>
      <c r="E951" s="131"/>
      <c r="F951" s="131"/>
      <c r="G951" s="39"/>
    </row>
    <row r="952" spans="3:7" ht="15.75" customHeight="1" x14ac:dyDescent="0.45">
      <c r="C952" s="39"/>
      <c r="D952" s="131"/>
      <c r="E952" s="131"/>
      <c r="F952" s="131"/>
      <c r="G952" s="39"/>
    </row>
    <row r="953" spans="3:7" ht="15.75" customHeight="1" x14ac:dyDescent="0.45">
      <c r="C953" s="39"/>
      <c r="D953" s="131"/>
      <c r="E953" s="131"/>
      <c r="F953" s="131"/>
      <c r="G953" s="39"/>
    </row>
    <row r="954" spans="3:7" ht="15.75" customHeight="1" x14ac:dyDescent="0.45">
      <c r="C954" s="39"/>
      <c r="D954" s="131"/>
      <c r="E954" s="131"/>
      <c r="F954" s="131"/>
      <c r="G954" s="39"/>
    </row>
    <row r="955" spans="3:7" ht="15.75" customHeight="1" x14ac:dyDescent="0.45">
      <c r="C955" s="39"/>
      <c r="D955" s="131"/>
      <c r="E955" s="131"/>
      <c r="F955" s="131"/>
      <c r="G955" s="39"/>
    </row>
    <row r="956" spans="3:7" ht="15.75" customHeight="1" x14ac:dyDescent="0.45">
      <c r="C956" s="39"/>
      <c r="D956" s="131"/>
      <c r="E956" s="131"/>
      <c r="F956" s="131"/>
      <c r="G956" s="39"/>
    </row>
    <row r="957" spans="3:7" ht="15.75" customHeight="1" x14ac:dyDescent="0.45">
      <c r="C957" s="39"/>
      <c r="D957" s="131"/>
      <c r="E957" s="131"/>
      <c r="F957" s="131"/>
      <c r="G957" s="39"/>
    </row>
    <row r="958" spans="3:7" ht="15.75" customHeight="1" x14ac:dyDescent="0.45">
      <c r="C958" s="39"/>
      <c r="D958" s="131"/>
      <c r="E958" s="131"/>
      <c r="F958" s="131"/>
      <c r="G958" s="39"/>
    </row>
    <row r="959" spans="3:7" ht="15.75" customHeight="1" x14ac:dyDescent="0.45">
      <c r="C959" s="39"/>
      <c r="D959" s="131"/>
      <c r="E959" s="131"/>
      <c r="F959" s="131"/>
      <c r="G959" s="39"/>
    </row>
    <row r="960" spans="3:7" ht="15.75" customHeight="1" x14ac:dyDescent="0.45">
      <c r="C960" s="39"/>
      <c r="D960" s="131"/>
      <c r="E960" s="131"/>
      <c r="F960" s="131"/>
      <c r="G960" s="39"/>
    </row>
    <row r="961" spans="3:7" ht="15.75" customHeight="1" x14ac:dyDescent="0.45">
      <c r="C961" s="39"/>
      <c r="D961" s="131"/>
      <c r="E961" s="131"/>
      <c r="F961" s="131"/>
      <c r="G961" s="39"/>
    </row>
    <row r="962" spans="3:7" ht="15.75" customHeight="1" x14ac:dyDescent="0.45">
      <c r="C962" s="39"/>
      <c r="D962" s="131"/>
      <c r="E962" s="131"/>
      <c r="F962" s="131"/>
      <c r="G962" s="39"/>
    </row>
    <row r="963" spans="3:7" ht="15.75" customHeight="1" x14ac:dyDescent="0.45">
      <c r="C963" s="39"/>
      <c r="D963" s="131"/>
      <c r="E963" s="131"/>
      <c r="F963" s="131"/>
      <c r="G963" s="39"/>
    </row>
    <row r="964" spans="3:7" ht="15.75" customHeight="1" x14ac:dyDescent="0.45">
      <c r="C964" s="39"/>
      <c r="D964" s="131"/>
      <c r="E964" s="131"/>
      <c r="F964" s="131"/>
      <c r="G964" s="39"/>
    </row>
    <row r="965" spans="3:7" ht="15.75" customHeight="1" x14ac:dyDescent="0.45">
      <c r="C965" s="39"/>
      <c r="D965" s="131"/>
      <c r="E965" s="131"/>
      <c r="F965" s="131"/>
      <c r="G965" s="39"/>
    </row>
    <row r="966" spans="3:7" ht="15.75" customHeight="1" x14ac:dyDescent="0.45">
      <c r="C966" s="39"/>
      <c r="D966" s="131"/>
      <c r="E966" s="131"/>
      <c r="F966" s="131"/>
      <c r="G966" s="39"/>
    </row>
    <row r="967" spans="3:7" ht="15.75" customHeight="1" x14ac:dyDescent="0.45">
      <c r="C967" s="39"/>
      <c r="D967" s="131"/>
      <c r="E967" s="131"/>
      <c r="F967" s="131"/>
      <c r="G967" s="39"/>
    </row>
    <row r="968" spans="3:7" ht="15.75" customHeight="1" x14ac:dyDescent="0.45">
      <c r="C968" s="39"/>
      <c r="D968" s="131"/>
      <c r="E968" s="131"/>
      <c r="F968" s="131"/>
      <c r="G968" s="39"/>
    </row>
    <row r="969" spans="3:7" ht="15.75" customHeight="1" x14ac:dyDescent="0.45">
      <c r="C969" s="39"/>
      <c r="D969" s="131"/>
      <c r="E969" s="131"/>
      <c r="F969" s="131"/>
      <c r="G969" s="39"/>
    </row>
    <row r="970" spans="3:7" ht="15.75" customHeight="1" x14ac:dyDescent="0.45">
      <c r="C970" s="39"/>
      <c r="D970" s="131"/>
      <c r="E970" s="131"/>
      <c r="F970" s="131"/>
      <c r="G970" s="39"/>
    </row>
    <row r="971" spans="3:7" ht="15.75" customHeight="1" x14ac:dyDescent="0.45">
      <c r="C971" s="39"/>
      <c r="D971" s="131"/>
      <c r="E971" s="131"/>
      <c r="F971" s="131"/>
      <c r="G971" s="39"/>
    </row>
    <row r="972" spans="3:7" ht="15.75" customHeight="1" x14ac:dyDescent="0.45">
      <c r="C972" s="39"/>
      <c r="D972" s="131"/>
      <c r="E972" s="131"/>
      <c r="F972" s="131"/>
      <c r="G972" s="39"/>
    </row>
    <row r="973" spans="3:7" ht="15.75" customHeight="1" x14ac:dyDescent="0.45">
      <c r="C973" s="39"/>
      <c r="D973" s="131"/>
      <c r="E973" s="131"/>
      <c r="F973" s="131"/>
      <c r="G973" s="39"/>
    </row>
    <row r="974" spans="3:7" ht="15.75" customHeight="1" x14ac:dyDescent="0.45">
      <c r="C974" s="39"/>
      <c r="D974" s="131"/>
      <c r="E974" s="131"/>
      <c r="F974" s="131"/>
      <c r="G974" s="39"/>
    </row>
    <row r="975" spans="3:7" ht="15.75" customHeight="1" x14ac:dyDescent="0.45">
      <c r="C975" s="39"/>
      <c r="D975" s="131"/>
      <c r="E975" s="131"/>
      <c r="F975" s="131"/>
      <c r="G975" s="39"/>
    </row>
    <row r="976" spans="3:7" ht="15.75" customHeight="1" x14ac:dyDescent="0.45">
      <c r="C976" s="39"/>
      <c r="D976" s="131"/>
      <c r="E976" s="131"/>
      <c r="F976" s="131"/>
      <c r="G976" s="39"/>
    </row>
    <row r="977" spans="3:7" ht="15.75" customHeight="1" x14ac:dyDescent="0.45">
      <c r="C977" s="39"/>
      <c r="D977" s="131"/>
      <c r="E977" s="131"/>
      <c r="F977" s="131"/>
      <c r="G977" s="39"/>
    </row>
    <row r="978" spans="3:7" ht="15.75" customHeight="1" x14ac:dyDescent="0.45">
      <c r="C978" s="39"/>
      <c r="D978" s="131"/>
      <c r="E978" s="131"/>
      <c r="F978" s="131"/>
      <c r="G978" s="39"/>
    </row>
    <row r="979" spans="3:7" ht="15.75" customHeight="1" x14ac:dyDescent="0.45">
      <c r="C979" s="39"/>
      <c r="D979" s="131"/>
      <c r="E979" s="131"/>
      <c r="F979" s="131"/>
      <c r="G979" s="39"/>
    </row>
    <row r="980" spans="3:7" ht="15.75" customHeight="1" x14ac:dyDescent="0.45">
      <c r="C980" s="39"/>
      <c r="D980" s="131"/>
      <c r="E980" s="131"/>
      <c r="F980" s="131"/>
      <c r="G980" s="39"/>
    </row>
    <row r="981" spans="3:7" ht="15.75" customHeight="1" x14ac:dyDescent="0.45">
      <c r="C981" s="39"/>
      <c r="D981" s="131"/>
      <c r="E981" s="131"/>
      <c r="F981" s="131"/>
      <c r="G981" s="39"/>
    </row>
    <row r="982" spans="3:7" ht="15.75" customHeight="1" x14ac:dyDescent="0.45">
      <c r="C982" s="39"/>
      <c r="D982" s="131"/>
      <c r="E982" s="131"/>
      <c r="F982" s="131"/>
      <c r="G982" s="39"/>
    </row>
    <row r="983" spans="3:7" ht="15.75" customHeight="1" x14ac:dyDescent="0.45">
      <c r="C983" s="39"/>
      <c r="D983" s="131"/>
      <c r="E983" s="131"/>
      <c r="F983" s="131"/>
      <c r="G983" s="39"/>
    </row>
    <row r="984" spans="3:7" ht="15.75" customHeight="1" x14ac:dyDescent="0.45">
      <c r="C984" s="39"/>
      <c r="D984" s="131"/>
      <c r="E984" s="131"/>
      <c r="F984" s="131"/>
      <c r="G984" s="39"/>
    </row>
    <row r="985" spans="3:7" ht="15.75" customHeight="1" x14ac:dyDescent="0.45">
      <c r="C985" s="39"/>
      <c r="D985" s="131"/>
      <c r="E985" s="131"/>
      <c r="F985" s="131"/>
      <c r="G985" s="39"/>
    </row>
    <row r="986" spans="3:7" ht="15.75" customHeight="1" x14ac:dyDescent="0.45">
      <c r="C986" s="39"/>
      <c r="D986" s="131"/>
      <c r="E986" s="131"/>
      <c r="F986" s="131"/>
      <c r="G986" s="39"/>
    </row>
    <row r="987" spans="3:7" ht="15.75" customHeight="1" x14ac:dyDescent="0.45">
      <c r="C987" s="39"/>
      <c r="D987" s="131"/>
      <c r="E987" s="131"/>
      <c r="F987" s="131"/>
      <c r="G987" s="39"/>
    </row>
    <row r="988" spans="3:7" ht="15.75" customHeight="1" x14ac:dyDescent="0.45">
      <c r="C988" s="39"/>
      <c r="D988" s="131"/>
      <c r="E988" s="131"/>
      <c r="F988" s="131"/>
      <c r="G988" s="39"/>
    </row>
    <row r="989" spans="3:7" ht="15.75" customHeight="1" x14ac:dyDescent="0.45">
      <c r="C989" s="39"/>
      <c r="D989" s="131"/>
      <c r="E989" s="131"/>
      <c r="F989" s="131"/>
      <c r="G989" s="39"/>
    </row>
    <row r="990" spans="3:7" ht="15.75" customHeight="1" x14ac:dyDescent="0.45">
      <c r="C990" s="39"/>
      <c r="D990" s="131"/>
      <c r="E990" s="131"/>
      <c r="F990" s="131"/>
      <c r="G990" s="39"/>
    </row>
    <row r="991" spans="3:7" ht="15.75" customHeight="1" x14ac:dyDescent="0.45">
      <c r="C991" s="39"/>
      <c r="D991" s="131"/>
      <c r="E991" s="131"/>
      <c r="F991" s="131"/>
      <c r="G991" s="39"/>
    </row>
    <row r="992" spans="3:7" ht="15.75" customHeight="1" x14ac:dyDescent="0.45">
      <c r="C992" s="39"/>
      <c r="D992" s="131"/>
      <c r="E992" s="131"/>
      <c r="F992" s="131"/>
      <c r="G992" s="39"/>
    </row>
    <row r="993" spans="3:7" ht="15.75" customHeight="1" x14ac:dyDescent="0.45">
      <c r="C993" s="39"/>
      <c r="D993" s="131"/>
      <c r="E993" s="131"/>
      <c r="F993" s="131"/>
      <c r="G993" s="39"/>
    </row>
    <row r="994" spans="3:7" ht="15.75" customHeight="1" x14ac:dyDescent="0.45">
      <c r="C994" s="39"/>
      <c r="D994" s="131"/>
      <c r="E994" s="131"/>
      <c r="F994" s="131"/>
      <c r="G994" s="39"/>
    </row>
    <row r="995" spans="3:7" ht="15.75" customHeight="1" x14ac:dyDescent="0.45">
      <c r="C995" s="39"/>
      <c r="D995" s="131"/>
      <c r="E995" s="131"/>
      <c r="F995" s="131"/>
      <c r="G995" s="39"/>
    </row>
    <row r="996" spans="3:7" ht="15.75" customHeight="1" x14ac:dyDescent="0.45">
      <c r="C996" s="39"/>
      <c r="D996" s="131"/>
      <c r="E996" s="131"/>
      <c r="F996" s="131"/>
      <c r="G996" s="39"/>
    </row>
    <row r="997" spans="3:7" ht="15.75" customHeight="1" x14ac:dyDescent="0.45">
      <c r="C997" s="39"/>
      <c r="D997" s="131"/>
      <c r="E997" s="131"/>
      <c r="F997" s="131"/>
      <c r="G997" s="39"/>
    </row>
    <row r="998" spans="3:7" ht="15.75" customHeight="1" x14ac:dyDescent="0.45">
      <c r="C998" s="39"/>
      <c r="D998" s="131"/>
      <c r="E998" s="131"/>
      <c r="F998" s="131"/>
      <c r="G998" s="39"/>
    </row>
    <row r="999" spans="3:7" ht="15.75" customHeight="1" x14ac:dyDescent="0.45">
      <c r="C999" s="39"/>
      <c r="D999" s="131"/>
      <c r="E999" s="131"/>
      <c r="F999" s="131"/>
      <c r="G999" s="39"/>
    </row>
    <row r="1000" spans="3:7" ht="15.75" customHeight="1" x14ac:dyDescent="0.45">
      <c r="C1000" s="39"/>
      <c r="D1000" s="131"/>
      <c r="E1000" s="131"/>
      <c r="F1000" s="131"/>
      <c r="G1000" s="39"/>
    </row>
  </sheetData>
  <mergeCells count="3">
    <mergeCell ref="A1:G2"/>
    <mergeCell ref="A4:B4"/>
    <mergeCell ref="E4:F4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00"/>
  <sheetViews>
    <sheetView zoomScale="92" workbookViewId="0"/>
  </sheetViews>
  <sheetFormatPr defaultColWidth="11.3125" defaultRowHeight="15" customHeight="1" x14ac:dyDescent="0.35"/>
  <cols>
    <col min="1" max="1" width="11.5625" customWidth="1"/>
    <col min="2" max="2" width="15.4375" bestFit="1" customWidth="1"/>
    <col min="3" max="4" width="16.5625" bestFit="1" customWidth="1"/>
    <col min="5" max="8" width="15.4375" bestFit="1" customWidth="1"/>
    <col min="9" max="9" width="38.4375" bestFit="1" customWidth="1"/>
    <col min="10" max="15" width="10.5625" customWidth="1"/>
    <col min="16" max="16" width="6.3125" customWidth="1"/>
    <col min="17" max="17" width="15.3125" customWidth="1"/>
    <col min="18" max="18" width="12.4375" customWidth="1"/>
    <col min="19" max="21" width="12.6875" customWidth="1"/>
    <col min="22" max="22" width="13.4375" customWidth="1"/>
    <col min="23" max="23" width="12.4375" customWidth="1"/>
    <col min="24" max="24" width="12.875" customWidth="1"/>
    <col min="25" max="26" width="10.5625" customWidth="1"/>
  </cols>
  <sheetData>
    <row r="1" spans="1:33" ht="15.75" customHeight="1" x14ac:dyDescent="0.45">
      <c r="A1" s="154"/>
      <c r="B1" s="154"/>
      <c r="C1" s="250" t="s">
        <v>319</v>
      </c>
      <c r="D1" s="249"/>
      <c r="E1" s="249"/>
      <c r="F1" s="249"/>
      <c r="G1" s="249"/>
      <c r="H1" s="249"/>
      <c r="I1" s="1"/>
      <c r="J1" s="1"/>
      <c r="K1" s="1"/>
      <c r="L1" s="1"/>
      <c r="M1" s="1"/>
      <c r="N1" s="1"/>
      <c r="O1" s="1"/>
      <c r="P1" s="1"/>
      <c r="Q1" s="256" t="s">
        <v>320</v>
      </c>
      <c r="R1" s="249"/>
      <c r="S1" s="249"/>
      <c r="T1" s="249"/>
      <c r="U1" s="249"/>
      <c r="V1" s="249"/>
      <c r="W1" s="249"/>
      <c r="X1" s="249"/>
      <c r="Y1" s="1"/>
      <c r="Z1" s="1"/>
      <c r="AA1" s="131"/>
      <c r="AB1" s="131"/>
      <c r="AC1" s="131"/>
      <c r="AD1" s="131"/>
      <c r="AE1" s="131"/>
      <c r="AF1" s="131"/>
      <c r="AG1" s="131"/>
    </row>
    <row r="2" spans="1:33" ht="15.75" customHeight="1" x14ac:dyDescent="0.45">
      <c r="A2" s="137"/>
      <c r="B2" s="137">
        <v>2014</v>
      </c>
      <c r="C2" s="137">
        <v>2015</v>
      </c>
      <c r="D2" s="137">
        <v>2016</v>
      </c>
      <c r="E2" s="137">
        <v>2017</v>
      </c>
      <c r="F2" s="137">
        <v>2018</v>
      </c>
      <c r="G2" s="137">
        <v>2019</v>
      </c>
      <c r="H2" s="137">
        <v>2020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31"/>
      <c r="AB2" s="131"/>
      <c r="AC2" s="131"/>
      <c r="AD2" s="131"/>
      <c r="AE2" s="131"/>
      <c r="AF2" s="131"/>
      <c r="AG2" s="131"/>
    </row>
    <row r="3" spans="1:33" ht="15.75" customHeight="1" x14ac:dyDescent="0.45">
      <c r="A3" s="132" t="s">
        <v>321</v>
      </c>
      <c r="B3" s="1"/>
      <c r="C3" s="16">
        <f>'Income statement'!U29/(('Balance sheet'!L213+'Balance sheet'!K213)/2)</f>
        <v>-8.9706611255025506E-3</v>
      </c>
      <c r="D3" s="16">
        <f>'Income statement'!V29/(('Balance sheet'!M213+'Balance sheet'!L213)/2)</f>
        <v>-6.4371063191250378E-3</v>
      </c>
      <c r="E3" s="16">
        <f>'Income statement'!W29/(('Balance sheet'!N213+'Balance sheet'!M213)/2)</f>
        <v>-7.9964876954141603E-2</v>
      </c>
      <c r="F3" s="16">
        <f>'Income statement'!X29/(('Balance sheet'!O213+'Balance sheet'!N213)/2)</f>
        <v>-0.10782271555209473</v>
      </c>
      <c r="G3" s="16">
        <f>'Income statement'!Y29/(('Balance sheet'!P213+'Balance sheet'!O213)/2)</f>
        <v>1.2628033810088042E-2</v>
      </c>
      <c r="H3" s="16">
        <f>'Income statement'!Z29/('Balance sheet'!P213)</f>
        <v>-0.42448252581560336</v>
      </c>
      <c r="I3" s="1"/>
      <c r="J3" s="1"/>
      <c r="K3" s="1"/>
      <c r="L3" s="1"/>
      <c r="M3" s="1"/>
      <c r="N3" s="1"/>
      <c r="O3" s="1"/>
      <c r="P3" s="1"/>
      <c r="Q3" s="257" t="s">
        <v>319</v>
      </c>
      <c r="R3" s="258"/>
      <c r="S3" s="258"/>
      <c r="T3" s="258"/>
      <c r="U3" s="258"/>
      <c r="V3" s="258"/>
      <c r="W3" s="258"/>
      <c r="X3" s="258"/>
      <c r="Y3" s="1"/>
      <c r="Z3" s="154"/>
      <c r="AA3" s="154"/>
      <c r="AB3" s="250" t="s">
        <v>319</v>
      </c>
      <c r="AC3" s="249"/>
      <c r="AD3" s="249"/>
      <c r="AE3" s="249"/>
      <c r="AF3" s="249"/>
      <c r="AG3" s="249"/>
    </row>
    <row r="4" spans="1:33" ht="15.75" customHeight="1" x14ac:dyDescent="0.45">
      <c r="A4" s="132" t="s">
        <v>322</v>
      </c>
      <c r="B4" s="1"/>
      <c r="C4" s="16">
        <f>'Income statement'!U38/(('Balance sheet'!L214+'Balance sheet'!K214)/2)</f>
        <v>-0.8593378365707981</v>
      </c>
      <c r="D4" s="16">
        <f>'Income statement'!V38/(('Balance sheet'!M214+'Balance sheet'!L214)/2)</f>
        <v>-1.2304243426470167</v>
      </c>
      <c r="E4" s="16">
        <f>'Income statement'!W38/(('Balance sheet'!N214+'Balance sheet'!M214)/2)</f>
        <v>-4.3613890815160756</v>
      </c>
      <c r="F4" s="16">
        <f>'Income statement'!X38/(('Balance sheet'!O214+'Balance sheet'!N214)/2)</f>
        <v>-14.29215266242025</v>
      </c>
      <c r="G4" s="16">
        <f>'Income statement'!Y38/(('Balance sheet'!P214+'Balance sheet'!O214)/2)</f>
        <v>-0.76743924904413086</v>
      </c>
      <c r="H4" s="178">
        <f>'Income statement'!Z38/('Balance sheet'!P214)</f>
        <v>-5.5855657106838956</v>
      </c>
      <c r="I4" s="179" t="s">
        <v>323</v>
      </c>
      <c r="J4" s="1"/>
      <c r="K4" s="1"/>
      <c r="L4" s="1"/>
      <c r="M4" s="1"/>
      <c r="N4" s="1"/>
      <c r="O4" s="1"/>
      <c r="P4" s="1"/>
      <c r="Q4" s="137"/>
      <c r="R4" s="180">
        <v>2014</v>
      </c>
      <c r="S4" s="180">
        <v>2015</v>
      </c>
      <c r="T4" s="180">
        <v>2016</v>
      </c>
      <c r="U4" s="180">
        <v>2017</v>
      </c>
      <c r="V4" s="180">
        <v>2018</v>
      </c>
      <c r="W4" s="180">
        <v>2019</v>
      </c>
      <c r="X4" s="180">
        <v>2020</v>
      </c>
      <c r="Y4" s="1"/>
      <c r="Z4" s="137"/>
      <c r="AA4" s="180">
        <v>2014</v>
      </c>
      <c r="AB4" s="180">
        <v>2015</v>
      </c>
      <c r="AC4" s="180">
        <v>2016</v>
      </c>
      <c r="AD4" s="180">
        <v>2017</v>
      </c>
      <c r="AE4" s="180">
        <v>2018</v>
      </c>
      <c r="AF4" s="180">
        <v>2019</v>
      </c>
      <c r="AG4" s="180">
        <v>2020</v>
      </c>
    </row>
    <row r="5" spans="1:33" ht="15.75" customHeight="1" x14ac:dyDescent="0.45">
      <c r="A5" s="132" t="s">
        <v>221</v>
      </c>
      <c r="B5" s="16">
        <f t="shared" ref="B5:H5" si="0">B14</f>
        <v>0.11559224384724098</v>
      </c>
      <c r="C5" s="16">
        <f t="shared" si="0"/>
        <v>0.10609224384724097</v>
      </c>
      <c r="D5" s="16">
        <f t="shared" si="0"/>
        <v>0.10369224384724099</v>
      </c>
      <c r="E5" s="16">
        <f t="shared" si="0"/>
        <v>0.11665321590330363</v>
      </c>
      <c r="F5" s="16">
        <f t="shared" si="0"/>
        <v>0.1124792345325952</v>
      </c>
      <c r="G5" s="16">
        <f t="shared" si="0"/>
        <v>0.11350972056062653</v>
      </c>
      <c r="H5" s="16">
        <f t="shared" si="0"/>
        <v>0.1946148507847669</v>
      </c>
      <c r="I5" s="1"/>
      <c r="J5" s="1"/>
      <c r="K5" s="1"/>
      <c r="L5" s="1"/>
      <c r="M5" s="1"/>
      <c r="N5" s="1"/>
      <c r="O5" s="1"/>
      <c r="P5" s="1"/>
      <c r="Q5" s="121" t="s">
        <v>324</v>
      </c>
      <c r="R5" s="16"/>
      <c r="S5" s="16">
        <f t="shared" ref="S5:X5" si="1">C4</f>
        <v>-0.8593378365707981</v>
      </c>
      <c r="T5" s="16">
        <f t="shared" si="1"/>
        <v>-1.2304243426470167</v>
      </c>
      <c r="U5" s="16">
        <f t="shared" si="1"/>
        <v>-4.3613890815160756</v>
      </c>
      <c r="V5" s="16">
        <f t="shared" si="1"/>
        <v>-14.29215266242025</v>
      </c>
      <c r="W5" s="16">
        <f t="shared" si="1"/>
        <v>-0.76743924904413086</v>
      </c>
      <c r="X5" s="16">
        <f t="shared" si="1"/>
        <v>-5.5855657106838956</v>
      </c>
      <c r="Y5" s="1"/>
      <c r="Z5" s="121" t="s">
        <v>321</v>
      </c>
      <c r="AA5" s="16"/>
      <c r="AB5" s="16">
        <v>-8.9706611255025506E-3</v>
      </c>
      <c r="AC5" s="16">
        <v>-6.4371063191250378E-3</v>
      </c>
      <c r="AD5" s="16">
        <v>-7.9964876954141603E-2</v>
      </c>
      <c r="AE5" s="16">
        <v>-0.10782271555209473</v>
      </c>
      <c r="AF5" s="16">
        <v>1.2628033810088042E-2</v>
      </c>
      <c r="AG5" s="16">
        <v>-0.42448252581560336</v>
      </c>
    </row>
    <row r="6" spans="1:33" ht="15.75" customHeight="1" x14ac:dyDescent="0.45">
      <c r="A6" s="132" t="s">
        <v>325</v>
      </c>
      <c r="B6" s="35">
        <f t="shared" ref="B6:H6" si="2">B22</f>
        <v>7.0122572414464568E-2</v>
      </c>
      <c r="C6" s="35">
        <f t="shared" si="2"/>
        <v>5.9774170013729408E-2</v>
      </c>
      <c r="D6" s="35">
        <f t="shared" si="2"/>
        <v>5.7344159051447539E-2</v>
      </c>
      <c r="E6" s="35">
        <f t="shared" si="2"/>
        <v>5.6844772776343949E-2</v>
      </c>
      <c r="F6" s="35">
        <f t="shared" si="2"/>
        <v>5.368510677761372E-2</v>
      </c>
      <c r="G6" s="35">
        <f t="shared" si="2"/>
        <v>8.6134938627224489E-2</v>
      </c>
      <c r="H6" s="35">
        <f t="shared" si="2"/>
        <v>0.11379435828786388</v>
      </c>
      <c r="I6" s="1"/>
      <c r="J6" s="1"/>
      <c r="K6" s="1"/>
      <c r="L6" s="1"/>
      <c r="M6" s="1"/>
      <c r="N6" s="1"/>
      <c r="O6" s="1"/>
      <c r="P6" s="1"/>
      <c r="Q6" s="121" t="s">
        <v>221</v>
      </c>
      <c r="R6" s="16">
        <f t="shared" ref="R6:X6" si="3">B5</f>
        <v>0.11559224384724098</v>
      </c>
      <c r="S6" s="16">
        <f t="shared" si="3"/>
        <v>0.10609224384724097</v>
      </c>
      <c r="T6" s="16">
        <f t="shared" si="3"/>
        <v>0.10369224384724099</v>
      </c>
      <c r="U6" s="16">
        <f t="shared" si="3"/>
        <v>0.11665321590330363</v>
      </c>
      <c r="V6" s="16">
        <f t="shared" si="3"/>
        <v>0.1124792345325952</v>
      </c>
      <c r="W6" s="16">
        <f t="shared" si="3"/>
        <v>0.11350972056062653</v>
      </c>
      <c r="X6" s="16">
        <f t="shared" si="3"/>
        <v>0.1946148507847669</v>
      </c>
      <c r="Y6" s="1"/>
      <c r="Z6" s="121" t="s">
        <v>325</v>
      </c>
      <c r="AA6" s="16">
        <v>7.0122572414464568E-2</v>
      </c>
      <c r="AB6" s="16">
        <v>5.9774170013729408E-2</v>
      </c>
      <c r="AC6" s="16">
        <v>5.7344159051447539E-2</v>
      </c>
      <c r="AD6" s="16">
        <v>5.6844772776343949E-2</v>
      </c>
      <c r="AE6" s="16">
        <v>5.368510677761372E-2</v>
      </c>
      <c r="AF6" s="16">
        <v>8.6134938627224489E-2</v>
      </c>
      <c r="AG6" s="16">
        <v>0.11379435828786388</v>
      </c>
    </row>
    <row r="7" spans="1:33" ht="15.75" customHeigh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31"/>
      <c r="AB7" s="131"/>
      <c r="AC7" s="131"/>
      <c r="AD7" s="131"/>
      <c r="AE7" s="131"/>
      <c r="AF7" s="131"/>
      <c r="AG7" s="131"/>
    </row>
    <row r="8" spans="1:33" ht="15.75" customHeigh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326</v>
      </c>
      <c r="R8" s="1"/>
      <c r="S8" s="3">
        <f>'Income statement'!T38</f>
        <v>-1655019.0197393054</v>
      </c>
      <c r="T8" s="3">
        <f>'Income statement'!V38</f>
        <v>-1659990.4184304522</v>
      </c>
      <c r="U8" s="3">
        <f>'Income statement'!W38</f>
        <v>-3528194.9814499207</v>
      </c>
      <c r="V8" s="3">
        <f>'Income statement'!X38</f>
        <v>-3090273.6095614517</v>
      </c>
      <c r="W8" s="3">
        <f>'Income statement'!Y38</f>
        <v>-1609100</v>
      </c>
      <c r="X8" s="3">
        <f>'Income statement'!Z38</f>
        <v>-23039900</v>
      </c>
      <c r="Y8" s="1"/>
      <c r="Z8" s="1"/>
      <c r="AA8" s="131"/>
      <c r="AB8" s="131"/>
      <c r="AC8" s="131"/>
      <c r="AD8" s="131"/>
      <c r="AE8" s="131"/>
      <c r="AF8" s="131"/>
      <c r="AG8" s="131"/>
    </row>
    <row r="9" spans="1:33" ht="15.75" customHeight="1" x14ac:dyDescent="0.45">
      <c r="A9" s="250" t="s">
        <v>327</v>
      </c>
      <c r="B9" s="249"/>
      <c r="C9" s="249"/>
      <c r="D9" s="249"/>
      <c r="E9" s="249"/>
      <c r="F9" s="249"/>
      <c r="G9" s="249"/>
      <c r="H9" s="249"/>
      <c r="I9" s="1"/>
      <c r="J9" s="1"/>
      <c r="K9" s="1"/>
      <c r="L9" s="1"/>
      <c r="M9" s="1"/>
      <c r="N9" s="1"/>
      <c r="O9" s="1"/>
      <c r="P9" s="1"/>
      <c r="Q9" s="1" t="s">
        <v>328</v>
      </c>
      <c r="R9" s="3">
        <f>'Balance sheet'!K214</f>
        <v>1522993.9802606946</v>
      </c>
      <c r="S9" s="3">
        <f>'Balance sheet'!L214</f>
        <v>1444234.9536580117</v>
      </c>
      <c r="T9" s="3">
        <f>'Balance sheet'!M214</f>
        <v>1254005.5815695478</v>
      </c>
      <c r="U9" s="3">
        <f>'Balance sheet'!N214</f>
        <v>363917.01855007932</v>
      </c>
      <c r="V9" s="3">
        <f>'Balance sheet'!O214</f>
        <v>68526.390438548289</v>
      </c>
      <c r="W9" s="3">
        <f>'Balance sheet'!P214</f>
        <v>4124900</v>
      </c>
      <c r="X9" s="3">
        <f>'Balance sheet'!Q214</f>
        <v>-6623800</v>
      </c>
      <c r="Y9" s="1"/>
      <c r="Z9" s="1"/>
      <c r="AA9" s="131"/>
      <c r="AB9" s="131"/>
      <c r="AC9" s="131"/>
      <c r="AD9" s="131"/>
      <c r="AE9" s="131"/>
      <c r="AF9" s="131"/>
      <c r="AG9" s="131"/>
    </row>
    <row r="10" spans="1:33" ht="15.75" customHeight="1" x14ac:dyDescent="0.45">
      <c r="A10" s="137"/>
      <c r="B10" s="137">
        <v>2014</v>
      </c>
      <c r="C10" s="137">
        <v>2015</v>
      </c>
      <c r="D10" s="137">
        <v>2016</v>
      </c>
      <c r="E10" s="137">
        <v>2017</v>
      </c>
      <c r="F10" s="137">
        <v>2018</v>
      </c>
      <c r="G10" s="137">
        <v>2019</v>
      </c>
      <c r="H10" s="137">
        <v>2020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31"/>
      <c r="AB10" s="131"/>
      <c r="AC10" s="131"/>
      <c r="AD10" s="131"/>
      <c r="AE10" s="131"/>
      <c r="AF10" s="131"/>
      <c r="AG10" s="131"/>
    </row>
    <row r="11" spans="1:33" ht="15.75" customHeight="1" x14ac:dyDescent="0.45">
      <c r="A11" s="132" t="s">
        <v>329</v>
      </c>
      <c r="B11" s="38">
        <f>Beta!$M$6</f>
        <v>1.6434953426771088</v>
      </c>
      <c r="C11" s="38">
        <f>Beta!$M$6</f>
        <v>1.6434953426771088</v>
      </c>
      <c r="D11" s="38">
        <f>Beta!$M$6</f>
        <v>1.6434953426771088</v>
      </c>
      <c r="E11" s="38">
        <f>Beta!$M$6</f>
        <v>1.6434953426771088</v>
      </c>
      <c r="F11" s="38">
        <f>Beta!$M$6</f>
        <v>1.6434953426771088</v>
      </c>
      <c r="G11" s="38">
        <f>Beta!$M$6</f>
        <v>1.6434953426771088</v>
      </c>
      <c r="H11" s="38">
        <f>Beta!M5</f>
        <v>3.2140491514614977</v>
      </c>
      <c r="I11" s="1"/>
      <c r="J11" s="1"/>
      <c r="K11" s="1"/>
      <c r="L11" s="1"/>
      <c r="M11" s="1"/>
      <c r="N11" s="1"/>
      <c r="O11" s="1"/>
      <c r="P11" s="1"/>
      <c r="Q11" s="250" t="s">
        <v>319</v>
      </c>
      <c r="R11" s="249"/>
      <c r="S11" s="249"/>
      <c r="T11" s="249"/>
      <c r="U11" s="249"/>
      <c r="V11" s="249"/>
      <c r="W11" s="249"/>
      <c r="X11" s="249"/>
      <c r="Y11" s="1"/>
      <c r="Z11" s="1"/>
      <c r="AA11" s="131"/>
      <c r="AB11" s="131"/>
      <c r="AC11" s="131"/>
      <c r="AD11" s="131"/>
      <c r="AE11" s="131"/>
      <c r="AF11" s="131"/>
      <c r="AG11" s="131"/>
    </row>
    <row r="12" spans="1:33" ht="15.75" customHeight="1" x14ac:dyDescent="0.45">
      <c r="A12" s="132" t="s">
        <v>330</v>
      </c>
      <c r="B12" s="16">
        <v>2.52E-2</v>
      </c>
      <c r="C12" s="16">
        <v>1.5699999999999999E-2</v>
      </c>
      <c r="D12" s="16">
        <v>1.3299999999999999E-2</v>
      </c>
      <c r="E12" s="16">
        <v>1.6400000000000001E-2</v>
      </c>
      <c r="F12" s="16">
        <v>1.8800000000000001E-2</v>
      </c>
      <c r="G12" s="16">
        <v>1.49E-2</v>
      </c>
      <c r="H12" s="16">
        <v>8.2000000000000007E-3</v>
      </c>
      <c r="I12" s="1"/>
      <c r="J12" s="1"/>
      <c r="K12" s="1"/>
      <c r="L12" s="1"/>
      <c r="M12" s="1"/>
      <c r="N12" s="1"/>
      <c r="O12" s="1"/>
      <c r="P12" s="1"/>
      <c r="Q12" s="137"/>
      <c r="R12" s="137">
        <v>2014</v>
      </c>
      <c r="S12" s="137">
        <v>2015</v>
      </c>
      <c r="T12" s="137">
        <v>2016</v>
      </c>
      <c r="U12" s="137">
        <v>2017</v>
      </c>
      <c r="V12" s="137">
        <v>2018</v>
      </c>
      <c r="W12" s="137">
        <v>2019</v>
      </c>
      <c r="X12" s="137">
        <v>2020</v>
      </c>
      <c r="Y12" s="1"/>
      <c r="Z12" s="1"/>
      <c r="AA12" s="131"/>
      <c r="AB12" s="131"/>
      <c r="AC12" s="131"/>
      <c r="AD12" s="131"/>
      <c r="AE12" s="131"/>
      <c r="AF12" s="131"/>
      <c r="AG12" s="131"/>
    </row>
    <row r="13" spans="1:33" ht="15.75" customHeight="1" x14ac:dyDescent="0.45">
      <c r="A13" s="132" t="s">
        <v>331</v>
      </c>
      <c r="B13" s="16">
        <v>5.5E-2</v>
      </c>
      <c r="C13" s="16">
        <v>5.5E-2</v>
      </c>
      <c r="D13" s="16">
        <v>5.5E-2</v>
      </c>
      <c r="E13" s="16">
        <v>6.0999999999999999E-2</v>
      </c>
      <c r="F13" s="16">
        <v>5.7000000000000002E-2</v>
      </c>
      <c r="G13" s="17">
        <v>0.06</v>
      </c>
      <c r="H13" s="16">
        <v>5.8000000000000003E-2</v>
      </c>
      <c r="I13" s="1"/>
      <c r="J13" s="1"/>
      <c r="K13" s="1"/>
      <c r="L13" s="1"/>
      <c r="M13" s="1"/>
      <c r="N13" s="1"/>
      <c r="O13" s="1"/>
      <c r="P13" s="1"/>
      <c r="Q13" s="1" t="s">
        <v>332</v>
      </c>
      <c r="R13" s="1"/>
      <c r="S13" s="16">
        <f t="shared" ref="S13:X13" si="4">C3</f>
        <v>-8.9706611255025506E-3</v>
      </c>
      <c r="T13" s="16">
        <f t="shared" si="4"/>
        <v>-6.4371063191250378E-3</v>
      </c>
      <c r="U13" s="16">
        <f t="shared" si="4"/>
        <v>-7.9964876954141603E-2</v>
      </c>
      <c r="V13" s="16">
        <f t="shared" si="4"/>
        <v>-0.10782271555209473</v>
      </c>
      <c r="W13" s="16">
        <f t="shared" si="4"/>
        <v>1.2628033810088042E-2</v>
      </c>
      <c r="X13" s="16">
        <f t="shared" si="4"/>
        <v>-0.42448252581560336</v>
      </c>
      <c r="Y13" s="1"/>
      <c r="Z13" s="1"/>
      <c r="AA13" s="131"/>
      <c r="AB13" s="131"/>
      <c r="AC13" s="131"/>
      <c r="AD13" s="131"/>
      <c r="AE13" s="131"/>
      <c r="AF13" s="131"/>
      <c r="AG13" s="131"/>
    </row>
    <row r="14" spans="1:33" ht="15.75" customHeight="1" x14ac:dyDescent="0.45">
      <c r="A14" s="118" t="s">
        <v>221</v>
      </c>
      <c r="B14" s="119">
        <f t="shared" ref="B14:H14" si="5">B12+B11*B13</f>
        <v>0.11559224384724098</v>
      </c>
      <c r="C14" s="119">
        <f t="shared" si="5"/>
        <v>0.10609224384724097</v>
      </c>
      <c r="D14" s="119">
        <f t="shared" si="5"/>
        <v>0.10369224384724099</v>
      </c>
      <c r="E14" s="119">
        <f t="shared" si="5"/>
        <v>0.11665321590330363</v>
      </c>
      <c r="F14" s="119">
        <f t="shared" si="5"/>
        <v>0.1124792345325952</v>
      </c>
      <c r="G14" s="119">
        <f t="shared" si="5"/>
        <v>0.11350972056062653</v>
      </c>
      <c r="H14" s="119">
        <f t="shared" si="5"/>
        <v>0.1946148507847669</v>
      </c>
      <c r="I14" s="24" t="s">
        <v>333</v>
      </c>
      <c r="J14" s="1"/>
      <c r="K14" s="1"/>
      <c r="L14" s="1"/>
      <c r="M14" s="1"/>
      <c r="N14" s="1"/>
      <c r="O14" s="1"/>
      <c r="P14" s="1"/>
      <c r="Q14" s="1" t="s">
        <v>334</v>
      </c>
      <c r="R14" s="131"/>
      <c r="S14" s="35">
        <f t="shared" ref="S14:X14" si="6">C6</f>
        <v>5.9774170013729408E-2</v>
      </c>
      <c r="T14" s="35">
        <f t="shared" si="6"/>
        <v>5.7344159051447539E-2</v>
      </c>
      <c r="U14" s="35">
        <f t="shared" si="6"/>
        <v>5.6844772776343949E-2</v>
      </c>
      <c r="V14" s="35">
        <f t="shared" si="6"/>
        <v>5.368510677761372E-2</v>
      </c>
      <c r="W14" s="35">
        <f t="shared" si="6"/>
        <v>8.6134938627224489E-2</v>
      </c>
      <c r="X14" s="35">
        <f t="shared" si="6"/>
        <v>0.11379435828786388</v>
      </c>
      <c r="Y14" s="1"/>
      <c r="Z14" s="1"/>
      <c r="AA14" s="131"/>
      <c r="AB14" s="131"/>
      <c r="AC14" s="131"/>
      <c r="AD14" s="131"/>
      <c r="AE14" s="131"/>
      <c r="AF14" s="131"/>
      <c r="AG14" s="131"/>
    </row>
    <row r="15" spans="1:33" ht="15.75" customHeight="1" x14ac:dyDescent="0.45">
      <c r="A15" s="118" t="s">
        <v>335</v>
      </c>
      <c r="B15" s="119">
        <v>4.4999999999999998E-2</v>
      </c>
      <c r="C15" s="119">
        <v>4.1000000000000002E-2</v>
      </c>
      <c r="D15" s="119">
        <v>4.5999999999999999E-2</v>
      </c>
      <c r="E15" s="119">
        <v>5.1999999999999998E-2</v>
      </c>
      <c r="F15" s="119">
        <v>0.05</v>
      </c>
      <c r="G15" s="119">
        <v>0.10100000000000001</v>
      </c>
      <c r="H15" s="120">
        <v>9.2999999999999999E-2</v>
      </c>
      <c r="I15" s="1" t="s">
        <v>336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31"/>
      <c r="AB15" s="131"/>
      <c r="AC15" s="131"/>
      <c r="AD15" s="131"/>
      <c r="AE15" s="131"/>
      <c r="AF15" s="131"/>
      <c r="AG15" s="131"/>
    </row>
    <row r="16" spans="1:33" ht="15.75" customHeight="1" x14ac:dyDescent="0.45">
      <c r="A16" s="132" t="s">
        <v>337</v>
      </c>
      <c r="B16" s="17">
        <f>'Income statement'!B46</f>
        <v>0.27</v>
      </c>
      <c r="C16" s="17">
        <f>'Income statement'!C46</f>
        <v>0.27</v>
      </c>
      <c r="D16" s="17">
        <f>'Income statement'!D46</f>
        <v>0.25</v>
      </c>
      <c r="E16" s="17">
        <f>'Income statement'!E46</f>
        <v>0.24</v>
      </c>
      <c r="F16" s="17">
        <f>'Income statement'!F46</f>
        <v>0.23</v>
      </c>
      <c r="G16" s="17">
        <f>'Income statement'!G46</f>
        <v>0.22</v>
      </c>
      <c r="H16" s="17">
        <f>'Income statement'!H46</f>
        <v>0.22</v>
      </c>
      <c r="I16" s="1"/>
      <c r="J16" s="1"/>
      <c r="K16" s="1"/>
      <c r="L16" s="1"/>
      <c r="M16" s="1"/>
      <c r="N16" s="1"/>
      <c r="O16" s="1"/>
      <c r="P16" s="1"/>
      <c r="Q16" s="1" t="s">
        <v>338</v>
      </c>
      <c r="R16" s="1"/>
      <c r="S16" s="3">
        <f>'Income statement'!U29</f>
        <v>-147028.43135369197</v>
      </c>
      <c r="T16" s="3">
        <f>'Income statement'!V29</f>
        <v>-133523.81988496054</v>
      </c>
      <c r="U16" s="3">
        <f>'Income statement'!W29</f>
        <v>-1765920.8169932459</v>
      </c>
      <c r="V16" s="3">
        <f>'Income statement'!X29</f>
        <v>-2840173.9145233301</v>
      </c>
      <c r="W16" s="3">
        <f>'Income statement'!Y29</f>
        <v>364300</v>
      </c>
      <c r="X16" s="3">
        <f>'Income statement'!Z29</f>
        <v>-11505896</v>
      </c>
      <c r="Y16" s="1"/>
      <c r="Z16" s="1"/>
      <c r="AA16" s="131"/>
      <c r="AB16" s="131"/>
      <c r="AC16" s="131"/>
      <c r="AD16" s="131"/>
      <c r="AE16" s="131"/>
      <c r="AF16" s="131"/>
      <c r="AG16" s="131"/>
    </row>
    <row r="17" spans="1:26" ht="15.75" customHeight="1" x14ac:dyDescent="0.45">
      <c r="A17" s="132" t="s">
        <v>339</v>
      </c>
      <c r="B17" s="42">
        <f t="shared" ref="B17:H17" si="7">B45</f>
        <v>9711782.7917999998</v>
      </c>
      <c r="C17" s="42">
        <f t="shared" si="7"/>
        <v>11575395.144299999</v>
      </c>
      <c r="D17" s="42">
        <f t="shared" si="7"/>
        <v>10263016.392999999</v>
      </c>
      <c r="E17" s="42">
        <f t="shared" si="7"/>
        <v>6293696.4639999997</v>
      </c>
      <c r="F17" s="42">
        <f t="shared" si="7"/>
        <v>7883329.7364999996</v>
      </c>
      <c r="G17" s="42">
        <f t="shared" si="7"/>
        <v>6174328.7317500003</v>
      </c>
      <c r="H17" s="42">
        <f t="shared" si="7"/>
        <v>3455809.8800400002</v>
      </c>
      <c r="I17" s="1"/>
      <c r="J17" s="1"/>
      <c r="K17" s="1"/>
      <c r="L17" s="1"/>
      <c r="M17" s="1"/>
      <c r="N17" s="1"/>
      <c r="O17" s="1"/>
      <c r="P17" s="1"/>
      <c r="Q17" s="1" t="s">
        <v>135</v>
      </c>
      <c r="R17" s="3">
        <f>'Balance sheet'!K213</f>
        <v>13370622.980260694</v>
      </c>
      <c r="S17" s="3">
        <f>'Balance sheet'!L213</f>
        <v>19409219.953658007</v>
      </c>
      <c r="T17" s="3">
        <f>'Balance sheet'!M213</f>
        <v>22076445.581569549</v>
      </c>
      <c r="U17" s="3">
        <f>'Balance sheet'!N213</f>
        <v>22090966.018550076</v>
      </c>
      <c r="V17" s="3">
        <f>'Balance sheet'!O213</f>
        <v>30591326.390438549</v>
      </c>
      <c r="W17" s="3">
        <f>'Balance sheet'!P213</f>
        <v>27105700</v>
      </c>
      <c r="X17" s="3">
        <f>'Balance sheet'!Q213</f>
        <v>146300</v>
      </c>
      <c r="Y17" s="1"/>
      <c r="Z17" s="1"/>
    </row>
    <row r="18" spans="1:26" ht="15.75" customHeight="1" x14ac:dyDescent="0.45">
      <c r="A18" s="132" t="s">
        <v>124</v>
      </c>
      <c r="B18" s="42">
        <f>'Balance sheet'!K215</f>
        <v>11847628</v>
      </c>
      <c r="C18" s="42">
        <f>'Balance sheet'!L215</f>
        <v>17964983</v>
      </c>
      <c r="D18" s="42">
        <f>'Balance sheet'!M215</f>
        <v>20822441</v>
      </c>
      <c r="E18" s="42">
        <f>'Balance sheet'!N215</f>
        <v>21727049</v>
      </c>
      <c r="F18" s="42">
        <f>'Balance sheet'!O215</f>
        <v>30522900</v>
      </c>
      <c r="G18" s="42">
        <f>'Balance sheet'!P215</f>
        <v>22980600</v>
      </c>
      <c r="H18" s="42">
        <f>'Balance sheet'!Q215</f>
        <v>6770200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45">
      <c r="A19" s="132" t="s">
        <v>340</v>
      </c>
      <c r="B19" s="42">
        <f t="shared" ref="B19:H19" si="8">B17+B18</f>
        <v>21559410.7918</v>
      </c>
      <c r="C19" s="42">
        <f t="shared" si="8"/>
        <v>29540378.144299999</v>
      </c>
      <c r="D19" s="42">
        <f t="shared" si="8"/>
        <v>31085457.392999999</v>
      </c>
      <c r="E19" s="42">
        <f t="shared" si="8"/>
        <v>28020745.464000002</v>
      </c>
      <c r="F19" s="42">
        <f t="shared" si="8"/>
        <v>38406229.736500002</v>
      </c>
      <c r="G19" s="42">
        <f t="shared" si="8"/>
        <v>29154928.73175</v>
      </c>
      <c r="H19" s="42">
        <f t="shared" si="8"/>
        <v>10226009.880040001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45">
      <c r="A20" s="13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45">
      <c r="A21" s="132" t="s">
        <v>341</v>
      </c>
      <c r="B21" s="39">
        <f t="shared" ref="B21:H21" si="9">((B17/B19)*B14)+((B18/B19)*B15*(1-B16))</f>
        <v>7.0122572414464568E-2</v>
      </c>
      <c r="C21" s="39">
        <f t="shared" si="9"/>
        <v>5.9774170013729408E-2</v>
      </c>
      <c r="D21" s="39">
        <f t="shared" si="9"/>
        <v>5.7344159051447539E-2</v>
      </c>
      <c r="E21" s="39">
        <f t="shared" si="9"/>
        <v>5.6844772776343949E-2</v>
      </c>
      <c r="F21" s="39">
        <f t="shared" si="9"/>
        <v>5.368510677761372E-2</v>
      </c>
      <c r="G21" s="39">
        <f t="shared" si="9"/>
        <v>8.6134938627224489E-2</v>
      </c>
      <c r="H21" s="39">
        <f t="shared" si="9"/>
        <v>0.11379435828786388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5">
      <c r="A22" s="116" t="s">
        <v>325</v>
      </c>
      <c r="B22" s="117">
        <f t="shared" ref="B22:H22" si="10">IF(B21&gt;B14,B14,B21)</f>
        <v>7.0122572414464568E-2</v>
      </c>
      <c r="C22" s="117">
        <f t="shared" si="10"/>
        <v>5.9774170013729408E-2</v>
      </c>
      <c r="D22" s="117">
        <f t="shared" si="10"/>
        <v>5.7344159051447539E-2</v>
      </c>
      <c r="E22" s="117">
        <f t="shared" si="10"/>
        <v>5.6844772776343949E-2</v>
      </c>
      <c r="F22" s="117">
        <f t="shared" si="10"/>
        <v>5.368510677761372E-2</v>
      </c>
      <c r="G22" s="117">
        <f t="shared" si="10"/>
        <v>8.6134938627224489E-2</v>
      </c>
      <c r="H22" s="117">
        <f t="shared" si="10"/>
        <v>0.11379435828786388</v>
      </c>
      <c r="I22" s="1" t="s">
        <v>342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45">
      <c r="A23" s="1"/>
      <c r="B23" s="4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45">
      <c r="A24" s="1"/>
      <c r="B24" s="4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45">
      <c r="A25" s="137" t="s">
        <v>343</v>
      </c>
      <c r="B25" s="137">
        <v>2014</v>
      </c>
      <c r="C25" s="137">
        <v>2015</v>
      </c>
      <c r="D25" s="137">
        <v>2016</v>
      </c>
      <c r="E25" s="137">
        <v>2017</v>
      </c>
      <c r="F25" s="137">
        <v>2018</v>
      </c>
      <c r="G25" s="137">
        <v>2019</v>
      </c>
      <c r="H25" s="137">
        <v>2020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5">
      <c r="A26" s="1" t="s">
        <v>324</v>
      </c>
      <c r="B26" s="17"/>
      <c r="C26" s="16">
        <f t="shared" ref="C26:H26" si="11">C4</f>
        <v>-0.8593378365707981</v>
      </c>
      <c r="D26" s="16">
        <f t="shared" si="11"/>
        <v>-1.2304243426470167</v>
      </c>
      <c r="E26" s="16">
        <f t="shared" si="11"/>
        <v>-4.3613890815160756</v>
      </c>
      <c r="F26" s="16">
        <f t="shared" si="11"/>
        <v>-14.29215266242025</v>
      </c>
      <c r="G26" s="16">
        <f t="shared" si="11"/>
        <v>-0.76743924904413086</v>
      </c>
      <c r="H26" s="16">
        <f t="shared" si="11"/>
        <v>-5.5855657106838956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5">
      <c r="A27" s="1" t="s">
        <v>344</v>
      </c>
      <c r="B27" s="43"/>
      <c r="C27" s="16">
        <f t="shared" ref="C27:H27" si="12">C14</f>
        <v>0.10609224384724097</v>
      </c>
      <c r="D27" s="16">
        <f t="shared" si="12"/>
        <v>0.10369224384724099</v>
      </c>
      <c r="E27" s="16">
        <f t="shared" si="12"/>
        <v>0.11665321590330363</v>
      </c>
      <c r="F27" s="16">
        <f t="shared" si="12"/>
        <v>0.1124792345325952</v>
      </c>
      <c r="G27" s="16">
        <f t="shared" si="12"/>
        <v>0.11350972056062653</v>
      </c>
      <c r="H27" s="16">
        <f t="shared" si="12"/>
        <v>0.1946148507847669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5">
      <c r="A28" s="1" t="s">
        <v>345</v>
      </c>
      <c r="B28" s="17"/>
      <c r="C28" s="42">
        <f>(B46+C46)/2</f>
        <v>1483614.4669593531</v>
      </c>
      <c r="D28" s="42">
        <f t="shared" ref="D28:G28" si="13">(C46+D46)/2</f>
        <v>1349120.2676137798</v>
      </c>
      <c r="E28" s="42">
        <f t="shared" si="13"/>
        <v>808961.30005981354</v>
      </c>
      <c r="F28" s="42">
        <f t="shared" si="13"/>
        <v>216221.7044943138</v>
      </c>
      <c r="G28" s="42">
        <f t="shared" si="13"/>
        <v>2096713.1952192741</v>
      </c>
      <c r="H28" s="42">
        <f>G46</f>
        <v>4124900</v>
      </c>
      <c r="I28" s="1" t="s">
        <v>346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thickBot="1" x14ac:dyDescent="0.5">
      <c r="A29" s="82" t="s">
        <v>347</v>
      </c>
      <c r="B29" s="83"/>
      <c r="C29" s="84">
        <f t="shared" ref="C29:H29" si="14">(C26-C27)*C28</f>
        <v>-1432326.0341459345</v>
      </c>
      <c r="D29" s="84">
        <f t="shared" si="14"/>
        <v>-1799883.7261991152</v>
      </c>
      <c r="E29" s="84">
        <f t="shared" si="14"/>
        <v>-3622562.9186432152</v>
      </c>
      <c r="F29" s="84">
        <f t="shared" si="14"/>
        <v>-3114594.0613723048</v>
      </c>
      <c r="G29" s="84">
        <f t="shared" si="14"/>
        <v>-1847097.3288851182</v>
      </c>
      <c r="H29" s="84">
        <f t="shared" si="14"/>
        <v>-23842666.798002087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thickTop="1" x14ac:dyDescent="0.45">
      <c r="A30" s="132"/>
      <c r="B30" s="81"/>
      <c r="C30" s="132"/>
      <c r="D30" s="132"/>
      <c r="E30" s="132"/>
      <c r="F30" s="132"/>
      <c r="G30" s="132"/>
      <c r="H30" s="13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5">
      <c r="A32" s="137" t="s">
        <v>348</v>
      </c>
      <c r="B32" s="137">
        <v>2014</v>
      </c>
      <c r="C32" s="137">
        <v>2015</v>
      </c>
      <c r="D32" s="137">
        <v>2016</v>
      </c>
      <c r="E32" s="137">
        <v>2017</v>
      </c>
      <c r="F32" s="137">
        <v>2018</v>
      </c>
      <c r="G32" s="137">
        <v>2019</v>
      </c>
      <c r="H32" s="137">
        <v>2020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5">
      <c r="A33" s="1" t="s">
        <v>332</v>
      </c>
      <c r="B33" s="1"/>
      <c r="C33" s="16">
        <f t="shared" ref="C33:H33" si="15">C3</f>
        <v>-8.9706611255025506E-3</v>
      </c>
      <c r="D33" s="16">
        <f t="shared" si="15"/>
        <v>-6.4371063191250378E-3</v>
      </c>
      <c r="E33" s="16">
        <f t="shared" si="15"/>
        <v>-7.9964876954141603E-2</v>
      </c>
      <c r="F33" s="16">
        <f t="shared" si="15"/>
        <v>-0.10782271555209473</v>
      </c>
      <c r="G33" s="16">
        <f t="shared" si="15"/>
        <v>1.2628033810088042E-2</v>
      </c>
      <c r="H33" s="16">
        <f t="shared" si="15"/>
        <v>-0.42448252581560336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5">
      <c r="A34" s="1" t="s">
        <v>349</v>
      </c>
      <c r="B34" s="1"/>
      <c r="C34" s="35">
        <f t="shared" ref="C34:H34" si="16">C6</f>
        <v>5.9774170013729408E-2</v>
      </c>
      <c r="D34" s="35">
        <f t="shared" si="16"/>
        <v>5.7344159051447539E-2</v>
      </c>
      <c r="E34" s="35">
        <f t="shared" si="16"/>
        <v>5.6844772776343949E-2</v>
      </c>
      <c r="F34" s="35">
        <f t="shared" si="16"/>
        <v>5.368510677761372E-2</v>
      </c>
      <c r="G34" s="35">
        <f t="shared" si="16"/>
        <v>8.6134938627224489E-2</v>
      </c>
      <c r="H34" s="35">
        <f t="shared" si="16"/>
        <v>0.11379435828786388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5">
      <c r="A35" s="1" t="s">
        <v>350</v>
      </c>
      <c r="B35" s="1"/>
      <c r="C35" s="3">
        <f>('Balance sheet'!K213+'Balance sheet'!L213)/2</f>
        <v>16389921.46695935</v>
      </c>
      <c r="D35" s="3">
        <f>('Balance sheet'!L213+'Balance sheet'!M213)/2</f>
        <v>20742832.767613776</v>
      </c>
      <c r="E35" s="3">
        <f>('Balance sheet'!M213+'Balance sheet'!N213)/2</f>
        <v>22083705.80005981</v>
      </c>
      <c r="F35" s="3">
        <f>('Balance sheet'!N213+'Balance sheet'!O213)/2</f>
        <v>26341146.204494312</v>
      </c>
      <c r="G35" s="3">
        <f>('Balance sheet'!O213+'Balance sheet'!P213)/2</f>
        <v>28848513.195219275</v>
      </c>
      <c r="H35" s="153">
        <f>'Balance sheet'!P213</f>
        <v>27105700</v>
      </c>
      <c r="I35" s="1" t="s">
        <v>346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thickBot="1" x14ac:dyDescent="0.5">
      <c r="A36" s="82" t="s">
        <v>351</v>
      </c>
      <c r="B36" s="82"/>
      <c r="C36" s="85">
        <f t="shared" ref="C36:H36" si="17">(C33-C34)*C35</f>
        <v>-1126722.3836313935</v>
      </c>
      <c r="D36" s="85">
        <f t="shared" si="17"/>
        <v>-1323004.1212885827</v>
      </c>
      <c r="E36" s="85">
        <f t="shared" si="17"/>
        <v>-3021264.0552572748</v>
      </c>
      <c r="F36" s="85">
        <f t="shared" si="17"/>
        <v>-4254301.1611563414</v>
      </c>
      <c r="G36" s="85">
        <f t="shared" si="17"/>
        <v>-2120564.9135568882</v>
      </c>
      <c r="H36" s="85">
        <f t="shared" si="17"/>
        <v>-14590371.737443354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thickTop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5">
      <c r="A41" s="137" t="s">
        <v>136</v>
      </c>
      <c r="B41" s="137">
        <v>2014</v>
      </c>
      <c r="C41" s="137">
        <v>2015</v>
      </c>
      <c r="D41" s="137">
        <v>2016</v>
      </c>
      <c r="E41" s="137">
        <v>2017</v>
      </c>
      <c r="F41" s="137">
        <v>2018</v>
      </c>
      <c r="G41" s="137">
        <v>2019</v>
      </c>
      <c r="H41" s="137">
        <v>2020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5">
      <c r="A42" s="1" t="s">
        <v>352</v>
      </c>
      <c r="B42" s="3">
        <v>35162139</v>
      </c>
      <c r="C42" s="3">
        <v>35759639</v>
      </c>
      <c r="D42" s="3">
        <v>35759639</v>
      </c>
      <c r="E42" s="3">
        <v>35759639</v>
      </c>
      <c r="F42" s="3">
        <v>45437059</v>
      </c>
      <c r="G42" s="3">
        <v>163558377</v>
      </c>
      <c r="H42" s="3">
        <v>39749366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5">
      <c r="A43" s="1" t="s">
        <v>353</v>
      </c>
      <c r="B43" s="3">
        <v>276.2</v>
      </c>
      <c r="C43" s="3">
        <v>323.7</v>
      </c>
      <c r="D43" s="3">
        <v>287</v>
      </c>
      <c r="E43" s="3">
        <v>176</v>
      </c>
      <c r="F43" s="3">
        <v>173.5</v>
      </c>
      <c r="G43" s="3">
        <v>37.75</v>
      </c>
      <c r="H43" s="3">
        <v>86.94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5">
      <c r="A44" s="1" t="s">
        <v>339</v>
      </c>
      <c r="B44" s="3">
        <f t="shared" ref="B44:H44" si="18">B42*B43</f>
        <v>9711782791.7999992</v>
      </c>
      <c r="C44" s="3">
        <f t="shared" si="18"/>
        <v>11575395144.299999</v>
      </c>
      <c r="D44" s="3">
        <f t="shared" si="18"/>
        <v>10263016393</v>
      </c>
      <c r="E44" s="3">
        <f t="shared" si="18"/>
        <v>6293696464</v>
      </c>
      <c r="F44" s="3">
        <f t="shared" si="18"/>
        <v>7883329736.5</v>
      </c>
      <c r="G44" s="3">
        <f t="shared" si="18"/>
        <v>6174328731.75</v>
      </c>
      <c r="H44" s="3">
        <f t="shared" si="18"/>
        <v>3455809880.04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5">
      <c r="A45" s="1" t="s">
        <v>354</v>
      </c>
      <c r="B45" s="3">
        <f t="shared" ref="B45:H45" si="19">B44/1000</f>
        <v>9711782.7917999998</v>
      </c>
      <c r="C45" s="3">
        <f t="shared" si="19"/>
        <v>11575395.144299999</v>
      </c>
      <c r="D45" s="3">
        <f t="shared" si="19"/>
        <v>10263016.392999999</v>
      </c>
      <c r="E45" s="3">
        <f t="shared" si="19"/>
        <v>6293696.4639999997</v>
      </c>
      <c r="F45" s="3">
        <f t="shared" si="19"/>
        <v>7883329.7364999996</v>
      </c>
      <c r="G45" s="3">
        <f t="shared" si="19"/>
        <v>6174328.7317500003</v>
      </c>
      <c r="H45" s="3">
        <f t="shared" si="19"/>
        <v>3455809.8800400002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5">
      <c r="A46" s="1" t="s">
        <v>355</v>
      </c>
      <c r="B46" s="3">
        <f>'Balance sheet'!K214</f>
        <v>1522993.9802606946</v>
      </c>
      <c r="C46" s="3">
        <f>'Balance sheet'!L214</f>
        <v>1444234.9536580117</v>
      </c>
      <c r="D46" s="3">
        <f>'Balance sheet'!M214</f>
        <v>1254005.5815695478</v>
      </c>
      <c r="E46" s="3">
        <f>'Balance sheet'!N214</f>
        <v>363917.01855007932</v>
      </c>
      <c r="F46" s="3">
        <f>'Balance sheet'!O214</f>
        <v>68526.390438548289</v>
      </c>
      <c r="G46" s="3">
        <f>'Balance sheet'!P214</f>
        <v>4124900</v>
      </c>
      <c r="H46" s="3">
        <f>'Balance sheet'!Q214</f>
        <v>-6623800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5">
      <c r="A49" s="137"/>
      <c r="B49" s="137"/>
      <c r="C49" s="137"/>
      <c r="D49" s="137"/>
      <c r="E49" s="137"/>
      <c r="F49" s="137"/>
      <c r="G49" s="137"/>
      <c r="H49" s="13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31"/>
    </row>
    <row r="1000" spans="1:26" ht="15.9" x14ac:dyDescent="0.4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31"/>
    </row>
  </sheetData>
  <mergeCells count="6">
    <mergeCell ref="Q11:X11"/>
    <mergeCell ref="AB3:AG3"/>
    <mergeCell ref="C1:H1"/>
    <mergeCell ref="Q1:X1"/>
    <mergeCell ref="Q3:X3"/>
    <mergeCell ref="A9:H9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00"/>
  <sheetViews>
    <sheetView workbookViewId="0"/>
  </sheetViews>
  <sheetFormatPr defaultColWidth="11.3125" defaultRowHeight="15" customHeight="1" x14ac:dyDescent="0.35"/>
  <cols>
    <col min="1" max="1" width="15.125" customWidth="1"/>
    <col min="2" max="2" width="13" customWidth="1"/>
    <col min="3" max="3" width="11.4375" customWidth="1"/>
    <col min="4" max="7" width="13" customWidth="1"/>
    <col min="8" max="8" width="15.125" customWidth="1"/>
    <col min="9" max="26" width="10.5625" customWidth="1"/>
  </cols>
  <sheetData>
    <row r="1" spans="1:8" ht="15.75" customHeight="1" x14ac:dyDescent="0.45">
      <c r="A1" s="154"/>
      <c r="B1" s="154"/>
      <c r="C1" s="250" t="s">
        <v>356</v>
      </c>
      <c r="D1" s="249"/>
      <c r="E1" s="249"/>
      <c r="F1" s="249"/>
      <c r="G1" s="249"/>
      <c r="H1" s="249"/>
    </row>
    <row r="2" spans="1:8" ht="15.75" customHeight="1" x14ac:dyDescent="0.45">
      <c r="A2" s="137"/>
      <c r="B2" s="137">
        <v>2014</v>
      </c>
      <c r="C2" s="137">
        <v>2015</v>
      </c>
      <c r="D2" s="137">
        <v>2016</v>
      </c>
      <c r="E2" s="137">
        <v>2017</v>
      </c>
      <c r="F2" s="137">
        <v>2018</v>
      </c>
      <c r="G2" s="137">
        <v>2019</v>
      </c>
      <c r="H2" s="137">
        <v>2020</v>
      </c>
    </row>
    <row r="3" spans="1:8" ht="15.75" customHeight="1" x14ac:dyDescent="0.45">
      <c r="A3" s="132" t="s">
        <v>33</v>
      </c>
      <c r="B3" s="3">
        <f>'Income statement'!T25</f>
        <v>-1501259.7481045013</v>
      </c>
      <c r="C3" s="3">
        <f>'Income statement'!U25</f>
        <v>-463564.96075848211</v>
      </c>
      <c r="D3" s="3">
        <f>'Income statement'!V25</f>
        <v>-183005.42651328072</v>
      </c>
      <c r="E3" s="3">
        <f>'Income statement'!W25</f>
        <v>-2525642.8644647971</v>
      </c>
      <c r="F3" s="3">
        <f>'Income statement'!X25</f>
        <v>-4290136.2526277015</v>
      </c>
      <c r="G3" s="3">
        <f>'Income statement'!Y25</f>
        <v>842400</v>
      </c>
      <c r="H3" s="3">
        <f>'Income statement'!Z25</f>
        <v>-10960600</v>
      </c>
    </row>
    <row r="4" spans="1:8" ht="15.75" customHeight="1" x14ac:dyDescent="0.45">
      <c r="A4" s="132" t="s">
        <v>40</v>
      </c>
      <c r="B4" s="3">
        <f>'Income statement'!T29</f>
        <v>-977938.03611628595</v>
      </c>
      <c r="C4" s="3">
        <f>'Income statement'!U29</f>
        <v>-147028.43135369197</v>
      </c>
      <c r="D4" s="3">
        <f>'Income statement'!V29</f>
        <v>-133523.81988496054</v>
      </c>
      <c r="E4" s="3">
        <f>'Income statement'!W29</f>
        <v>-1765920.8169932459</v>
      </c>
      <c r="F4" s="3">
        <f>'Income statement'!X29</f>
        <v>-2840173.9145233301</v>
      </c>
      <c r="G4" s="3">
        <f>'Income statement'!Y29</f>
        <v>364300</v>
      </c>
      <c r="H4" s="3">
        <f>'Income statement'!Z29</f>
        <v>-11505896</v>
      </c>
    </row>
    <row r="5" spans="1:8" ht="15.75" customHeight="1" x14ac:dyDescent="0.45">
      <c r="A5" s="132" t="s">
        <v>357</v>
      </c>
      <c r="B5" s="3">
        <f>'Income statement'!T38</f>
        <v>-1655019.0197393054</v>
      </c>
      <c r="C5" s="3">
        <f>'Income statement'!U38</f>
        <v>-1274926.0463419883</v>
      </c>
      <c r="D5" s="3">
        <f>'Income statement'!V38</f>
        <v>-1659990.4184304522</v>
      </c>
      <c r="E5" s="3">
        <f>'Income statement'!W38</f>
        <v>-3528194.9814499207</v>
      </c>
      <c r="F5" s="3">
        <f>'Income statement'!X38</f>
        <v>-3090273.6095614517</v>
      </c>
      <c r="G5" s="3">
        <f>'Income statement'!Y38</f>
        <v>-1609100</v>
      </c>
      <c r="H5" s="3">
        <f>'Income statement'!Z38</f>
        <v>-23039900</v>
      </c>
    </row>
    <row r="6" spans="1:8" ht="15.75" customHeight="1" x14ac:dyDescent="0.45">
      <c r="A6" s="132" t="s">
        <v>348</v>
      </c>
      <c r="B6" s="3">
        <f>Profitability!B36</f>
        <v>0</v>
      </c>
      <c r="C6" s="3">
        <f>Profitability!C36</f>
        <v>-1126722.3836313935</v>
      </c>
      <c r="D6" s="3">
        <f>Profitability!D36</f>
        <v>-1323004.1212885827</v>
      </c>
      <c r="E6" s="3">
        <f>Profitability!E36</f>
        <v>-3021264.0552572748</v>
      </c>
      <c r="F6" s="3">
        <f>Profitability!F36</f>
        <v>-4254301.1611563414</v>
      </c>
      <c r="G6" s="3">
        <f>Profitability!G36</f>
        <v>-2120564.9135568882</v>
      </c>
      <c r="H6" s="3">
        <f>Profitability!H36</f>
        <v>-14590371.737443354</v>
      </c>
    </row>
    <row r="7" spans="1:8" ht="15.75" customHeight="1" x14ac:dyDescent="0.35">
      <c r="A7" s="131"/>
      <c r="B7" s="131"/>
      <c r="C7" s="131"/>
      <c r="D7" s="131"/>
      <c r="E7" s="131"/>
      <c r="F7" s="131"/>
      <c r="G7" s="131"/>
      <c r="H7" s="131"/>
    </row>
    <row r="8" spans="1:8" ht="15.75" customHeight="1" x14ac:dyDescent="0.45">
      <c r="A8" s="154"/>
      <c r="B8" s="136"/>
      <c r="C8" s="250" t="s">
        <v>358</v>
      </c>
      <c r="D8" s="249"/>
      <c r="E8" s="249"/>
      <c r="F8" s="249"/>
      <c r="G8" s="249"/>
      <c r="H8" s="249"/>
    </row>
    <row r="9" spans="1:8" ht="15.75" customHeight="1" x14ac:dyDescent="0.45">
      <c r="A9" s="137"/>
      <c r="B9" s="137">
        <v>2014</v>
      </c>
      <c r="C9" s="137">
        <v>2015</v>
      </c>
      <c r="D9" s="137">
        <v>2016</v>
      </c>
      <c r="E9" s="137">
        <v>2017</v>
      </c>
      <c r="F9" s="137">
        <v>2018</v>
      </c>
      <c r="G9" s="137">
        <v>2019</v>
      </c>
      <c r="H9" s="137">
        <v>2020</v>
      </c>
    </row>
    <row r="10" spans="1:8" ht="15.75" customHeight="1" x14ac:dyDescent="0.45">
      <c r="A10" s="132" t="s">
        <v>33</v>
      </c>
      <c r="B10" s="131"/>
      <c r="C10" s="16">
        <f t="shared" ref="C10:H10" si="0">(C3-B3)/B3</f>
        <v>-0.69121601951708778</v>
      </c>
      <c r="D10" s="16">
        <f t="shared" si="0"/>
        <v>-0.60522161508098371</v>
      </c>
      <c r="E10" s="16">
        <f t="shared" si="0"/>
        <v>12.800917888527808</v>
      </c>
      <c r="F10" s="16">
        <f t="shared" si="0"/>
        <v>0.69863139123464868</v>
      </c>
      <c r="G10" s="16">
        <f t="shared" si="0"/>
        <v>-1.1963573999506498</v>
      </c>
      <c r="H10" s="16">
        <f t="shared" si="0"/>
        <v>-14.011158594491928</v>
      </c>
    </row>
    <row r="11" spans="1:8" ht="15.75" customHeight="1" x14ac:dyDescent="0.45">
      <c r="A11" s="132" t="s">
        <v>40</v>
      </c>
      <c r="B11" s="131"/>
      <c r="C11" s="16">
        <f t="shared" ref="C11:H11" si="1">(C4-B4)/B4</f>
        <v>-0.84965465507652171</v>
      </c>
      <c r="D11" s="16">
        <f t="shared" si="1"/>
        <v>-9.1850340402834726E-2</v>
      </c>
      <c r="E11" s="16">
        <f t="shared" si="1"/>
        <v>12.225511511838873</v>
      </c>
      <c r="F11" s="16">
        <f t="shared" si="1"/>
        <v>0.60832461296830209</v>
      </c>
      <c r="G11" s="16">
        <f t="shared" si="1"/>
        <v>-1.1282667931485248</v>
      </c>
      <c r="H11" s="16">
        <f t="shared" si="1"/>
        <v>-32.583573977491078</v>
      </c>
    </row>
    <row r="12" spans="1:8" ht="15.75" customHeight="1" x14ac:dyDescent="0.45">
      <c r="A12" s="132" t="s">
        <v>357</v>
      </c>
      <c r="B12" s="131"/>
      <c r="C12" s="16">
        <f t="shared" ref="C12:H12" si="2">(C5-B5)/B5</f>
        <v>-0.22966078870633672</v>
      </c>
      <c r="D12" s="16">
        <f t="shared" si="2"/>
        <v>0.30202879076263978</v>
      </c>
      <c r="E12" s="16">
        <f t="shared" si="2"/>
        <v>1.1254309315748257</v>
      </c>
      <c r="F12" s="16">
        <f t="shared" si="2"/>
        <v>-0.12412051323436328</v>
      </c>
      <c r="G12" s="16">
        <f t="shared" si="2"/>
        <v>-0.4793017695839718</v>
      </c>
      <c r="H12" s="16">
        <f t="shared" si="2"/>
        <v>13.318501025417936</v>
      </c>
    </row>
    <row r="13" spans="1:8" ht="15.75" customHeight="1" x14ac:dyDescent="0.45">
      <c r="A13" s="132" t="s">
        <v>348</v>
      </c>
      <c r="B13" s="131"/>
      <c r="C13" s="17"/>
      <c r="D13" s="16">
        <f t="shared" ref="D13:H13" si="3">(D6-C6)/C6</f>
        <v>0.17420594505682827</v>
      </c>
      <c r="E13" s="16">
        <f t="shared" si="3"/>
        <v>1.2836391864861441</v>
      </c>
      <c r="F13" s="16">
        <f t="shared" si="3"/>
        <v>0.40811960932493463</v>
      </c>
      <c r="G13" s="16">
        <f t="shared" si="3"/>
        <v>-0.50154800207409211</v>
      </c>
      <c r="H13" s="16">
        <f t="shared" si="3"/>
        <v>5.8804174039503829</v>
      </c>
    </row>
    <row r="14" spans="1:8" ht="15.75" customHeight="1" x14ac:dyDescent="0.35">
      <c r="A14" s="131"/>
      <c r="B14" s="131"/>
      <c r="C14" s="131"/>
      <c r="D14" s="131"/>
      <c r="E14" s="131"/>
      <c r="F14" s="131"/>
      <c r="G14" s="131"/>
      <c r="H14" s="131"/>
    </row>
    <row r="15" spans="1:8" ht="15.75" customHeight="1" x14ac:dyDescent="0.35">
      <c r="A15" s="131"/>
      <c r="B15" s="131"/>
      <c r="C15" s="131"/>
      <c r="D15" s="131"/>
      <c r="E15" s="131"/>
      <c r="F15" s="131"/>
      <c r="G15" s="131"/>
      <c r="H15" s="131"/>
    </row>
    <row r="16" spans="1:8" ht="15.75" customHeight="1" x14ac:dyDescent="0.35">
      <c r="A16" s="131"/>
      <c r="B16" s="131"/>
      <c r="C16" s="131"/>
      <c r="D16" s="131"/>
      <c r="E16" s="131"/>
      <c r="F16" s="131"/>
      <c r="G16" s="131"/>
      <c r="H16" s="131"/>
    </row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2">
    <mergeCell ref="C1:H1"/>
    <mergeCell ref="C8:H8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zoomScale="75" workbookViewId="0"/>
  </sheetViews>
  <sheetFormatPr defaultColWidth="11.3125" defaultRowHeight="15" customHeight="1" x14ac:dyDescent="0.35"/>
  <cols>
    <col min="1" max="1" width="20.5625" customWidth="1"/>
    <col min="2" max="8" width="12.6875" customWidth="1"/>
    <col min="9" max="9" width="10.5625" customWidth="1"/>
    <col min="10" max="10" width="12.3125" customWidth="1"/>
    <col min="11" max="11" width="11.125" hidden="1" customWidth="1"/>
    <col min="12" max="17" width="13.125" bestFit="1" customWidth="1"/>
    <col min="18" max="26" width="10.5625" customWidth="1"/>
  </cols>
  <sheetData>
    <row r="1" spans="1:26" ht="15.75" customHeight="1" x14ac:dyDescent="0.45">
      <c r="A1" s="154"/>
      <c r="B1" s="154"/>
      <c r="C1" s="250" t="s">
        <v>359</v>
      </c>
      <c r="D1" s="249"/>
      <c r="E1" s="249"/>
      <c r="F1" s="249"/>
      <c r="G1" s="249"/>
      <c r="H1" s="249"/>
      <c r="I1" s="1"/>
      <c r="J1" s="259" t="s">
        <v>320</v>
      </c>
      <c r="K1" s="249"/>
      <c r="L1" s="249"/>
      <c r="M1" s="249"/>
      <c r="N1" s="249"/>
      <c r="O1" s="249"/>
      <c r="P1" s="249"/>
      <c r="Q1" s="249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45">
      <c r="A2" s="137"/>
      <c r="B2" s="137">
        <v>2014</v>
      </c>
      <c r="C2" s="137">
        <v>2015</v>
      </c>
      <c r="D2" s="137">
        <v>2016</v>
      </c>
      <c r="E2" s="137">
        <v>2017</v>
      </c>
      <c r="F2" s="137">
        <v>2018</v>
      </c>
      <c r="G2" s="137">
        <v>2019</v>
      </c>
      <c r="H2" s="137">
        <v>2020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45">
      <c r="A3" s="181" t="s">
        <v>360</v>
      </c>
      <c r="B3" s="1"/>
      <c r="C3" s="1"/>
      <c r="D3" s="1"/>
      <c r="E3" s="1"/>
      <c r="F3" s="1"/>
      <c r="G3" s="1"/>
      <c r="H3" s="1"/>
      <c r="I3" s="1"/>
      <c r="J3" s="250" t="s">
        <v>361</v>
      </c>
      <c r="K3" s="249"/>
      <c r="L3" s="249"/>
      <c r="M3" s="249"/>
      <c r="N3" s="249"/>
      <c r="O3" s="249"/>
      <c r="P3" s="249"/>
      <c r="Q3" s="249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45">
      <c r="A4" s="182" t="s">
        <v>362</v>
      </c>
      <c r="B4" s="183">
        <f t="shared" ref="B4:H4" si="0">B24</f>
        <v>0.75556821668520102</v>
      </c>
      <c r="C4" s="183">
        <f t="shared" si="0"/>
        <v>0.73946019440689748</v>
      </c>
      <c r="D4" s="183">
        <f t="shared" si="0"/>
        <v>0.67714392512178645</v>
      </c>
      <c r="E4" s="183">
        <f t="shared" si="0"/>
        <v>0.75919086851716611</v>
      </c>
      <c r="F4" s="183">
        <f t="shared" si="0"/>
        <v>0.78770609678606063</v>
      </c>
      <c r="G4" s="183">
        <f t="shared" si="0"/>
        <v>0.7516077914861653</v>
      </c>
      <c r="H4" s="183">
        <f t="shared" si="0"/>
        <v>2.7090464723430254</v>
      </c>
      <c r="I4" s="1"/>
      <c r="J4" s="137"/>
      <c r="K4" s="137">
        <v>2014</v>
      </c>
      <c r="L4" s="137">
        <v>2015</v>
      </c>
      <c r="M4" s="137">
        <v>2016</v>
      </c>
      <c r="N4" s="137">
        <v>2017</v>
      </c>
      <c r="O4" s="137">
        <v>2018</v>
      </c>
      <c r="P4" s="137">
        <v>2019</v>
      </c>
      <c r="Q4" s="137">
        <v>2020</v>
      </c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45">
      <c r="A5" s="1" t="s">
        <v>363</v>
      </c>
      <c r="B5" s="38">
        <f t="shared" ref="B5:H5" si="1">B34</f>
        <v>0.31240559177126392</v>
      </c>
      <c r="C5" s="38">
        <f t="shared" si="1"/>
        <v>0.72032931695972002</v>
      </c>
      <c r="D5" s="38">
        <f t="shared" si="1"/>
        <v>0.8655433103425918</v>
      </c>
      <c r="E5" s="38">
        <f t="shared" si="1"/>
        <v>0.59556223999177238</v>
      </c>
      <c r="F5" s="38">
        <f t="shared" si="1"/>
        <v>0.27611239343863891</v>
      </c>
      <c r="G5" s="38">
        <f t="shared" si="1"/>
        <v>0.40743751479168167</v>
      </c>
      <c r="H5" s="38">
        <f t="shared" si="1"/>
        <v>-1.2927071847033029</v>
      </c>
      <c r="I5" s="1"/>
      <c r="J5" s="1" t="s">
        <v>359</v>
      </c>
      <c r="K5" s="38">
        <f t="shared" ref="K5:Q5" si="2">B8</f>
        <v>23.195985840506861</v>
      </c>
      <c r="L5" s="38">
        <f t="shared" si="2"/>
        <v>43.047344425357117</v>
      </c>
      <c r="M5" s="38">
        <f t="shared" si="2"/>
        <v>49.767735286029783</v>
      </c>
      <c r="N5" s="38">
        <f t="shared" si="2"/>
        <v>196.32648088519483</v>
      </c>
      <c r="O5" s="38">
        <f t="shared" si="2"/>
        <v>1269.9908301391852</v>
      </c>
      <c r="P5" s="38">
        <f t="shared" si="2"/>
        <v>19.689665204004946</v>
      </c>
      <c r="Q5" s="38">
        <f t="shared" si="2"/>
        <v>-8.4812041426371572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45">
      <c r="A6" s="1" t="s">
        <v>364</v>
      </c>
      <c r="B6" s="1"/>
      <c r="C6" s="3">
        <f t="shared" ref="C6:H6" si="3">C40</f>
        <v>-4.0357973516033603</v>
      </c>
      <c r="D6" s="3">
        <f t="shared" si="3"/>
        <v>-3.779764434717332</v>
      </c>
      <c r="E6" s="3">
        <f t="shared" si="3"/>
        <v>-3.9866684615148453</v>
      </c>
      <c r="F6" s="3">
        <f t="shared" si="3"/>
        <v>-3.4341109362764568</v>
      </c>
      <c r="G6" s="3">
        <f t="shared" si="3"/>
        <v>-3.3747481185594559</v>
      </c>
      <c r="H6" s="3">
        <f t="shared" si="3"/>
        <v>-0.63342978318601606</v>
      </c>
      <c r="I6" s="1"/>
      <c r="J6" s="1" t="s">
        <v>365</v>
      </c>
      <c r="K6" s="5" t="s">
        <v>366</v>
      </c>
      <c r="L6" s="5" t="s">
        <v>366</v>
      </c>
      <c r="M6" s="5" t="s">
        <v>366</v>
      </c>
      <c r="N6" s="5" t="s">
        <v>366</v>
      </c>
      <c r="O6" s="5" t="s">
        <v>366</v>
      </c>
      <c r="P6" s="38">
        <f>'SAS - Lufthansa'!B50</f>
        <v>5.331347728965004</v>
      </c>
      <c r="Q6" s="38">
        <f>'SAS - Lufthansa'!C50</f>
        <v>4.4750238322211633</v>
      </c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45">
      <c r="A7" s="181" t="s">
        <v>367</v>
      </c>
      <c r="B7" s="1"/>
      <c r="C7" s="1"/>
      <c r="D7" s="1"/>
      <c r="E7" s="1"/>
      <c r="F7" s="1"/>
      <c r="G7" s="1"/>
      <c r="H7" s="1"/>
      <c r="I7" s="1"/>
      <c r="J7" s="1" t="s">
        <v>368</v>
      </c>
      <c r="K7" s="5" t="s">
        <v>366</v>
      </c>
      <c r="L7" s="5" t="s">
        <v>366</v>
      </c>
      <c r="M7" s="5" t="s">
        <v>366</v>
      </c>
      <c r="N7" s="5" t="s">
        <v>366</v>
      </c>
      <c r="O7" s="5" t="s">
        <v>366</v>
      </c>
      <c r="P7" s="38">
        <f>'SAS - Lufthansa'!J50</f>
        <v>3.1594188767550704</v>
      </c>
      <c r="Q7" s="38">
        <f>'SAS - Lufthansa'!K50</f>
        <v>27.467195385724587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45">
      <c r="A8" s="182" t="s">
        <v>361</v>
      </c>
      <c r="B8" s="183">
        <f t="shared" ref="B8:H8" si="4">B49</f>
        <v>23.195985840506861</v>
      </c>
      <c r="C8" s="183">
        <f t="shared" si="4"/>
        <v>43.047344425357117</v>
      </c>
      <c r="D8" s="183">
        <f t="shared" si="4"/>
        <v>49.767735286029783</v>
      </c>
      <c r="E8" s="183">
        <f t="shared" si="4"/>
        <v>196.32648088519483</v>
      </c>
      <c r="F8" s="183">
        <f t="shared" si="4"/>
        <v>1269.9908301391852</v>
      </c>
      <c r="G8" s="183">
        <f t="shared" si="4"/>
        <v>19.689665204004946</v>
      </c>
      <c r="H8" s="183">
        <f t="shared" si="4"/>
        <v>-8.4812041426371572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45">
      <c r="A9" s="1" t="s">
        <v>369</v>
      </c>
      <c r="B9" s="38">
        <f t="shared" ref="B9:H9" si="5">B56</f>
        <v>4.3110907502526254E-2</v>
      </c>
      <c r="C9" s="38">
        <f t="shared" si="5"/>
        <v>2.323023669285737E-2</v>
      </c>
      <c r="D9" s="38">
        <f t="shared" si="5"/>
        <v>2.0093339474916962E-2</v>
      </c>
      <c r="E9" s="38">
        <f t="shared" si="5"/>
        <v>5.0935563836890987E-3</v>
      </c>
      <c r="F9" s="38">
        <f t="shared" si="5"/>
        <v>7.8740726016927594E-4</v>
      </c>
      <c r="G9" s="38">
        <f t="shared" si="5"/>
        <v>5.0788065192525295E-2</v>
      </c>
      <c r="H9" s="38">
        <f t="shared" si="5"/>
        <v>-0.11790778563774303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45">
      <c r="A10" s="1" t="s">
        <v>370</v>
      </c>
      <c r="B10" s="3">
        <f t="shared" ref="B10:H10" si="6">B62</f>
        <v>-1.6185945885706112</v>
      </c>
      <c r="C10" s="3">
        <f t="shared" si="6"/>
        <v>-0.3000293793131244</v>
      </c>
      <c r="D10" s="3">
        <f t="shared" si="6"/>
        <v>-8.9916196014864919E-2</v>
      </c>
      <c r="E10" s="3">
        <f t="shared" si="6"/>
        <v>-1.0892110976302269</v>
      </c>
      <c r="F10" s="3">
        <f t="shared" si="6"/>
        <v>-13.208352429297461</v>
      </c>
      <c r="G10" s="3">
        <f t="shared" si="6"/>
        <v>0.33296442687747035</v>
      </c>
      <c r="H10" s="3">
        <f t="shared" si="6"/>
        <v>6.6702775073028233</v>
      </c>
      <c r="I10" s="1"/>
      <c r="J10" s="154"/>
      <c r="K10" s="250" t="s">
        <v>371</v>
      </c>
      <c r="L10" s="249"/>
      <c r="M10" s="249"/>
      <c r="N10" s="249"/>
      <c r="O10" s="249"/>
      <c r="P10" s="249"/>
      <c r="Q10" s="249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37"/>
      <c r="K11" s="137">
        <v>2014</v>
      </c>
      <c r="L11" s="137">
        <v>2015</v>
      </c>
      <c r="M11" s="137">
        <v>2016</v>
      </c>
      <c r="N11" s="137">
        <v>2017</v>
      </c>
      <c r="O11" s="137">
        <v>2018</v>
      </c>
      <c r="P11" s="137">
        <v>2019</v>
      </c>
      <c r="Q11" s="137">
        <v>2020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76" t="s">
        <v>372</v>
      </c>
      <c r="K12" s="3">
        <f>B32</f>
        <v>1764492.7119882156</v>
      </c>
      <c r="L12" s="3">
        <f t="shared" ref="L12:Q12" si="7">C32</f>
        <v>4976839.5294047901</v>
      </c>
      <c r="M12" s="3">
        <f t="shared" si="7"/>
        <v>7405195.6066283202</v>
      </c>
      <c r="N12" s="3">
        <f t="shared" si="7"/>
        <v>7213155.0474715512</v>
      </c>
      <c r="O12" s="3">
        <f t="shared" si="7"/>
        <v>4128018.3381043714</v>
      </c>
      <c r="P12" s="3">
        <f t="shared" si="7"/>
        <v>7919200</v>
      </c>
      <c r="Q12" s="3">
        <f t="shared" si="7"/>
        <v>-17983496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45">
      <c r="A13" s="1"/>
      <c r="B13" s="1"/>
      <c r="C13" s="1"/>
      <c r="D13" s="1"/>
      <c r="E13" s="1"/>
      <c r="F13" s="1"/>
      <c r="G13" s="1"/>
      <c r="H13" s="1"/>
      <c r="I13" s="1"/>
      <c r="J13" s="1" t="s">
        <v>373</v>
      </c>
      <c r="K13" s="3">
        <f>B33</f>
        <v>5648083</v>
      </c>
      <c r="L13" s="3">
        <f t="shared" ref="L13:Q13" si="8">C33</f>
        <v>6909117</v>
      </c>
      <c r="M13" s="3">
        <f t="shared" si="8"/>
        <v>8555546</v>
      </c>
      <c r="N13" s="3">
        <f t="shared" si="8"/>
        <v>12111505</v>
      </c>
      <c r="O13" s="3">
        <f t="shared" si="8"/>
        <v>14950500</v>
      </c>
      <c r="P13" s="3">
        <f t="shared" si="8"/>
        <v>19436600</v>
      </c>
      <c r="Q13" s="3">
        <f t="shared" si="8"/>
        <v>13911500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45">
      <c r="A14" s="1"/>
      <c r="B14" s="1"/>
      <c r="C14" s="1"/>
      <c r="D14" s="1"/>
      <c r="E14" s="1"/>
      <c r="F14" s="1"/>
      <c r="G14" s="1"/>
      <c r="H14" s="1"/>
      <c r="I14" s="1"/>
      <c r="J14" s="144" t="s">
        <v>363</v>
      </c>
      <c r="K14" s="80">
        <f>K12/K13</f>
        <v>0.31240559177126392</v>
      </c>
      <c r="L14" s="80">
        <f t="shared" ref="L14:Q14" si="9">L12/L13</f>
        <v>0.72032931695972002</v>
      </c>
      <c r="M14" s="80">
        <f t="shared" si="9"/>
        <v>0.8655433103425918</v>
      </c>
      <c r="N14" s="80">
        <f t="shared" si="9"/>
        <v>0.59556223999177238</v>
      </c>
      <c r="O14" s="80">
        <f t="shared" si="9"/>
        <v>0.27611239343863891</v>
      </c>
      <c r="P14" s="80">
        <f t="shared" si="9"/>
        <v>0.40743751479168167</v>
      </c>
      <c r="Q14" s="80">
        <f t="shared" si="9"/>
        <v>-1.2927071847033029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45">
      <c r="A19" s="184" t="s">
        <v>374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45">
      <c r="A20" s="78" t="s">
        <v>362</v>
      </c>
      <c r="B20" s="78"/>
      <c r="C20" s="78"/>
      <c r="D20" s="78"/>
      <c r="E20" s="78"/>
      <c r="F20" s="78"/>
      <c r="G20" s="78"/>
      <c r="H20" s="7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45">
      <c r="A21" s="137"/>
      <c r="B21" s="137">
        <v>2014</v>
      </c>
      <c r="C21" s="137">
        <v>2015</v>
      </c>
      <c r="D21" s="137">
        <v>2016</v>
      </c>
      <c r="E21" s="137">
        <v>2017</v>
      </c>
      <c r="F21" s="137">
        <v>2018</v>
      </c>
      <c r="G21" s="137">
        <v>2019</v>
      </c>
      <c r="H21" s="137">
        <v>2020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5">
      <c r="A22" s="1" t="s">
        <v>375</v>
      </c>
      <c r="B22" s="3">
        <f>'Balance sheet'!B192-('Balance sheet'!K193)</f>
        <v>4267512</v>
      </c>
      <c r="C22" s="3">
        <f>'Balance sheet'!C192-('Balance sheet'!L193)</f>
        <v>5109017</v>
      </c>
      <c r="D22" s="3">
        <f>'Balance sheet'!D192-('Balance sheet'!M193)</f>
        <v>5793336</v>
      </c>
      <c r="E22" s="3">
        <f>'Balance sheet'!E192-('Balance sheet'!N193)</f>
        <v>9194944</v>
      </c>
      <c r="F22" s="3">
        <f>'Balance sheet'!F192-('Balance sheet'!O193)</f>
        <v>11776600</v>
      </c>
      <c r="G22" s="3">
        <f>'Balance sheet'!G192-('Balance sheet'!P193)</f>
        <v>14608700</v>
      </c>
      <c r="H22" s="3">
        <f>'Balance sheet'!H192-('Balance sheet'!Q193)</f>
        <v>37686900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45">
      <c r="A23" s="1" t="s">
        <v>376</v>
      </c>
      <c r="B23" s="3">
        <f>-'Balance sheet'!B198</f>
        <v>5648083</v>
      </c>
      <c r="C23" s="3">
        <f>-'Balance sheet'!C198</f>
        <v>6909117</v>
      </c>
      <c r="D23" s="3">
        <f>-'Balance sheet'!D198</f>
        <v>8555546</v>
      </c>
      <c r="E23" s="3">
        <f>-'Balance sheet'!E198</f>
        <v>12111505</v>
      </c>
      <c r="F23" s="3">
        <f>-'Balance sheet'!F198</f>
        <v>14950500</v>
      </c>
      <c r="G23" s="3">
        <f>-'Balance sheet'!G198</f>
        <v>19436600</v>
      </c>
      <c r="H23" s="3">
        <f>-'Balance sheet'!H198</f>
        <v>13911500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45">
      <c r="A24" s="138" t="s">
        <v>377</v>
      </c>
      <c r="B24" s="185">
        <f t="shared" ref="B24:H24" si="10">B22/B23</f>
        <v>0.75556821668520102</v>
      </c>
      <c r="C24" s="185">
        <f t="shared" si="10"/>
        <v>0.73946019440689748</v>
      </c>
      <c r="D24" s="185">
        <f t="shared" si="10"/>
        <v>0.67714392512178645</v>
      </c>
      <c r="E24" s="185">
        <f t="shared" si="10"/>
        <v>0.75919086851716611</v>
      </c>
      <c r="F24" s="185">
        <f t="shared" si="10"/>
        <v>0.78770609678606063</v>
      </c>
      <c r="G24" s="185">
        <f t="shared" si="10"/>
        <v>0.7516077914861653</v>
      </c>
      <c r="H24" s="185">
        <f t="shared" si="10"/>
        <v>2.7090464723430254</v>
      </c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5">
      <c r="A26" s="154"/>
      <c r="B26" s="250" t="s">
        <v>371</v>
      </c>
      <c r="C26" s="249"/>
      <c r="D26" s="249"/>
      <c r="E26" s="249"/>
      <c r="F26" s="249"/>
      <c r="G26" s="249"/>
      <c r="H26" s="24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5">
      <c r="A27" s="137"/>
      <c r="B27" s="137">
        <v>2014</v>
      </c>
      <c r="C27" s="137">
        <v>2015</v>
      </c>
      <c r="D27" s="137">
        <v>2016</v>
      </c>
      <c r="E27" s="137">
        <v>2017</v>
      </c>
      <c r="F27" s="137">
        <v>2018</v>
      </c>
      <c r="G27" s="137">
        <v>2019</v>
      </c>
      <c r="H27" s="137">
        <v>2020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5">
      <c r="A28" s="1" t="s">
        <v>378</v>
      </c>
      <c r="B28" s="3">
        <f>'Cash flow analysis'!B3</f>
        <v>-977938.03611628595</v>
      </c>
      <c r="C28" s="3">
        <f>'Cash flow analysis'!C3</f>
        <v>-147028.43135369197</v>
      </c>
      <c r="D28" s="3">
        <f>'Cash flow analysis'!D3</f>
        <v>-133523.81988496054</v>
      </c>
      <c r="E28" s="3">
        <f>'Cash flow analysis'!E3</f>
        <v>-1765920.8169932459</v>
      </c>
      <c r="F28" s="3">
        <f>'Cash flow analysis'!F3</f>
        <v>-2840173.9145233301</v>
      </c>
      <c r="G28" s="3">
        <f>'Cash flow analysis'!G3</f>
        <v>364300</v>
      </c>
      <c r="H28" s="3">
        <f>'Cash flow analysis'!H3</f>
        <v>-11505896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5">
      <c r="A29" s="24" t="s">
        <v>379</v>
      </c>
      <c r="B29" s="3">
        <f>'Cash flow analysis'!B4</f>
        <v>2742430.7481045015</v>
      </c>
      <c r="C29" s="3">
        <f>'Cash flow analysis'!C4</f>
        <v>4261317.9607584821</v>
      </c>
      <c r="D29" s="3">
        <f>'Cash flow analysis'!D4</f>
        <v>6353876.4265132807</v>
      </c>
      <c r="E29" s="3">
        <f>'Cash flow analysis'!E4</f>
        <v>6766134.8644647971</v>
      </c>
      <c r="F29" s="3">
        <f>'Cash flow analysis'!F4</f>
        <v>6589636.2526277015</v>
      </c>
      <c r="G29" s="3">
        <f>'Cash flow analysis'!G4</f>
        <v>6457500</v>
      </c>
      <c r="H29" s="3">
        <f>'Cash flow analysis'!H4</f>
        <v>6197500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5">
      <c r="A30" s="24" t="s">
        <v>380</v>
      </c>
      <c r="B30" s="3">
        <f>'Cash flow analysis'!B5</f>
        <v>0</v>
      </c>
      <c r="C30" s="3">
        <f>'Cash flow analysis'!C5</f>
        <v>862550</v>
      </c>
      <c r="D30" s="3">
        <f>'Cash flow analysis'!D5</f>
        <v>1184843</v>
      </c>
      <c r="E30" s="3">
        <f>'Cash flow analysis'!E5</f>
        <v>2212941</v>
      </c>
      <c r="F30" s="3">
        <f>'Cash flow analysis'!F5</f>
        <v>378556</v>
      </c>
      <c r="G30" s="3">
        <f>'Cash flow analysis'!G5</f>
        <v>1097400</v>
      </c>
      <c r="H30" s="3">
        <f>'Cash flow analysis'!H5</f>
        <v>140600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5">
      <c r="A31" s="24" t="s">
        <v>381</v>
      </c>
      <c r="B31" s="3">
        <f>'Cash flow analysis'!B13</f>
        <v>0</v>
      </c>
      <c r="C31" s="3">
        <f>'Cash flow analysis'!C13</f>
        <v>0</v>
      </c>
      <c r="D31" s="3">
        <f>'Cash flow analysis'!D13</f>
        <v>0</v>
      </c>
      <c r="E31" s="3">
        <f>'Cash flow analysis'!E13</f>
        <v>0</v>
      </c>
      <c r="F31" s="3">
        <f>'Cash flow analysis'!F13</f>
        <v>0</v>
      </c>
      <c r="G31" s="3">
        <f>'Cash flow analysis'!G13</f>
        <v>0</v>
      </c>
      <c r="H31" s="3">
        <f>'Cash flow analysis'!H13</f>
        <v>-12815700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5">
      <c r="A32" s="176" t="s">
        <v>372</v>
      </c>
      <c r="B32" s="186">
        <f t="shared" ref="B32:H32" si="11">SUM(B28:B31)</f>
        <v>1764492.7119882156</v>
      </c>
      <c r="C32" s="186">
        <f t="shared" si="11"/>
        <v>4976839.5294047901</v>
      </c>
      <c r="D32" s="186">
        <f t="shared" si="11"/>
        <v>7405195.6066283202</v>
      </c>
      <c r="E32" s="186">
        <f t="shared" si="11"/>
        <v>7213155.0474715512</v>
      </c>
      <c r="F32" s="186">
        <f t="shared" si="11"/>
        <v>4128018.3381043714</v>
      </c>
      <c r="G32" s="186">
        <f t="shared" si="11"/>
        <v>7919200</v>
      </c>
      <c r="H32" s="186">
        <f t="shared" si="11"/>
        <v>-17983496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5">
      <c r="A33" s="1" t="s">
        <v>373</v>
      </c>
      <c r="B33" s="3">
        <f>-'Balance sheet'!B198</f>
        <v>5648083</v>
      </c>
      <c r="C33" s="3">
        <f>-'Balance sheet'!C198</f>
        <v>6909117</v>
      </c>
      <c r="D33" s="3">
        <f>-'Balance sheet'!D198</f>
        <v>8555546</v>
      </c>
      <c r="E33" s="3">
        <f>-'Balance sheet'!E198</f>
        <v>12111505</v>
      </c>
      <c r="F33" s="3">
        <f>-'Balance sheet'!F198</f>
        <v>14950500</v>
      </c>
      <c r="G33" s="3">
        <f>-'Balance sheet'!G198</f>
        <v>19436600</v>
      </c>
      <c r="H33" s="3">
        <f>-'Balance sheet'!H198</f>
        <v>13911500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5">
      <c r="A34" s="144" t="s">
        <v>363</v>
      </c>
      <c r="B34" s="139">
        <f t="shared" ref="B34:H34" si="12">B32/B33</f>
        <v>0.31240559177126392</v>
      </c>
      <c r="C34" s="139">
        <f t="shared" si="12"/>
        <v>0.72032931695972002</v>
      </c>
      <c r="D34" s="139">
        <f t="shared" si="12"/>
        <v>0.8655433103425918</v>
      </c>
      <c r="E34" s="139">
        <f t="shared" si="12"/>
        <v>0.59556223999177238</v>
      </c>
      <c r="F34" s="139">
        <f t="shared" si="12"/>
        <v>0.27611239343863891</v>
      </c>
      <c r="G34" s="139">
        <f t="shared" si="12"/>
        <v>0.40743751479168167</v>
      </c>
      <c r="H34" s="139">
        <f t="shared" si="12"/>
        <v>-1.2927071847033029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5">
      <c r="A36" s="250" t="s">
        <v>364</v>
      </c>
      <c r="B36" s="250"/>
      <c r="C36" s="250"/>
      <c r="D36" s="250"/>
      <c r="E36" s="250"/>
      <c r="F36" s="250"/>
      <c r="G36" s="250"/>
      <c r="H36" s="250"/>
      <c r="I36" s="1"/>
      <c r="J36" s="1"/>
      <c r="K36" s="1"/>
      <c r="L36" s="1"/>
      <c r="M36" s="1"/>
      <c r="N36" s="1"/>
      <c r="O36" s="1"/>
      <c r="P36" s="1"/>
      <c r="Q36" s="1"/>
      <c r="R36" s="1"/>
      <c r="S36" s="131"/>
      <c r="T36" s="131"/>
      <c r="U36" s="131"/>
      <c r="V36" s="131"/>
      <c r="W36" s="131"/>
      <c r="X36" s="131"/>
      <c r="Y36" s="131"/>
      <c r="Z36" s="131"/>
    </row>
    <row r="37" spans="1:26" ht="15.75" customHeight="1" x14ac:dyDescent="0.45">
      <c r="A37" s="137"/>
      <c r="B37" s="137">
        <v>2014</v>
      </c>
      <c r="C37" s="137">
        <v>2015</v>
      </c>
      <c r="D37" s="137">
        <v>2016</v>
      </c>
      <c r="E37" s="137">
        <v>2017</v>
      </c>
      <c r="F37" s="137">
        <v>2018</v>
      </c>
      <c r="G37" s="137">
        <v>2019</v>
      </c>
      <c r="H37" s="137">
        <v>2020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31"/>
      <c r="T37" s="131"/>
      <c r="U37" s="131"/>
      <c r="V37" s="131"/>
      <c r="W37" s="131"/>
      <c r="X37" s="131"/>
      <c r="Y37" s="131"/>
      <c r="Z37" s="131"/>
    </row>
    <row r="38" spans="1:26" ht="15.75" customHeight="1" x14ac:dyDescent="0.45">
      <c r="A38" s="1" t="s">
        <v>382</v>
      </c>
      <c r="B38" s="3"/>
      <c r="C38" s="3">
        <f>'Income statement'!U6</f>
        <v>21781051</v>
      </c>
      <c r="D38" s="3">
        <f>'Income statement'!V6</f>
        <v>25024573</v>
      </c>
      <c r="E38" s="3">
        <f>'Income statement'!W6</f>
        <v>29541602</v>
      </c>
      <c r="F38" s="3">
        <f>'Income statement'!X6</f>
        <v>39570000</v>
      </c>
      <c r="G38" s="3">
        <f>'Income statement'!Y6</f>
        <v>42622900</v>
      </c>
      <c r="H38" s="3">
        <f>'Income statement'!Z6</f>
        <v>7990400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31"/>
      <c r="T38" s="131"/>
      <c r="U38" s="131"/>
      <c r="V38" s="131"/>
      <c r="W38" s="131"/>
      <c r="X38" s="131"/>
      <c r="Y38" s="131"/>
      <c r="Z38" s="131"/>
    </row>
    <row r="39" spans="1:26" ht="15.75" customHeight="1" x14ac:dyDescent="0.45">
      <c r="A39" s="1" t="s">
        <v>383</v>
      </c>
      <c r="B39" s="3"/>
      <c r="C39" s="3">
        <f>(('Balance sheet'!B25-'Balance sheet'!K28)+('Balance sheet'!C25-'Balance sheet'!L28))/2</f>
        <v>-5396963.5</v>
      </c>
      <c r="D39" s="3">
        <f>(('Balance sheet'!C25-'Balance sheet'!L28)+('Balance sheet'!D25-'Balance sheet'!M28))/2</f>
        <v>-6620670</v>
      </c>
      <c r="E39" s="3">
        <f>(('Balance sheet'!D25-'Balance sheet'!M28)+('Balance sheet'!E25-'Balance sheet'!N28))/2</f>
        <v>-7410097.5</v>
      </c>
      <c r="F39" s="3">
        <f>(('Balance sheet'!E25-'Balance sheet'!N28)+('Balance sheet'!F25-'Balance sheet'!O28))/2</f>
        <v>-11522633</v>
      </c>
      <c r="G39" s="3">
        <f>(('Balance sheet'!F25-'Balance sheet'!O28)+('Balance sheet'!G25-'Balance sheet'!P28))/2</f>
        <v>-12629950</v>
      </c>
      <c r="H39" s="3">
        <f>(('Balance sheet'!G25-'Balance sheet'!P28)+('Balance sheet'!H25-'Balance sheet'!Q28))/2</f>
        <v>-12614500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31"/>
      <c r="T39" s="131"/>
      <c r="U39" s="131"/>
      <c r="V39" s="131"/>
      <c r="W39" s="131"/>
      <c r="X39" s="131"/>
      <c r="Y39" s="131"/>
      <c r="Z39" s="131"/>
    </row>
    <row r="40" spans="1:26" ht="15.75" customHeight="1" x14ac:dyDescent="0.45">
      <c r="A40" s="138" t="s">
        <v>384</v>
      </c>
      <c r="B40" s="139"/>
      <c r="C40" s="139">
        <f t="shared" ref="C40:H40" si="13">C38/C39</f>
        <v>-4.0357973516033603</v>
      </c>
      <c r="D40" s="139">
        <f t="shared" si="13"/>
        <v>-3.779764434717332</v>
      </c>
      <c r="E40" s="139">
        <f t="shared" si="13"/>
        <v>-3.9866684615148453</v>
      </c>
      <c r="F40" s="139">
        <f t="shared" si="13"/>
        <v>-3.4341109362764568</v>
      </c>
      <c r="G40" s="139">
        <f t="shared" si="13"/>
        <v>-3.3747481185594559</v>
      </c>
      <c r="H40" s="139">
        <f t="shared" si="13"/>
        <v>-0.63342978318601606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31"/>
      <c r="T40" s="131"/>
      <c r="U40" s="131"/>
      <c r="V40" s="131"/>
      <c r="W40" s="131"/>
      <c r="X40" s="131"/>
      <c r="Y40" s="131"/>
      <c r="Z40" s="131"/>
    </row>
    <row r="41" spans="1:26" ht="15.7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5">
      <c r="A44" s="184" t="s">
        <v>385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5">
      <c r="A45" s="154"/>
      <c r="B45" s="250" t="s">
        <v>361</v>
      </c>
      <c r="C45" s="249"/>
      <c r="D45" s="249"/>
      <c r="E45" s="249"/>
      <c r="F45" s="249"/>
      <c r="G45" s="249"/>
      <c r="H45" s="24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5">
      <c r="A46" s="137"/>
      <c r="B46" s="137">
        <v>2014</v>
      </c>
      <c r="C46" s="137">
        <v>2015</v>
      </c>
      <c r="D46" s="137">
        <v>2016</v>
      </c>
      <c r="E46" s="137">
        <v>2017</v>
      </c>
      <c r="F46" s="137">
        <v>2018</v>
      </c>
      <c r="G46" s="137">
        <v>2019</v>
      </c>
      <c r="H46" s="137">
        <v>2020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5">
      <c r="A47" s="1" t="s">
        <v>386</v>
      </c>
      <c r="B47" s="3">
        <f>-'Balance sheet'!B187+'Balance sheet'!K185-'Balance sheet'!B198</f>
        <v>35327346.801304258</v>
      </c>
      <c r="C47" s="3">
        <f>-'Balance sheet'!C187+'Balance sheet'!L185-'Balance sheet'!C198</f>
        <v>62170479.481256105</v>
      </c>
      <c r="D47" s="3">
        <f>-'Balance sheet'!D187+'Balance sheet'!M185-'Balance sheet'!D198</f>
        <v>62409017.830757082</v>
      </c>
      <c r="E47" s="3">
        <f>-'Balance sheet'!E187+'Balance sheet'!N185-'Balance sheet'!E198</f>
        <v>71446547.586169243</v>
      </c>
      <c r="F47" s="3">
        <f>-'Balance sheet'!F187+'Balance sheet'!O185-'Balance sheet'!F198</f>
        <v>87027887.479493856</v>
      </c>
      <c r="G47" s="3">
        <f>-'Balance sheet'!G187+'Balance sheet'!P185-'Balance sheet'!G198</f>
        <v>81217900</v>
      </c>
      <c r="H47" s="3">
        <f>-'Balance sheet'!H187+'Balance sheet'!Q185-'Balance sheet'!H198</f>
        <v>56177800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5">
      <c r="A48" s="1" t="s">
        <v>328</v>
      </c>
      <c r="B48" s="3">
        <f>'Balance sheet'!K214</f>
        <v>1522993.9802606946</v>
      </c>
      <c r="C48" s="3">
        <f>'Balance sheet'!L214</f>
        <v>1444234.9536580117</v>
      </c>
      <c r="D48" s="3">
        <f>'Balance sheet'!M214</f>
        <v>1254005.5815695478</v>
      </c>
      <c r="E48" s="3">
        <f>'Balance sheet'!N214</f>
        <v>363917.01855007932</v>
      </c>
      <c r="F48" s="3">
        <f>'Balance sheet'!O214</f>
        <v>68526.390438548289</v>
      </c>
      <c r="G48" s="3">
        <f>'Balance sheet'!P214</f>
        <v>4124900</v>
      </c>
      <c r="H48" s="153">
        <f>'Balance sheet'!Q214</f>
        <v>-6623800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5">
      <c r="A49" s="138" t="s">
        <v>387</v>
      </c>
      <c r="B49" s="185">
        <f t="shared" ref="B49:H49" si="14">B47/B48</f>
        <v>23.195985840506861</v>
      </c>
      <c r="C49" s="185">
        <f t="shared" si="14"/>
        <v>43.047344425357117</v>
      </c>
      <c r="D49" s="185">
        <f t="shared" si="14"/>
        <v>49.767735286029783</v>
      </c>
      <c r="E49" s="185">
        <f t="shared" si="14"/>
        <v>196.32648088519483</v>
      </c>
      <c r="F49" s="185">
        <f t="shared" si="14"/>
        <v>1269.9908301391852</v>
      </c>
      <c r="G49" s="185">
        <f t="shared" si="14"/>
        <v>19.689665204004946</v>
      </c>
      <c r="H49" s="185">
        <f t="shared" si="14"/>
        <v>-8.4812041426371572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154"/>
      <c r="B52" s="250" t="s">
        <v>388</v>
      </c>
      <c r="C52" s="249"/>
      <c r="D52" s="249"/>
      <c r="E52" s="249"/>
      <c r="F52" s="249"/>
      <c r="G52" s="249"/>
      <c r="H52" s="24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137"/>
      <c r="B53" s="137">
        <v>2014</v>
      </c>
      <c r="C53" s="137">
        <v>2015</v>
      </c>
      <c r="D53" s="137">
        <v>2016</v>
      </c>
      <c r="E53" s="137">
        <v>2017</v>
      </c>
      <c r="F53" s="137">
        <v>2018</v>
      </c>
      <c r="G53" s="137">
        <v>2019</v>
      </c>
      <c r="H53" s="137">
        <v>2020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1" t="s">
        <v>328</v>
      </c>
      <c r="B54" s="3">
        <f t="shared" ref="B54:H54" si="15">B48</f>
        <v>1522993.9802606946</v>
      </c>
      <c r="C54" s="3">
        <f t="shared" si="15"/>
        <v>1444234.9536580117</v>
      </c>
      <c r="D54" s="3">
        <f t="shared" si="15"/>
        <v>1254005.5815695478</v>
      </c>
      <c r="E54" s="3">
        <f t="shared" si="15"/>
        <v>363917.01855007932</v>
      </c>
      <c r="F54" s="3">
        <f t="shared" si="15"/>
        <v>68526.390438548289</v>
      </c>
      <c r="G54" s="3">
        <f t="shared" si="15"/>
        <v>4124900</v>
      </c>
      <c r="H54" s="187">
        <f t="shared" si="15"/>
        <v>-6623800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1" t="s">
        <v>386</v>
      </c>
      <c r="B55" s="3">
        <f t="shared" ref="B55:H55" si="16">B47</f>
        <v>35327346.801304258</v>
      </c>
      <c r="C55" s="3">
        <f t="shared" si="16"/>
        <v>62170479.481256105</v>
      </c>
      <c r="D55" s="3">
        <f t="shared" si="16"/>
        <v>62409017.830757082</v>
      </c>
      <c r="E55" s="3">
        <f t="shared" si="16"/>
        <v>71446547.586169243</v>
      </c>
      <c r="F55" s="3">
        <f t="shared" si="16"/>
        <v>87027887.479493856</v>
      </c>
      <c r="G55" s="3">
        <f t="shared" si="16"/>
        <v>81217900</v>
      </c>
      <c r="H55" s="3">
        <f t="shared" si="16"/>
        <v>56177800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5">
      <c r="A56" s="138" t="s">
        <v>389</v>
      </c>
      <c r="B56" s="185">
        <f t="shared" ref="B56:H56" si="17">B54/B55</f>
        <v>4.3110907502526254E-2</v>
      </c>
      <c r="C56" s="185">
        <f t="shared" si="17"/>
        <v>2.323023669285737E-2</v>
      </c>
      <c r="D56" s="185">
        <f t="shared" si="17"/>
        <v>2.0093339474916962E-2</v>
      </c>
      <c r="E56" s="185">
        <f t="shared" si="17"/>
        <v>5.0935563836890987E-3</v>
      </c>
      <c r="F56" s="185">
        <f t="shared" si="17"/>
        <v>7.8740726016927594E-4</v>
      </c>
      <c r="G56" s="185">
        <f t="shared" si="17"/>
        <v>5.0788065192525295E-2</v>
      </c>
      <c r="H56" s="185">
        <f t="shared" si="17"/>
        <v>-0.11790778563774303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154"/>
      <c r="B58" s="250" t="s">
        <v>390</v>
      </c>
      <c r="C58" s="249"/>
      <c r="D58" s="249"/>
      <c r="E58" s="249"/>
      <c r="F58" s="249"/>
      <c r="G58" s="249"/>
      <c r="H58" s="24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37"/>
      <c r="B59" s="137">
        <v>2014</v>
      </c>
      <c r="C59" s="137">
        <v>2015</v>
      </c>
      <c r="D59" s="137">
        <v>2016</v>
      </c>
      <c r="E59" s="137">
        <v>2017</v>
      </c>
      <c r="F59" s="137">
        <v>2018</v>
      </c>
      <c r="G59" s="137">
        <v>2019</v>
      </c>
      <c r="H59" s="137">
        <v>2020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 t="s">
        <v>391</v>
      </c>
      <c r="B60" s="3">
        <f>'Income statement'!T25</f>
        <v>-1501259.7481045013</v>
      </c>
      <c r="C60" s="3">
        <f>'Income statement'!U25</f>
        <v>-463564.96075848211</v>
      </c>
      <c r="D60" s="3">
        <f>'Income statement'!V25</f>
        <v>-183005.42651328072</v>
      </c>
      <c r="E60" s="3">
        <f>'Income statement'!W25</f>
        <v>-2525642.8644647971</v>
      </c>
      <c r="F60" s="3">
        <f>'Income statement'!X25</f>
        <v>-4290136.2526277015</v>
      </c>
      <c r="G60" s="3">
        <f>'Income statement'!Y25</f>
        <v>842400</v>
      </c>
      <c r="H60" s="3">
        <f>'Income statement'!Z25</f>
        <v>-10960600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 t="s">
        <v>392</v>
      </c>
      <c r="B61" s="3">
        <f>-'Income statement'!T34</f>
        <v>927508.19674386224</v>
      </c>
      <c r="C61" s="3">
        <f>-'Income statement'!U34</f>
        <v>1545065.226011365</v>
      </c>
      <c r="D61" s="3">
        <f>-'Income statement'!V34</f>
        <v>2035288.7980606556</v>
      </c>
      <c r="E61" s="3">
        <f>-'Income statement'!W34</f>
        <v>2318781.7953377301</v>
      </c>
      <c r="F61" s="3">
        <f>-'Income statement'!X34</f>
        <v>324804.79875080753</v>
      </c>
      <c r="G61" s="3">
        <f>-'Income statement'!Y34</f>
        <v>2530000</v>
      </c>
      <c r="H61" s="3">
        <f>-'Income statement'!Z34</f>
        <v>-1643200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38" t="s">
        <v>393</v>
      </c>
      <c r="B62" s="139">
        <f t="shared" ref="B62:H62" si="18">B60/B61</f>
        <v>-1.6185945885706112</v>
      </c>
      <c r="C62" s="139">
        <f t="shared" si="18"/>
        <v>-0.3000293793131244</v>
      </c>
      <c r="D62" s="139">
        <f t="shared" si="18"/>
        <v>-8.9916196014864919E-2</v>
      </c>
      <c r="E62" s="139">
        <f t="shared" si="18"/>
        <v>-1.0892110976302269</v>
      </c>
      <c r="F62" s="139">
        <f t="shared" si="18"/>
        <v>-13.208352429297461</v>
      </c>
      <c r="G62" s="139">
        <f t="shared" si="18"/>
        <v>0.33296442687747035</v>
      </c>
      <c r="H62" s="139">
        <f t="shared" si="18"/>
        <v>6.6702775073028233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54"/>
      <c r="B65" s="250" t="s">
        <v>394</v>
      </c>
      <c r="C65" s="249"/>
      <c r="D65" s="249"/>
      <c r="E65" s="249"/>
      <c r="F65" s="249"/>
      <c r="G65" s="249"/>
      <c r="H65" s="249"/>
      <c r="I65" s="8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37"/>
      <c r="B66" s="137">
        <v>2014</v>
      </c>
      <c r="C66" s="137">
        <v>2015</v>
      </c>
      <c r="D66" s="137">
        <v>2016</v>
      </c>
      <c r="E66" s="137">
        <v>2017</v>
      </c>
      <c r="F66" s="137">
        <v>2018</v>
      </c>
      <c r="G66" s="137">
        <v>2019</v>
      </c>
      <c r="H66" s="137">
        <v>2020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 t="s">
        <v>395</v>
      </c>
      <c r="B67" s="3">
        <f t="shared" ref="B67:H67" si="19">B47</f>
        <v>35327346.801304258</v>
      </c>
      <c r="C67" s="3">
        <f t="shared" si="19"/>
        <v>62170479.481256105</v>
      </c>
      <c r="D67" s="3">
        <f t="shared" si="19"/>
        <v>62409017.830757082</v>
      </c>
      <c r="E67" s="3">
        <f t="shared" si="19"/>
        <v>71446547.586169243</v>
      </c>
      <c r="F67" s="3">
        <f t="shared" si="19"/>
        <v>87027887.479493856</v>
      </c>
      <c r="G67" s="3">
        <f t="shared" si="19"/>
        <v>81217900</v>
      </c>
      <c r="H67" s="3">
        <f t="shared" si="19"/>
        <v>56177800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 t="s">
        <v>396</v>
      </c>
      <c r="B68" s="3">
        <f>'Balance sheet'!K213</f>
        <v>13370622.980260694</v>
      </c>
      <c r="C68" s="3">
        <f>'Balance sheet'!L213</f>
        <v>19409219.953658007</v>
      </c>
      <c r="D68" s="3">
        <f>'Balance sheet'!M213</f>
        <v>22076445.581569549</v>
      </c>
      <c r="E68" s="3">
        <f>'Balance sheet'!N213</f>
        <v>22090966.018550076</v>
      </c>
      <c r="F68" s="3">
        <f>'Balance sheet'!O213</f>
        <v>30591326.390438549</v>
      </c>
      <c r="G68" s="3">
        <f>'Balance sheet'!P213</f>
        <v>27105700</v>
      </c>
      <c r="H68" s="3">
        <f>'Balance sheet'!Q213</f>
        <v>146300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44" t="s">
        <v>397</v>
      </c>
      <c r="B69" s="185">
        <f t="shared" ref="B69:H69" si="20">B67/B68</f>
        <v>2.6421616145678994</v>
      </c>
      <c r="C69" s="185">
        <f t="shared" si="20"/>
        <v>3.2031415806351862</v>
      </c>
      <c r="D69" s="185">
        <f t="shared" si="20"/>
        <v>2.8269504526969258</v>
      </c>
      <c r="E69" s="185">
        <f t="shared" si="20"/>
        <v>3.2341975233756024</v>
      </c>
      <c r="F69" s="185">
        <f t="shared" si="20"/>
        <v>2.8448549882653928</v>
      </c>
      <c r="G69" s="185">
        <f t="shared" si="20"/>
        <v>2.9963402531570851</v>
      </c>
      <c r="H69" s="185">
        <f t="shared" si="20"/>
        <v>383.99043062200957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B52:H52"/>
    <mergeCell ref="B58:H58"/>
    <mergeCell ref="B65:H65"/>
    <mergeCell ref="C1:H1"/>
    <mergeCell ref="J1:Q1"/>
    <mergeCell ref="J3:Q3"/>
    <mergeCell ref="B26:H26"/>
    <mergeCell ref="B45:H45"/>
    <mergeCell ref="A36:H36"/>
    <mergeCell ref="K10:Q10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993"/>
  <sheetViews>
    <sheetView zoomScale="50" zoomScaleNormal="60" workbookViewId="0">
      <selection sqref="A1:L1"/>
    </sheetView>
  </sheetViews>
  <sheetFormatPr defaultColWidth="11.3125" defaultRowHeight="15" customHeight="1" x14ac:dyDescent="0.35"/>
  <cols>
    <col min="1" max="1" width="28.3125" customWidth="1"/>
    <col min="2" max="3" width="13.125" customWidth="1"/>
    <col min="4" max="4" width="13.3125" customWidth="1"/>
    <col min="5" max="5" width="13.125" customWidth="1"/>
    <col min="6" max="6" width="12.6875" customWidth="1"/>
    <col min="7" max="7" width="13" customWidth="1"/>
    <col min="8" max="8" width="13.125" bestFit="1" customWidth="1"/>
    <col min="9" max="12" width="12.125" bestFit="1" customWidth="1"/>
    <col min="13" max="13" width="13.875" customWidth="1"/>
    <col min="14" max="14" width="10.6875" customWidth="1"/>
    <col min="15" max="15" width="4.3125" customWidth="1"/>
    <col min="16" max="16" width="48.5625" customWidth="1"/>
    <col min="17" max="21" width="13.125" customWidth="1"/>
    <col min="22" max="22" width="12.6875" customWidth="1"/>
    <col min="23" max="23" width="13.3125" customWidth="1"/>
    <col min="24" max="24" width="16" customWidth="1"/>
    <col min="25" max="25" width="15" customWidth="1"/>
    <col min="26" max="26" width="12.125" bestFit="1" customWidth="1"/>
    <col min="27" max="28" width="15.5625" customWidth="1"/>
    <col min="29" max="29" width="13.875" bestFit="1" customWidth="1"/>
    <col min="30" max="30" width="16.6875" bestFit="1" customWidth="1"/>
  </cols>
  <sheetData>
    <row r="1" spans="1:30" ht="15.75" customHeight="1" x14ac:dyDescent="0.45">
      <c r="A1" s="260" t="s">
        <v>398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1"/>
      <c r="N1" s="1"/>
      <c r="O1" s="1"/>
      <c r="P1" s="260" t="s">
        <v>399</v>
      </c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1"/>
      <c r="AD1" s="1"/>
    </row>
    <row r="2" spans="1:30" ht="15.75" customHeight="1" x14ac:dyDescent="0.45">
      <c r="A2" s="188" t="s">
        <v>400</v>
      </c>
      <c r="B2" s="250" t="s">
        <v>401</v>
      </c>
      <c r="C2" s="249"/>
      <c r="D2" s="249"/>
      <c r="E2" s="249"/>
      <c r="F2" s="249"/>
      <c r="G2" s="189"/>
      <c r="H2" s="250" t="s">
        <v>402</v>
      </c>
      <c r="I2" s="249"/>
      <c r="J2" s="249"/>
      <c r="K2" s="249"/>
      <c r="L2" s="249"/>
      <c r="M2" s="1"/>
      <c r="N2" s="1"/>
      <c r="O2" s="1"/>
      <c r="P2" s="188" t="s">
        <v>400</v>
      </c>
      <c r="Q2" s="262" t="s">
        <v>401</v>
      </c>
      <c r="R2" s="249"/>
      <c r="S2" s="249"/>
      <c r="T2" s="249"/>
      <c r="U2" s="249"/>
      <c r="V2" s="249"/>
      <c r="W2" s="263"/>
      <c r="X2" s="262" t="s">
        <v>402</v>
      </c>
      <c r="Y2" s="249"/>
      <c r="Z2" s="249"/>
      <c r="AA2" s="249"/>
      <c r="AB2" s="249"/>
      <c r="AC2" s="1"/>
      <c r="AD2" s="1"/>
    </row>
    <row r="3" spans="1:30" ht="15.75" customHeight="1" x14ac:dyDescent="0.45">
      <c r="A3" s="190" t="s">
        <v>403</v>
      </c>
      <c r="B3" s="137">
        <v>2014</v>
      </c>
      <c r="C3" s="137">
        <v>2015</v>
      </c>
      <c r="D3" s="137">
        <v>2016</v>
      </c>
      <c r="E3" s="172">
        <v>2017</v>
      </c>
      <c r="F3" s="172">
        <v>2018</v>
      </c>
      <c r="G3" s="191">
        <v>2019</v>
      </c>
      <c r="H3" s="137">
        <v>2020</v>
      </c>
      <c r="I3" s="137">
        <v>2021</v>
      </c>
      <c r="J3" s="137">
        <v>2022</v>
      </c>
      <c r="K3" s="137">
        <v>2023</v>
      </c>
      <c r="L3" s="137">
        <v>2024</v>
      </c>
      <c r="M3" s="1"/>
      <c r="N3" s="1"/>
      <c r="O3" s="1"/>
      <c r="P3" s="190" t="s">
        <v>403</v>
      </c>
      <c r="Q3" s="137">
        <v>2014</v>
      </c>
      <c r="R3" s="137">
        <v>2015</v>
      </c>
      <c r="S3" s="137">
        <v>2016</v>
      </c>
      <c r="T3" s="137">
        <v>2017</v>
      </c>
      <c r="U3" s="172">
        <v>2018</v>
      </c>
      <c r="V3" s="172">
        <v>2019</v>
      </c>
      <c r="W3" s="191">
        <v>2020</v>
      </c>
      <c r="X3" s="137">
        <v>2021</v>
      </c>
      <c r="Y3" s="137">
        <v>2022</v>
      </c>
      <c r="Z3" s="137">
        <v>2023</v>
      </c>
      <c r="AA3" s="137">
        <v>2024</v>
      </c>
      <c r="AB3" s="137">
        <v>2025</v>
      </c>
      <c r="AC3" s="1"/>
      <c r="AD3" s="1"/>
    </row>
    <row r="4" spans="1:30" ht="15.75" customHeight="1" x14ac:dyDescent="0.45">
      <c r="A4" s="1" t="s">
        <v>3</v>
      </c>
      <c r="B4" s="3">
        <f>'Income statement'!T3</f>
        <v>16254622</v>
      </c>
      <c r="C4" s="3">
        <f>'Income statement'!U3</f>
        <v>18505762</v>
      </c>
      <c r="D4" s="3">
        <f>'Income statement'!V3</f>
        <v>21095595</v>
      </c>
      <c r="E4" s="3">
        <f>'Income statement'!W3</f>
        <v>24719086</v>
      </c>
      <c r="F4" s="3">
        <f>'Income statement'!X3</f>
        <v>32560100</v>
      </c>
      <c r="G4" s="3">
        <f>'Income statement'!Y3</f>
        <v>35216300</v>
      </c>
      <c r="H4" s="3"/>
      <c r="I4" s="3"/>
      <c r="J4" s="3"/>
      <c r="K4" s="3"/>
      <c r="L4" s="3"/>
      <c r="M4" s="1"/>
      <c r="N4" s="1"/>
      <c r="O4" s="1"/>
      <c r="P4" s="1" t="s">
        <v>3</v>
      </c>
      <c r="Q4" s="3">
        <f>'Income statement'!T3</f>
        <v>16254622</v>
      </c>
      <c r="R4" s="3">
        <f>'Income statement'!U3</f>
        <v>18505762</v>
      </c>
      <c r="S4" s="3">
        <f>'Income statement'!V3</f>
        <v>21095595</v>
      </c>
      <c r="T4" s="3">
        <f>'Income statement'!W3</f>
        <v>24719086</v>
      </c>
      <c r="U4" s="3">
        <f>'Income statement'!X3</f>
        <v>32560100</v>
      </c>
      <c r="V4" s="3">
        <f>'Income statement'!Y3</f>
        <v>35216300</v>
      </c>
      <c r="W4" s="3">
        <f>'Income statement'!Z3</f>
        <v>6455300</v>
      </c>
      <c r="X4" s="3"/>
      <c r="Y4" s="3"/>
      <c r="Z4" s="3"/>
      <c r="AA4" s="3"/>
      <c r="AB4" s="3"/>
      <c r="AC4" s="1"/>
      <c r="AD4" s="1"/>
    </row>
    <row r="5" spans="1:30" ht="15.75" customHeight="1" x14ac:dyDescent="0.45">
      <c r="A5" s="1" t="s">
        <v>4</v>
      </c>
      <c r="B5" s="3">
        <f>'Income statement'!T4</f>
        <v>2727439</v>
      </c>
      <c r="C5" s="3">
        <f>'Income statement'!U4</f>
        <v>3275289</v>
      </c>
      <c r="D5" s="3">
        <f>'Income statement'!V4</f>
        <v>3928978</v>
      </c>
      <c r="E5" s="3">
        <f>'Income statement'!W4</f>
        <v>4822516</v>
      </c>
      <c r="F5" s="3">
        <f>'Income statement'!X4</f>
        <v>6266600</v>
      </c>
      <c r="G5" s="3">
        <f>'Income statement'!Y4</f>
        <v>6651500</v>
      </c>
      <c r="H5" s="3"/>
      <c r="I5" s="3"/>
      <c r="J5" s="3"/>
      <c r="K5" s="3"/>
      <c r="L5" s="3"/>
      <c r="M5" s="1"/>
      <c r="N5" s="1"/>
      <c r="O5" s="1"/>
      <c r="P5" s="1" t="s">
        <v>4</v>
      </c>
      <c r="Q5" s="3">
        <f>'Income statement'!T4</f>
        <v>2727439</v>
      </c>
      <c r="R5" s="3">
        <f>'Income statement'!U4</f>
        <v>3275289</v>
      </c>
      <c r="S5" s="3">
        <f>'Income statement'!V4</f>
        <v>3928978</v>
      </c>
      <c r="T5" s="3">
        <f>'Income statement'!W4</f>
        <v>4822516</v>
      </c>
      <c r="U5" s="3">
        <f>'Income statement'!X4</f>
        <v>6266600</v>
      </c>
      <c r="V5" s="3">
        <f>'Income statement'!Y4</f>
        <v>6651500</v>
      </c>
      <c r="W5" s="3">
        <f>'Income statement'!Z4</f>
        <v>1535100</v>
      </c>
      <c r="X5" s="3"/>
      <c r="Y5" s="3"/>
      <c r="Z5" s="3"/>
      <c r="AA5" s="3"/>
      <c r="AB5" s="3"/>
      <c r="AC5" s="1"/>
      <c r="AD5" s="1"/>
    </row>
    <row r="6" spans="1:30" ht="15.75" customHeight="1" x14ac:dyDescent="0.45">
      <c r="A6" s="1" t="s">
        <v>5</v>
      </c>
      <c r="B6" s="3">
        <f>'Income statement'!T5</f>
        <v>0</v>
      </c>
      <c r="C6" s="3">
        <f>'Income statement'!U5</f>
        <v>0</v>
      </c>
      <c r="D6" s="3">
        <f>'Income statement'!V5</f>
        <v>0</v>
      </c>
      <c r="E6" s="3">
        <f>'Income statement'!W5</f>
        <v>0</v>
      </c>
      <c r="F6" s="3">
        <f>'Income statement'!X5</f>
        <v>743300</v>
      </c>
      <c r="G6" s="3">
        <f>'Income statement'!Y5</f>
        <v>755100</v>
      </c>
      <c r="H6" s="3"/>
      <c r="I6" s="3"/>
      <c r="J6" s="3"/>
      <c r="K6" s="3"/>
      <c r="L6" s="3"/>
      <c r="M6" s="1"/>
      <c r="N6" s="1"/>
      <c r="O6" s="1"/>
      <c r="P6" s="1" t="s">
        <v>5</v>
      </c>
      <c r="Q6" s="3">
        <f>'Income statement'!T5</f>
        <v>0</v>
      </c>
      <c r="R6" s="3">
        <f>'Income statement'!U5</f>
        <v>0</v>
      </c>
      <c r="S6" s="3">
        <f>'Income statement'!V5</f>
        <v>0</v>
      </c>
      <c r="T6" s="3">
        <f>'Income statement'!W5</f>
        <v>0</v>
      </c>
      <c r="U6" s="3">
        <f>'Income statement'!X5</f>
        <v>743300</v>
      </c>
      <c r="V6" s="3">
        <f>'Income statement'!Y5</f>
        <v>755100</v>
      </c>
      <c r="W6" s="3">
        <f>'Income statement'!Z5</f>
        <v>0</v>
      </c>
      <c r="X6" s="3"/>
      <c r="Y6" s="3"/>
      <c r="Z6" s="3"/>
      <c r="AA6" s="3"/>
      <c r="AB6" s="3"/>
      <c r="AC6" s="1"/>
      <c r="AD6" s="1"/>
    </row>
    <row r="7" spans="1:30" ht="15.75" customHeight="1" x14ac:dyDescent="0.45">
      <c r="A7" s="138" t="s">
        <v>7</v>
      </c>
      <c r="B7" s="186">
        <f t="shared" ref="B7:G7" si="0">SUM(B4:B6)</f>
        <v>18982061</v>
      </c>
      <c r="C7" s="186">
        <f t="shared" si="0"/>
        <v>21781051</v>
      </c>
      <c r="D7" s="186">
        <f t="shared" si="0"/>
        <v>25024573</v>
      </c>
      <c r="E7" s="186">
        <f t="shared" si="0"/>
        <v>29541602</v>
      </c>
      <c r="F7" s="186">
        <f t="shared" si="0"/>
        <v>39570000</v>
      </c>
      <c r="G7" s="186">
        <f t="shared" si="0"/>
        <v>42622900</v>
      </c>
      <c r="H7" s="186">
        <f t="shared" ref="H7:L7" si="1">G7*(1+H45)</f>
        <v>44327816</v>
      </c>
      <c r="I7" s="186">
        <f t="shared" si="1"/>
        <v>45657650.480000004</v>
      </c>
      <c r="J7" s="186">
        <f t="shared" si="1"/>
        <v>46570803.489600003</v>
      </c>
      <c r="K7" s="186">
        <f t="shared" si="1"/>
        <v>47502219.559392005</v>
      </c>
      <c r="L7" s="186">
        <f t="shared" si="1"/>
        <v>48214752.852782883</v>
      </c>
      <c r="M7" s="1"/>
      <c r="N7" s="1"/>
      <c r="O7" s="1"/>
      <c r="P7" s="138" t="s">
        <v>7</v>
      </c>
      <c r="Q7" s="186">
        <f t="shared" ref="Q7:W7" si="2">SUM(Q4:Q6)</f>
        <v>18982061</v>
      </c>
      <c r="R7" s="186">
        <f t="shared" si="2"/>
        <v>21781051</v>
      </c>
      <c r="S7" s="186">
        <f t="shared" si="2"/>
        <v>25024573</v>
      </c>
      <c r="T7" s="186">
        <f t="shared" si="2"/>
        <v>29541602</v>
      </c>
      <c r="U7" s="186">
        <f t="shared" si="2"/>
        <v>39570000</v>
      </c>
      <c r="V7" s="186">
        <f t="shared" si="2"/>
        <v>42622900</v>
      </c>
      <c r="W7" s="186">
        <f t="shared" si="2"/>
        <v>7990400</v>
      </c>
      <c r="X7" s="186">
        <f t="shared" ref="X7:AB7" si="3">W7*(1+X45)</f>
        <v>14382720</v>
      </c>
      <c r="Y7" s="186">
        <f t="shared" si="3"/>
        <v>24450624</v>
      </c>
      <c r="Z7" s="186">
        <f t="shared" si="3"/>
        <v>28607230.079999998</v>
      </c>
      <c r="AA7" s="186">
        <f t="shared" si="3"/>
        <v>30037591.583999999</v>
      </c>
      <c r="AB7" s="186">
        <f t="shared" si="3"/>
        <v>30638343.415679999</v>
      </c>
      <c r="AC7" s="186"/>
      <c r="AD7" s="1"/>
    </row>
    <row r="8" spans="1:30" ht="15.75" hidden="1" customHeight="1" x14ac:dyDescent="0.45">
      <c r="A8" s="1" t="s">
        <v>6</v>
      </c>
      <c r="B8" s="3">
        <f>'Income statement'!T7</f>
        <v>557978</v>
      </c>
      <c r="C8" s="3">
        <f>'Income statement'!U7</f>
        <v>702493</v>
      </c>
      <c r="D8" s="3">
        <f>'Income statement'!V7</f>
        <v>925981</v>
      </c>
      <c r="E8" s="3">
        <f>'Income statement'!W7</f>
        <v>1406661</v>
      </c>
      <c r="F8" s="3">
        <f>'Income statement'!X7</f>
        <v>695600</v>
      </c>
      <c r="G8" s="3">
        <f>'Income statement'!Y7</f>
        <v>899000</v>
      </c>
      <c r="H8" s="3"/>
      <c r="I8" s="3"/>
      <c r="J8" s="3"/>
      <c r="K8" s="3"/>
      <c r="L8" s="3"/>
      <c r="M8" s="1"/>
      <c r="N8" s="1"/>
      <c r="O8" s="1"/>
      <c r="P8" s="1" t="s">
        <v>6</v>
      </c>
      <c r="Q8" s="3">
        <f>'Income statement'!T7</f>
        <v>557978</v>
      </c>
      <c r="R8" s="3">
        <f>'Income statement'!U7</f>
        <v>702493</v>
      </c>
      <c r="S8" s="3">
        <f>'Income statement'!V7</f>
        <v>925981</v>
      </c>
      <c r="T8" s="3">
        <f>'Income statement'!W7</f>
        <v>1406661</v>
      </c>
      <c r="U8" s="3">
        <f>'Income statement'!X7</f>
        <v>695600</v>
      </c>
      <c r="V8" s="3">
        <f>'Income statement'!Y7</f>
        <v>899000</v>
      </c>
      <c r="W8" s="3">
        <f>'Income statement'!Z7</f>
        <v>1105300</v>
      </c>
      <c r="X8" s="3"/>
      <c r="Y8" s="3"/>
      <c r="Z8" s="3"/>
      <c r="AA8" s="3"/>
      <c r="AB8" s="3"/>
      <c r="AC8" s="1"/>
      <c r="AD8" s="1"/>
    </row>
    <row r="9" spans="1:30" ht="15.75" hidden="1" customHeight="1" x14ac:dyDescent="0.45">
      <c r="A9" s="1" t="s">
        <v>8</v>
      </c>
      <c r="B9" s="3">
        <f>'Income statement'!T8</f>
        <v>0</v>
      </c>
      <c r="C9" s="3">
        <f>'Income statement'!U8</f>
        <v>7603</v>
      </c>
      <c r="D9" s="3">
        <f>'Income statement'!V8</f>
        <v>0</v>
      </c>
      <c r="E9" s="3">
        <f>'Income statement'!W8</f>
        <v>0</v>
      </c>
      <c r="F9" s="3">
        <f>'Income statement'!X8</f>
        <v>0</v>
      </c>
      <c r="G9" s="3">
        <f>'Income statement'!Y8</f>
        <v>0</v>
      </c>
      <c r="H9" s="3"/>
      <c r="I9" s="3"/>
      <c r="J9" s="3"/>
      <c r="K9" s="3"/>
      <c r="L9" s="3"/>
      <c r="M9" s="1"/>
      <c r="N9" s="1"/>
      <c r="O9" s="1"/>
      <c r="P9" s="1" t="s">
        <v>8</v>
      </c>
      <c r="Q9" s="3">
        <f>'Income statement'!T8</f>
        <v>0</v>
      </c>
      <c r="R9" s="3">
        <f>'Income statement'!U8</f>
        <v>7603</v>
      </c>
      <c r="S9" s="3">
        <f>'Income statement'!V8</f>
        <v>0</v>
      </c>
      <c r="T9" s="3">
        <f>'Income statement'!W8</f>
        <v>0</v>
      </c>
      <c r="U9" s="3">
        <f>'Income statement'!X8</f>
        <v>0</v>
      </c>
      <c r="V9" s="3">
        <f>'Income statement'!Y8</f>
        <v>0</v>
      </c>
      <c r="W9" s="3">
        <f>'Income statement'!Z8</f>
        <v>0</v>
      </c>
      <c r="X9" s="3"/>
      <c r="Y9" s="3"/>
      <c r="Z9" s="3"/>
      <c r="AA9" s="3"/>
      <c r="AB9" s="3"/>
      <c r="AC9" s="1"/>
      <c r="AD9" s="1"/>
    </row>
    <row r="10" spans="1:30" ht="15.75" hidden="1" customHeight="1" x14ac:dyDescent="0.45">
      <c r="A10" s="1" t="s">
        <v>11</v>
      </c>
      <c r="B10" s="3">
        <f>'Income statement'!T9</f>
        <v>57631</v>
      </c>
      <c r="C10" s="3">
        <f>'Income statement'!U9</f>
        <v>103441</v>
      </c>
      <c r="D10" s="3">
        <f>'Income statement'!V9</f>
        <v>212801</v>
      </c>
      <c r="E10" s="3">
        <f>'Income statement'!W9</f>
        <v>291944</v>
      </c>
      <c r="F10" s="3">
        <f>'Income statement'!X9</f>
        <v>128500</v>
      </c>
      <c r="G10" s="3">
        <f>'Income statement'!Y9</f>
        <v>-13600</v>
      </c>
      <c r="H10" s="3"/>
      <c r="I10" s="3"/>
      <c r="J10" s="3"/>
      <c r="K10" s="3"/>
      <c r="L10" s="3"/>
      <c r="M10" s="1"/>
      <c r="N10" s="1"/>
      <c r="O10" s="1"/>
      <c r="P10" s="1" t="s">
        <v>11</v>
      </c>
      <c r="Q10" s="3">
        <f>'Income statement'!T9</f>
        <v>57631</v>
      </c>
      <c r="R10" s="3">
        <f>'Income statement'!U9</f>
        <v>103441</v>
      </c>
      <c r="S10" s="3">
        <f>'Income statement'!V9</f>
        <v>212801</v>
      </c>
      <c r="T10" s="3">
        <f>'Income statement'!W9</f>
        <v>291944</v>
      </c>
      <c r="U10" s="3">
        <f>'Income statement'!X9</f>
        <v>128500</v>
      </c>
      <c r="V10" s="3">
        <f>'Income statement'!Y9</f>
        <v>-13600</v>
      </c>
      <c r="W10" s="3">
        <f>'Income statement'!Z9</f>
        <v>-7800</v>
      </c>
      <c r="X10" s="3"/>
      <c r="Y10" s="3"/>
      <c r="Z10" s="3"/>
      <c r="AA10" s="3"/>
      <c r="AB10" s="3"/>
      <c r="AC10" s="1"/>
      <c r="AD10" s="1"/>
    </row>
    <row r="11" spans="1:30" ht="15.75" customHeight="1" x14ac:dyDescent="0.45">
      <c r="A11" s="140" t="s">
        <v>13</v>
      </c>
      <c r="B11" s="139">
        <f t="shared" ref="B11:G11" si="4">SUM(B7:B10)</f>
        <v>19597670</v>
      </c>
      <c r="C11" s="139">
        <f t="shared" si="4"/>
        <v>22594588</v>
      </c>
      <c r="D11" s="139">
        <f t="shared" si="4"/>
        <v>26163355</v>
      </c>
      <c r="E11" s="139">
        <f t="shared" si="4"/>
        <v>31240207</v>
      </c>
      <c r="F11" s="139">
        <f t="shared" si="4"/>
        <v>40394100</v>
      </c>
      <c r="G11" s="139">
        <f t="shared" si="4"/>
        <v>43508300</v>
      </c>
      <c r="H11" s="139">
        <f t="shared" ref="H11:L11" si="5">H7*(1+H46)</f>
        <v>45436011.399999999</v>
      </c>
      <c r="I11" s="139">
        <f t="shared" si="5"/>
        <v>46799091.741999999</v>
      </c>
      <c r="J11" s="139">
        <f t="shared" si="5"/>
        <v>47735073.576839998</v>
      </c>
      <c r="K11" s="139">
        <f t="shared" si="5"/>
        <v>48689775.048376799</v>
      </c>
      <c r="L11" s="139">
        <f t="shared" si="5"/>
        <v>49420121.674102448</v>
      </c>
      <c r="M11" s="1"/>
      <c r="N11" s="1"/>
      <c r="O11" s="1"/>
      <c r="P11" s="140" t="s">
        <v>13</v>
      </c>
      <c r="Q11" s="186">
        <f>'Income statement'!T10</f>
        <v>19597670</v>
      </c>
      <c r="R11" s="186">
        <f>'Income statement'!U10</f>
        <v>22594588</v>
      </c>
      <c r="S11" s="186">
        <f>'Income statement'!V10</f>
        <v>26163355</v>
      </c>
      <c r="T11" s="186">
        <f>'Income statement'!W10</f>
        <v>31240207</v>
      </c>
      <c r="U11" s="186">
        <f>'Income statement'!X10</f>
        <v>40394100</v>
      </c>
      <c r="V11" s="186">
        <f>'Income statement'!Y10</f>
        <v>43508300</v>
      </c>
      <c r="W11" s="186">
        <f>'Income statement'!Z10</f>
        <v>9087900</v>
      </c>
      <c r="X11" s="186">
        <f t="shared" ref="X11:AB11" si="6">X7*(1+X46)</f>
        <v>14896629.7344676</v>
      </c>
      <c r="Y11" s="186">
        <f t="shared" si="6"/>
        <v>25324270.548594922</v>
      </c>
      <c r="Z11" s="186">
        <f t="shared" si="6"/>
        <v>29629396.541856054</v>
      </c>
      <c r="AA11" s="186">
        <f t="shared" si="6"/>
        <v>31110866.368948858</v>
      </c>
      <c r="AB11" s="186">
        <f t="shared" si="6"/>
        <v>31733083.696327835</v>
      </c>
      <c r="AC11" s="1"/>
      <c r="AD11" s="1"/>
    </row>
    <row r="12" spans="1:30" ht="15.75" hidden="1" customHeight="1" x14ac:dyDescent="0.45">
      <c r="A12" s="5" t="s">
        <v>10</v>
      </c>
      <c r="B12" s="3">
        <f>'Income statement'!T11</f>
        <v>-469111</v>
      </c>
      <c r="C12" s="3">
        <f>'Income statement'!U11</f>
        <v>-612286</v>
      </c>
      <c r="D12" s="3">
        <f>'Income statement'!V11</f>
        <v>-758698</v>
      </c>
      <c r="E12" s="3">
        <f>'Income statement'!W11</f>
        <v>-946074</v>
      </c>
      <c r="F12" s="3">
        <f>'Income statement'!X11</f>
        <v>-878500</v>
      </c>
      <c r="G12" s="3">
        <f>'Income statement'!Y11</f>
        <v>0</v>
      </c>
      <c r="H12" s="3"/>
      <c r="I12" s="3"/>
      <c r="J12" s="3"/>
      <c r="K12" s="3"/>
      <c r="L12" s="3"/>
      <c r="M12" s="1"/>
      <c r="N12" s="1"/>
      <c r="O12" s="1"/>
      <c r="P12" s="5" t="s">
        <v>10</v>
      </c>
      <c r="Q12" s="3">
        <f>'Income statement'!T11</f>
        <v>-469111</v>
      </c>
      <c r="R12" s="3">
        <f>'Income statement'!U11</f>
        <v>-612286</v>
      </c>
      <c r="S12" s="3">
        <f>'Income statement'!V11</f>
        <v>-758698</v>
      </c>
      <c r="T12" s="3">
        <f>'Income statement'!W11</f>
        <v>-946074</v>
      </c>
      <c r="U12" s="3">
        <f>'Income statement'!X11</f>
        <v>-878500</v>
      </c>
      <c r="V12" s="3">
        <f>'Income statement'!Y11</f>
        <v>0</v>
      </c>
      <c r="W12" s="3">
        <f>'Income statement'!Z11</f>
        <v>0</v>
      </c>
      <c r="X12" s="3"/>
      <c r="Y12" s="3"/>
      <c r="Z12" s="3"/>
      <c r="AA12" s="3"/>
      <c r="AB12" s="3"/>
      <c r="AC12" s="1"/>
      <c r="AD12" s="1"/>
    </row>
    <row r="13" spans="1:30" ht="15.75" hidden="1" customHeight="1" x14ac:dyDescent="0.45">
      <c r="A13" s="5" t="s">
        <v>12</v>
      </c>
      <c r="B13" s="3">
        <f>'Income statement'!T12</f>
        <v>-6321053</v>
      </c>
      <c r="C13" s="3">
        <f>'Income statement'!U12</f>
        <v>-5184475</v>
      </c>
      <c r="D13" s="3">
        <f>'Income statement'!V12</f>
        <v>-5052906</v>
      </c>
      <c r="E13" s="3">
        <f>'Income statement'!W12</f>
        <v>-7339171</v>
      </c>
      <c r="F13" s="3">
        <f>'Income statement'!X12</f>
        <v>-12562200</v>
      </c>
      <c r="G13" s="3">
        <f>'Income statement'!Y12</f>
        <v>-12607100</v>
      </c>
      <c r="H13" s="3"/>
      <c r="I13" s="3"/>
      <c r="J13" s="3"/>
      <c r="K13" s="3"/>
      <c r="L13" s="3"/>
      <c r="M13" s="1"/>
      <c r="N13" s="1"/>
      <c r="O13" s="1"/>
      <c r="P13" s="5" t="s">
        <v>12</v>
      </c>
      <c r="Q13" s="3">
        <f>'Income statement'!T12</f>
        <v>-6321053</v>
      </c>
      <c r="R13" s="3">
        <f>'Income statement'!U12</f>
        <v>-5184475</v>
      </c>
      <c r="S13" s="3">
        <f>'Income statement'!V12</f>
        <v>-5052906</v>
      </c>
      <c r="T13" s="3">
        <f>'Income statement'!W12</f>
        <v>-7339171</v>
      </c>
      <c r="U13" s="3">
        <f>'Income statement'!X12</f>
        <v>-12562200</v>
      </c>
      <c r="V13" s="3">
        <f>'Income statement'!Y12</f>
        <v>-12607100</v>
      </c>
      <c r="W13" s="3">
        <f>'Income statement'!Z12</f>
        <v>-2006700</v>
      </c>
      <c r="X13" s="3"/>
      <c r="Y13" s="3"/>
      <c r="Z13" s="3"/>
      <c r="AA13" s="3"/>
      <c r="AB13" s="3"/>
      <c r="AC13" s="1"/>
      <c r="AD13" s="1"/>
    </row>
    <row r="14" spans="1:30" ht="15.75" hidden="1" customHeight="1" x14ac:dyDescent="0.45">
      <c r="A14" s="5" t="s">
        <v>15</v>
      </c>
      <c r="B14" s="3">
        <f>'Income statement'!T13</f>
        <v>-2723910</v>
      </c>
      <c r="C14" s="3">
        <f>'Income statement'!U13</f>
        <v>-2949313</v>
      </c>
      <c r="D14" s="3">
        <f>'Income statement'!V13</f>
        <v>-3303841</v>
      </c>
      <c r="E14" s="3">
        <f>'Income statement'!W13</f>
        <v>-3760075</v>
      </c>
      <c r="F14" s="3">
        <f>'Income statement'!X13</f>
        <v>-4373000</v>
      </c>
      <c r="G14" s="3">
        <f>'Income statement'!Y13</f>
        <v>-4140300</v>
      </c>
      <c r="H14" s="3"/>
      <c r="I14" s="3"/>
      <c r="J14" s="3"/>
      <c r="K14" s="3"/>
      <c r="L14" s="3"/>
      <c r="M14" s="1"/>
      <c r="N14" s="1"/>
      <c r="O14" s="1"/>
      <c r="P14" s="5" t="s">
        <v>15</v>
      </c>
      <c r="Q14" s="3">
        <f>'Income statement'!T13</f>
        <v>-2723910</v>
      </c>
      <c r="R14" s="3">
        <f>'Income statement'!U13</f>
        <v>-2949313</v>
      </c>
      <c r="S14" s="3">
        <f>'Income statement'!V13</f>
        <v>-3303841</v>
      </c>
      <c r="T14" s="3">
        <f>'Income statement'!W13</f>
        <v>-3760075</v>
      </c>
      <c r="U14" s="3">
        <f>'Income statement'!X13</f>
        <v>-4373000</v>
      </c>
      <c r="V14" s="3">
        <f>'Income statement'!Y13</f>
        <v>-4140300</v>
      </c>
      <c r="W14" s="3">
        <f>'Income statement'!Z13</f>
        <v>-772500</v>
      </c>
      <c r="X14" s="3"/>
      <c r="Y14" s="3"/>
      <c r="Z14" s="3"/>
      <c r="AA14" s="3"/>
      <c r="AB14" s="3"/>
      <c r="AC14" s="1"/>
      <c r="AD14" s="1"/>
    </row>
    <row r="15" spans="1:30" ht="15.75" hidden="1" customHeight="1" x14ac:dyDescent="0.45">
      <c r="A15" s="5" t="s">
        <v>16</v>
      </c>
      <c r="B15" s="3">
        <f>'Income statement'!T14</f>
        <v>-1854844</v>
      </c>
      <c r="C15" s="3">
        <f>'Income statement'!U14</f>
        <v>-2336785</v>
      </c>
      <c r="D15" s="3">
        <f>'Income statement'!V14</f>
        <v>-2995608</v>
      </c>
      <c r="E15" s="3">
        <f>'Income statement'!W14</f>
        <v>-3685213</v>
      </c>
      <c r="F15" s="3">
        <f>'Income statement'!X14</f>
        <v>-5200500</v>
      </c>
      <c r="G15" s="3">
        <f>'Income statement'!Y14</f>
        <v>-5260200</v>
      </c>
      <c r="H15" s="3"/>
      <c r="I15" s="3"/>
      <c r="J15" s="3"/>
      <c r="K15" s="3"/>
      <c r="L15" s="3"/>
      <c r="M15" s="1"/>
      <c r="N15" s="1"/>
      <c r="O15" s="1"/>
      <c r="P15" s="5" t="s">
        <v>16</v>
      </c>
      <c r="Q15" s="3">
        <f>'Income statement'!T14</f>
        <v>-1854844</v>
      </c>
      <c r="R15" s="3">
        <f>'Income statement'!U14</f>
        <v>-2336785</v>
      </c>
      <c r="S15" s="3">
        <f>'Income statement'!V14</f>
        <v>-2995608</v>
      </c>
      <c r="T15" s="3">
        <f>'Income statement'!W14</f>
        <v>-3685213</v>
      </c>
      <c r="U15" s="3">
        <f>'Income statement'!X14</f>
        <v>-5200500</v>
      </c>
      <c r="V15" s="3">
        <f>'Income statement'!Y14</f>
        <v>-5260200</v>
      </c>
      <c r="W15" s="3">
        <f>'Income statement'!Z14</f>
        <v>-1392200</v>
      </c>
      <c r="X15" s="3"/>
      <c r="Y15" s="3"/>
      <c r="Z15" s="3"/>
      <c r="AA15" s="3"/>
      <c r="AB15" s="3"/>
      <c r="AC15" s="1"/>
      <c r="AD15" s="1"/>
    </row>
    <row r="16" spans="1:30" ht="15.75" hidden="1" customHeight="1" x14ac:dyDescent="0.45">
      <c r="A16" s="5" t="s">
        <v>17</v>
      </c>
      <c r="B16" s="3">
        <f>'Income statement'!T15</f>
        <v>-1290035</v>
      </c>
      <c r="C16" s="3">
        <f>'Income statement'!U15</f>
        <v>-1716547</v>
      </c>
      <c r="D16" s="3">
        <f>'Income statement'!V15</f>
        <v>-1864985</v>
      </c>
      <c r="E16" s="3">
        <f>'Income statement'!W15</f>
        <v>-2706549</v>
      </c>
      <c r="F16" s="3">
        <f>'Income statement'!X15</f>
        <v>-3493700</v>
      </c>
      <c r="G16" s="3">
        <f>'Income statement'!Y15</f>
        <v>-3379200</v>
      </c>
      <c r="H16" s="3"/>
      <c r="I16" s="3"/>
      <c r="J16" s="3"/>
      <c r="K16" s="3"/>
      <c r="L16" s="3"/>
      <c r="M16" s="1"/>
      <c r="N16" s="1"/>
      <c r="O16" s="1"/>
      <c r="P16" s="5" t="s">
        <v>17</v>
      </c>
      <c r="Q16" s="3">
        <f>'Income statement'!T15</f>
        <v>-1290035</v>
      </c>
      <c r="R16" s="3">
        <f>'Income statement'!U15</f>
        <v>-1716547</v>
      </c>
      <c r="S16" s="3">
        <f>'Income statement'!V15</f>
        <v>-1864985</v>
      </c>
      <c r="T16" s="3">
        <f>'Income statement'!W15</f>
        <v>-2706549</v>
      </c>
      <c r="U16" s="3">
        <f>'Income statement'!X15</f>
        <v>-3493700</v>
      </c>
      <c r="V16" s="3">
        <f>'Income statement'!Y15</f>
        <v>-3379200</v>
      </c>
      <c r="W16" s="3">
        <f>'Income statement'!Z15</f>
        <v>-1791800</v>
      </c>
      <c r="X16" s="3"/>
      <c r="Y16" s="3"/>
      <c r="Z16" s="3"/>
      <c r="AA16" s="3"/>
      <c r="AB16" s="3"/>
      <c r="AC16" s="1"/>
      <c r="AD16" s="1"/>
    </row>
    <row r="17" spans="1:30" ht="15.75" hidden="1" customHeight="1" x14ac:dyDescent="0.45">
      <c r="A17" s="5" t="s">
        <v>18</v>
      </c>
      <c r="B17" s="3">
        <f>'Income statement'!T16</f>
        <v>-855231</v>
      </c>
      <c r="C17" s="3">
        <f>'Income statement'!U16</f>
        <v>-826391</v>
      </c>
      <c r="D17" s="3">
        <f>'Income statement'!V16</f>
        <v>-1206447</v>
      </c>
      <c r="E17" s="3">
        <f>'Income statement'!W16</f>
        <v>-1694830</v>
      </c>
      <c r="F17" s="3">
        <f>'Income statement'!X16</f>
        <v>-2102100</v>
      </c>
      <c r="G17" s="3">
        <f>'Income statement'!Y16</f>
        <v>0</v>
      </c>
      <c r="H17" s="3"/>
      <c r="I17" s="3"/>
      <c r="J17" s="3"/>
      <c r="K17" s="3"/>
      <c r="L17" s="3"/>
      <c r="M17" s="1"/>
      <c r="N17" s="1"/>
      <c r="O17" s="1"/>
      <c r="P17" s="5" t="s">
        <v>18</v>
      </c>
      <c r="Q17" s="3">
        <f>'Income statement'!T16</f>
        <v>-855231</v>
      </c>
      <c r="R17" s="3">
        <f>'Income statement'!U16</f>
        <v>-826391</v>
      </c>
      <c r="S17" s="3">
        <f>'Income statement'!V16</f>
        <v>-1206447</v>
      </c>
      <c r="T17" s="3">
        <f>'Income statement'!W16</f>
        <v>-1694830</v>
      </c>
      <c r="U17" s="3">
        <f>'Income statement'!X16</f>
        <v>-2102100</v>
      </c>
      <c r="V17" s="3">
        <f>'Income statement'!Y16</f>
        <v>0</v>
      </c>
      <c r="W17" s="3">
        <f>'Income statement'!Z16</f>
        <v>0</v>
      </c>
      <c r="X17" s="3"/>
      <c r="Y17" s="3"/>
      <c r="Z17" s="3"/>
      <c r="AA17" s="3"/>
      <c r="AB17" s="3"/>
      <c r="AC17" s="1"/>
      <c r="AD17" s="1"/>
    </row>
    <row r="18" spans="1:30" ht="15.75" hidden="1" customHeight="1" x14ac:dyDescent="0.45">
      <c r="A18" s="5" t="s">
        <v>20</v>
      </c>
      <c r="B18" s="3">
        <f>'Income statement'!T17</f>
        <v>-3208987</v>
      </c>
      <c r="C18" s="3">
        <f>'Income statement'!U17</f>
        <v>-3433703</v>
      </c>
      <c r="D18" s="3">
        <f>'Income statement'!V17</f>
        <v>-3971412</v>
      </c>
      <c r="E18" s="3">
        <f>'Income statement'!W17</f>
        <v>-5316253</v>
      </c>
      <c r="F18" s="3">
        <f>'Income statement'!X17</f>
        <v>-6664600</v>
      </c>
      <c r="G18" s="3">
        <f>'Income statement'!Y17</f>
        <v>-6817500</v>
      </c>
      <c r="H18" s="3"/>
      <c r="I18" s="3"/>
      <c r="J18" s="3"/>
      <c r="K18" s="3"/>
      <c r="L18" s="3"/>
      <c r="M18" s="1"/>
      <c r="N18" s="1"/>
      <c r="O18" s="1"/>
      <c r="P18" s="5" t="s">
        <v>20</v>
      </c>
      <c r="Q18" s="3">
        <f>'Income statement'!T17</f>
        <v>-3208987</v>
      </c>
      <c r="R18" s="3">
        <f>'Income statement'!U17</f>
        <v>-3433703</v>
      </c>
      <c r="S18" s="3">
        <f>'Income statement'!V17</f>
        <v>-3971412</v>
      </c>
      <c r="T18" s="3">
        <f>'Income statement'!W17</f>
        <v>-5316253</v>
      </c>
      <c r="U18" s="3">
        <f>'Income statement'!X17</f>
        <v>-6664600</v>
      </c>
      <c r="V18" s="3">
        <f>'Income statement'!Y17</f>
        <v>-6817500</v>
      </c>
      <c r="W18" s="3">
        <f>'Income statement'!Z17</f>
        <v>-2921200</v>
      </c>
      <c r="X18" s="3"/>
      <c r="Y18" s="3"/>
      <c r="Z18" s="3"/>
      <c r="AA18" s="3"/>
      <c r="AB18" s="3"/>
      <c r="AC18" s="1"/>
      <c r="AD18" s="1"/>
    </row>
    <row r="19" spans="1:30" ht="15.75" hidden="1" customHeight="1" x14ac:dyDescent="0.45">
      <c r="A19" s="5" t="s">
        <v>22</v>
      </c>
      <c r="B19" s="3">
        <f>'Income statement'!T18</f>
        <v>-1049577</v>
      </c>
      <c r="C19" s="3">
        <f>'Income statement'!U18</f>
        <v>-1263185</v>
      </c>
      <c r="D19" s="3">
        <f>'Income statement'!V18</f>
        <v>-1516243</v>
      </c>
      <c r="E19" s="3">
        <f>'Income statement'!W18</f>
        <v>-1983742</v>
      </c>
      <c r="F19" s="3">
        <f>'Income statement'!X18</f>
        <v>-1825900</v>
      </c>
      <c r="G19" s="3">
        <f>'Income statement'!Y18</f>
        <v>-4849900</v>
      </c>
      <c r="H19" s="3"/>
      <c r="I19" s="3"/>
      <c r="J19" s="3"/>
      <c r="K19" s="3"/>
      <c r="L19" s="3"/>
      <c r="M19" s="1"/>
      <c r="N19" s="1"/>
      <c r="O19" s="1"/>
      <c r="P19" s="5" t="s">
        <v>22</v>
      </c>
      <c r="Q19" s="3">
        <f>'Income statement'!T18</f>
        <v>-1049577</v>
      </c>
      <c r="R19" s="3">
        <f>'Income statement'!U18</f>
        <v>-1263185</v>
      </c>
      <c r="S19" s="3">
        <f>'Income statement'!V18</f>
        <v>-1516243</v>
      </c>
      <c r="T19" s="3">
        <f>'Income statement'!W18</f>
        <v>-1983742</v>
      </c>
      <c r="U19" s="3">
        <f>'Income statement'!X18</f>
        <v>-1825900</v>
      </c>
      <c r="V19" s="3">
        <f>'Income statement'!Y18</f>
        <v>-4849900</v>
      </c>
      <c r="W19" s="3">
        <f>'Income statement'!Z18</f>
        <v>-1961900</v>
      </c>
      <c r="X19" s="3"/>
      <c r="Y19" s="3"/>
      <c r="Z19" s="3"/>
      <c r="AA19" s="3"/>
      <c r="AB19" s="3"/>
      <c r="AC19" s="1"/>
      <c r="AD19" s="1"/>
    </row>
    <row r="20" spans="1:30" ht="15.75" hidden="1" customHeight="1" x14ac:dyDescent="0.45">
      <c r="A20" s="5" t="s">
        <v>24</v>
      </c>
      <c r="B20" s="3">
        <f>'Income statement'!T19</f>
        <v>-583751</v>
      </c>
      <c r="C20" s="3">
        <f>'Income statement'!U19</f>
        <v>-474150</v>
      </c>
      <c r="D20" s="3">
        <f>'Income statement'!V19</f>
        <v>677656</v>
      </c>
      <c r="E20" s="3">
        <f>'Income statement'!W19</f>
        <v>432192</v>
      </c>
      <c r="F20" s="3">
        <f>'Income statement'!X19</f>
        <v>-994100</v>
      </c>
      <c r="G20" s="3">
        <f>'Income statement'!Y19</f>
        <v>845800</v>
      </c>
      <c r="H20" s="3"/>
      <c r="I20" s="3"/>
      <c r="J20" s="3"/>
      <c r="K20" s="3"/>
      <c r="L20" s="3"/>
      <c r="M20" s="1"/>
      <c r="N20" s="1"/>
      <c r="O20" s="1"/>
      <c r="P20" s="5" t="s">
        <v>24</v>
      </c>
      <c r="Q20" s="3">
        <f>'Income statement'!T19</f>
        <v>-583751</v>
      </c>
      <c r="R20" s="3">
        <f>'Income statement'!U19</f>
        <v>-474150</v>
      </c>
      <c r="S20" s="3">
        <f>'Income statement'!V19</f>
        <v>677656</v>
      </c>
      <c r="T20" s="3">
        <f>'Income statement'!W19</f>
        <v>432192</v>
      </c>
      <c r="U20" s="3">
        <f>'Income statement'!X19</f>
        <v>-994100</v>
      </c>
      <c r="V20" s="3">
        <f>'Income statement'!Y19</f>
        <v>845800</v>
      </c>
      <c r="W20" s="3">
        <f>'Income statement'!Z19</f>
        <v>-3004700</v>
      </c>
      <c r="X20" s="3"/>
      <c r="Y20" s="3"/>
      <c r="Z20" s="3"/>
      <c r="AA20" s="3"/>
      <c r="AB20" s="3"/>
      <c r="AC20" s="1"/>
      <c r="AD20" s="1"/>
    </row>
    <row r="21" spans="1:30" ht="15.75" customHeight="1" x14ac:dyDescent="0.45">
      <c r="A21" s="9" t="s">
        <v>25</v>
      </c>
      <c r="B21" s="186">
        <f>'Income statement'!T20</f>
        <v>-18356499</v>
      </c>
      <c r="C21" s="186">
        <f>'Income statement'!U20</f>
        <v>-18796835</v>
      </c>
      <c r="D21" s="186">
        <f>'Income statement'!V20</f>
        <v>-19992484</v>
      </c>
      <c r="E21" s="186">
        <f>'Income statement'!W20</f>
        <v>-26999715</v>
      </c>
      <c r="F21" s="186">
        <f>'Income statement'!X20</f>
        <v>-38094600</v>
      </c>
      <c r="G21" s="186">
        <f>'Income statement'!Y20</f>
        <v>-36208400</v>
      </c>
      <c r="H21" s="139">
        <f t="shared" ref="H21:L21" si="7">-H11*H48</f>
        <v>-38166249.575999998</v>
      </c>
      <c r="I21" s="139">
        <f t="shared" si="7"/>
        <v>-38843246.145859994</v>
      </c>
      <c r="J21" s="139">
        <f t="shared" si="7"/>
        <v>-39620111.068777196</v>
      </c>
      <c r="K21" s="139">
        <f t="shared" si="7"/>
        <v>-39925615.539668977</v>
      </c>
      <c r="L21" s="139">
        <f t="shared" si="7"/>
        <v>-40524499.772764012</v>
      </c>
      <c r="M21" s="1"/>
      <c r="N21" s="1"/>
      <c r="O21" s="1"/>
      <c r="P21" s="9" t="s">
        <v>25</v>
      </c>
      <c r="Q21" s="186">
        <f>'Income statement'!T20</f>
        <v>-18356499</v>
      </c>
      <c r="R21" s="186">
        <f>'Income statement'!U20</f>
        <v>-18796835</v>
      </c>
      <c r="S21" s="186">
        <f>'Income statement'!V20</f>
        <v>-19992484</v>
      </c>
      <c r="T21" s="186">
        <f>'Income statement'!W20</f>
        <v>-26999715</v>
      </c>
      <c r="U21" s="186">
        <f>'Income statement'!X20</f>
        <v>-38094600</v>
      </c>
      <c r="V21" s="186">
        <f>'Income statement'!Y20</f>
        <v>-36208400</v>
      </c>
      <c r="W21" s="186">
        <f>'Income statement'!Z20</f>
        <v>-13851000</v>
      </c>
      <c r="X21" s="192">
        <f t="shared" ref="X21:AB21" si="8">-X11*X48</f>
        <v>-14250116.003991706</v>
      </c>
      <c r="Y21" s="192">
        <f t="shared" si="8"/>
        <v>-21525629.966305684</v>
      </c>
      <c r="Z21" s="192">
        <f t="shared" si="8"/>
        <v>-25184987.060577646</v>
      </c>
      <c r="AA21" s="192">
        <f t="shared" si="8"/>
        <v>-25822019.086227551</v>
      </c>
      <c r="AB21" s="192">
        <f t="shared" si="8"/>
        <v>-26021128.630988825</v>
      </c>
      <c r="AC21" s="1"/>
      <c r="AD21" s="1"/>
    </row>
    <row r="22" spans="1:30" ht="15.75" customHeight="1" x14ac:dyDescent="0.45">
      <c r="A22" s="143" t="s">
        <v>26</v>
      </c>
      <c r="B22" s="186">
        <f>'Income statement'!T21</f>
        <v>1241171</v>
      </c>
      <c r="C22" s="186">
        <f>'Income statement'!U21</f>
        <v>3797753</v>
      </c>
      <c r="D22" s="186">
        <f>'Income statement'!V21</f>
        <v>6170871</v>
      </c>
      <c r="E22" s="186">
        <f>'Income statement'!W21</f>
        <v>4240492</v>
      </c>
      <c r="F22" s="186">
        <f>'Income statement'!X21</f>
        <v>2299500</v>
      </c>
      <c r="G22" s="186">
        <f>'Income statement'!Y21</f>
        <v>7299900</v>
      </c>
      <c r="H22" s="139">
        <f t="shared" ref="H22:L22" si="9">H11*H47</f>
        <v>7269761.824</v>
      </c>
      <c r="I22" s="139">
        <f t="shared" si="9"/>
        <v>7955845.59614</v>
      </c>
      <c r="J22" s="139">
        <f t="shared" si="9"/>
        <v>8114962.5080628004</v>
      </c>
      <c r="K22" s="139">
        <f t="shared" si="9"/>
        <v>8764159.5087078232</v>
      </c>
      <c r="L22" s="139">
        <f t="shared" si="9"/>
        <v>8895621.9013384394</v>
      </c>
      <c r="M22" s="1"/>
      <c r="N22" s="1"/>
      <c r="O22" s="1"/>
      <c r="P22" s="143" t="s">
        <v>26</v>
      </c>
      <c r="Q22" s="186">
        <f>'Income statement'!T21</f>
        <v>1241171</v>
      </c>
      <c r="R22" s="186">
        <f>'Income statement'!U21</f>
        <v>3797753</v>
      </c>
      <c r="S22" s="186">
        <f>'Income statement'!V21</f>
        <v>6170871</v>
      </c>
      <c r="T22" s="186">
        <f>'Income statement'!W21</f>
        <v>4240492</v>
      </c>
      <c r="U22" s="186">
        <f>'Income statement'!X21</f>
        <v>2299500</v>
      </c>
      <c r="V22" s="186">
        <f>'Income statement'!Y21</f>
        <v>7299900</v>
      </c>
      <c r="W22" s="186">
        <f>'Income statement'!Z21</f>
        <v>-4763100</v>
      </c>
      <c r="X22" s="3">
        <f t="shared" ref="X22:AB22" si="10">X11*X47</f>
        <v>646513.73047589383</v>
      </c>
      <c r="Y22" s="3">
        <f t="shared" si="10"/>
        <v>3798640.582289238</v>
      </c>
      <c r="Z22" s="3">
        <f t="shared" si="10"/>
        <v>4444409.4812784083</v>
      </c>
      <c r="AA22" s="3">
        <f t="shared" si="10"/>
        <v>5288847.2827213062</v>
      </c>
      <c r="AB22" s="3">
        <f t="shared" si="10"/>
        <v>5711955.0653390102</v>
      </c>
      <c r="AC22" s="1"/>
      <c r="AD22" s="1"/>
    </row>
    <row r="23" spans="1:30" ht="15.75" customHeight="1" x14ac:dyDescent="0.45">
      <c r="A23" s="127" t="s">
        <v>21</v>
      </c>
      <c r="B23" s="122">
        <f>'Income statement'!T22</f>
        <v>-748138</v>
      </c>
      <c r="C23" s="122">
        <f>'Income statement'!U22</f>
        <v>-1133287</v>
      </c>
      <c r="D23" s="122">
        <f>'Income statement'!V22</f>
        <v>-1295825</v>
      </c>
      <c r="E23" s="122">
        <f>'Income statement'!W22</f>
        <v>-1405075</v>
      </c>
      <c r="F23" s="122">
        <f>'Income statement'!X22</f>
        <v>-1667600</v>
      </c>
      <c r="G23" s="122">
        <f>'Income statement'!Y22</f>
        <v>0</v>
      </c>
      <c r="H23" s="122"/>
      <c r="I23" s="122"/>
      <c r="J23" s="122"/>
      <c r="K23" s="122"/>
      <c r="L23" s="122"/>
      <c r="M23" s="104"/>
      <c r="N23" s="104"/>
      <c r="O23" s="104"/>
      <c r="P23" s="127" t="s">
        <v>21</v>
      </c>
      <c r="Q23" s="122">
        <f>'Income statement'!T22</f>
        <v>-748138</v>
      </c>
      <c r="R23" s="122">
        <f>'Income statement'!U22</f>
        <v>-1133287</v>
      </c>
      <c r="S23" s="122">
        <f>'Income statement'!V22</f>
        <v>-1295825</v>
      </c>
      <c r="T23" s="122">
        <f>'Income statement'!W22</f>
        <v>-1405075</v>
      </c>
      <c r="U23" s="122">
        <f>'Income statement'!X22</f>
        <v>-1667600</v>
      </c>
      <c r="V23" s="122">
        <f>'Income statement'!Y22</f>
        <v>0</v>
      </c>
      <c r="W23" s="3">
        <f>'Income statement'!Z22</f>
        <v>0</v>
      </c>
      <c r="X23" s="122"/>
      <c r="Y23" s="122"/>
      <c r="Z23" s="122"/>
      <c r="AA23" s="122"/>
      <c r="AB23" s="122"/>
      <c r="AC23" s="1"/>
      <c r="AD23" s="1"/>
    </row>
    <row r="24" spans="1:30" ht="15.75" customHeight="1" x14ac:dyDescent="0.45">
      <c r="A24" s="127" t="s">
        <v>23</v>
      </c>
      <c r="B24" s="122">
        <f>'Income statement'!T23</f>
        <v>0</v>
      </c>
      <c r="C24" s="122">
        <f>'Income statement'!U23</f>
        <v>0</v>
      </c>
      <c r="D24" s="122">
        <f>'Income statement'!V23</f>
        <v>0</v>
      </c>
      <c r="E24" s="122">
        <f>'Income statement'!W23</f>
        <v>-655904</v>
      </c>
      <c r="F24" s="122">
        <f>'Income statement'!X23</f>
        <v>0</v>
      </c>
      <c r="G24" s="122">
        <f>'Income statement'!Y23</f>
        <v>0</v>
      </c>
      <c r="H24" s="122"/>
      <c r="I24" s="122"/>
      <c r="J24" s="122"/>
      <c r="K24" s="122"/>
      <c r="L24" s="122"/>
      <c r="M24" s="104"/>
      <c r="N24" s="104"/>
      <c r="O24" s="104"/>
      <c r="P24" s="127" t="s">
        <v>23</v>
      </c>
      <c r="Q24" s="122">
        <f>'Income statement'!T23</f>
        <v>0</v>
      </c>
      <c r="R24" s="122">
        <f>'Income statement'!U23</f>
        <v>0</v>
      </c>
      <c r="S24" s="122">
        <f>'Income statement'!V23</f>
        <v>0</v>
      </c>
      <c r="T24" s="122">
        <f>'Income statement'!W23</f>
        <v>-655904</v>
      </c>
      <c r="U24" s="122">
        <f>'Income statement'!X23</f>
        <v>0</v>
      </c>
      <c r="V24" s="122">
        <f>'Income statement'!Y23</f>
        <v>0</v>
      </c>
      <c r="W24" s="3">
        <f>'Income statement'!Z23</f>
        <v>0</v>
      </c>
      <c r="X24" s="122"/>
      <c r="Y24" s="122"/>
      <c r="Z24" s="122"/>
      <c r="AA24" s="122"/>
      <c r="AB24" s="122"/>
      <c r="AC24" s="1"/>
      <c r="AD24" s="1"/>
    </row>
    <row r="25" spans="1:30" ht="15.75" customHeight="1" x14ac:dyDescent="0.45">
      <c r="A25" s="193" t="s">
        <v>30</v>
      </c>
      <c r="B25" s="122">
        <f>'Income statement'!T24</f>
        <v>-1994292.7481045013</v>
      </c>
      <c r="C25" s="122">
        <f>'Income statement'!U24</f>
        <v>-3128030.9607584821</v>
      </c>
      <c r="D25" s="122">
        <f>'Income statement'!V24</f>
        <v>-5058051.4265132807</v>
      </c>
      <c r="E25" s="122">
        <f>'Income statement'!W24</f>
        <v>-4705155.8644647971</v>
      </c>
      <c r="F25" s="122">
        <f>'Income statement'!X24</f>
        <v>-4922036.2526277015</v>
      </c>
      <c r="G25" s="122">
        <f>'Income statement'!Y24</f>
        <v>-6457500</v>
      </c>
      <c r="H25" s="153">
        <f t="shared" ref="H25:L25" si="11">H58*H49</f>
        <v>-6133861.5389999989</v>
      </c>
      <c r="I25" s="153">
        <f t="shared" si="11"/>
        <v>-5767988.0572015001</v>
      </c>
      <c r="J25" s="153">
        <f t="shared" si="11"/>
        <v>-5422704.3583290232</v>
      </c>
      <c r="K25" s="153">
        <f t="shared" si="11"/>
        <v>-5414302.9853794994</v>
      </c>
      <c r="L25" s="153">
        <f t="shared" si="11"/>
        <v>-5376909.238142346</v>
      </c>
      <c r="M25" s="104"/>
      <c r="N25" s="104"/>
      <c r="O25" s="104"/>
      <c r="P25" s="193" t="s">
        <v>30</v>
      </c>
      <c r="Q25" s="122">
        <f>'Income statement'!T24</f>
        <v>-1994292.7481045013</v>
      </c>
      <c r="R25" s="122">
        <f>'Income statement'!U24</f>
        <v>-3128030.9607584821</v>
      </c>
      <c r="S25" s="122">
        <f>'Income statement'!V24</f>
        <v>-5058051.4265132807</v>
      </c>
      <c r="T25" s="122">
        <f>'Income statement'!W24</f>
        <v>-4705155.8644647971</v>
      </c>
      <c r="U25" s="122">
        <f>'Income statement'!X24</f>
        <v>-4922036.2526277015</v>
      </c>
      <c r="V25" s="122">
        <f>'Income statement'!Y24</f>
        <v>-6457500</v>
      </c>
      <c r="W25" s="3">
        <f>'Income statement'!Z24</f>
        <v>-6197500</v>
      </c>
      <c r="X25" s="153">
        <f t="shared" ref="X25:AB25" si="12">X49*X58</f>
        <v>-1833228.873917504</v>
      </c>
      <c r="Y25" s="153">
        <f t="shared" si="12"/>
        <v>-1869893.4513958539</v>
      </c>
      <c r="Z25" s="153">
        <f t="shared" si="12"/>
        <v>-2051039.379499827</v>
      </c>
      <c r="AA25" s="153">
        <f t="shared" si="12"/>
        <v>-2153591.3484748187</v>
      </c>
      <c r="AB25" s="153">
        <f t="shared" si="12"/>
        <v>-2196663.1754443147</v>
      </c>
      <c r="AC25" s="1"/>
      <c r="AD25" s="1"/>
    </row>
    <row r="26" spans="1:30" ht="15.75" customHeight="1" x14ac:dyDescent="0.45">
      <c r="A26" s="194" t="s">
        <v>33</v>
      </c>
      <c r="B26" s="195">
        <f>'Income statement'!T25</f>
        <v>-1501259.7481045013</v>
      </c>
      <c r="C26" s="195">
        <f>'Income statement'!U25</f>
        <v>-463564.96075848211</v>
      </c>
      <c r="D26" s="195">
        <f>'Income statement'!V25</f>
        <v>-183005.42651328072</v>
      </c>
      <c r="E26" s="195">
        <f>'Income statement'!W25</f>
        <v>-2525642.8644647971</v>
      </c>
      <c r="F26" s="195">
        <f>'Income statement'!X25</f>
        <v>-4290136.2526277015</v>
      </c>
      <c r="G26" s="195">
        <f>'Income statement'!Y25</f>
        <v>842400</v>
      </c>
      <c r="H26" s="195">
        <f t="shared" ref="H26:L26" si="13">H22+H25</f>
        <v>1135900.2850000011</v>
      </c>
      <c r="I26" s="195">
        <f t="shared" si="13"/>
        <v>2187857.5389385</v>
      </c>
      <c r="J26" s="195">
        <f t="shared" si="13"/>
        <v>2692258.1497337772</v>
      </c>
      <c r="K26" s="195">
        <f t="shared" si="13"/>
        <v>3349856.5233283238</v>
      </c>
      <c r="L26" s="195">
        <f t="shared" si="13"/>
        <v>3518712.6631960934</v>
      </c>
      <c r="M26" s="104"/>
      <c r="N26" s="104"/>
      <c r="O26" s="104"/>
      <c r="P26" s="194" t="s">
        <v>33</v>
      </c>
      <c r="Q26" s="195">
        <f>'Income statement'!T25</f>
        <v>-1501259.7481045013</v>
      </c>
      <c r="R26" s="195">
        <f>'Income statement'!U25</f>
        <v>-463564.96075848211</v>
      </c>
      <c r="S26" s="195">
        <f>'Income statement'!V25</f>
        <v>-183005.42651328072</v>
      </c>
      <c r="T26" s="195">
        <f>'Income statement'!W25</f>
        <v>-2525642.8644647971</v>
      </c>
      <c r="U26" s="195">
        <f>'Income statement'!X25</f>
        <v>-4290136.2526277015</v>
      </c>
      <c r="V26" s="195">
        <f>'Income statement'!Y25</f>
        <v>842400</v>
      </c>
      <c r="W26" s="186">
        <f>'Income statement'!Z25</f>
        <v>-10960600</v>
      </c>
      <c r="X26" s="195">
        <f t="shared" ref="X26:AB26" si="14">X22+X25</f>
        <v>-1186715.14344161</v>
      </c>
      <c r="Y26" s="195">
        <f t="shared" si="14"/>
        <v>1928747.1308933841</v>
      </c>
      <c r="Z26" s="195">
        <f t="shared" si="14"/>
        <v>2393370.1017785813</v>
      </c>
      <c r="AA26" s="195">
        <f t="shared" si="14"/>
        <v>3135255.9342464874</v>
      </c>
      <c r="AB26" s="195">
        <f t="shared" si="14"/>
        <v>3515291.8898946955</v>
      </c>
      <c r="AC26" s="1"/>
      <c r="AD26" s="1"/>
    </row>
    <row r="27" spans="1:30" ht="15.75" customHeight="1" x14ac:dyDescent="0.45">
      <c r="A27" s="128" t="s">
        <v>43</v>
      </c>
      <c r="B27" s="122">
        <f>'Income statement'!T26</f>
        <v>557284</v>
      </c>
      <c r="C27" s="122">
        <f>'Income statement'!U26</f>
        <v>171114</v>
      </c>
      <c r="D27" s="122">
        <f>'Income statement'!V26</f>
        <v>-373353</v>
      </c>
      <c r="E27" s="122">
        <f>'Income statement'!W26</f>
        <v>768496</v>
      </c>
      <c r="F27" s="122">
        <f>'Income statement'!X26</f>
        <v>1036000</v>
      </c>
      <c r="G27" s="122">
        <f>'Income statement'!Y26</f>
        <v>78500</v>
      </c>
      <c r="H27" s="122">
        <f t="shared" ref="H27:L27" si="15">-H26*H51</f>
        <v>-249898.06270000024</v>
      </c>
      <c r="I27" s="122">
        <f t="shared" si="15"/>
        <v>-481328.65856647003</v>
      </c>
      <c r="J27" s="122">
        <f t="shared" si="15"/>
        <v>-592296.79294143093</v>
      </c>
      <c r="K27" s="122">
        <f t="shared" si="15"/>
        <v>-736968.43513223121</v>
      </c>
      <c r="L27" s="122">
        <f t="shared" si="15"/>
        <v>-774116.78590314055</v>
      </c>
      <c r="M27" s="104"/>
      <c r="N27" s="104"/>
      <c r="O27" s="104"/>
      <c r="P27" s="128" t="s">
        <v>43</v>
      </c>
      <c r="Q27" s="122">
        <f>'Income statement'!T26</f>
        <v>557284</v>
      </c>
      <c r="R27" s="122">
        <f>'Income statement'!U26</f>
        <v>171114</v>
      </c>
      <c r="S27" s="122">
        <f>'Income statement'!V26</f>
        <v>-373353</v>
      </c>
      <c r="T27" s="122">
        <f>'Income statement'!W26</f>
        <v>768496</v>
      </c>
      <c r="U27" s="122">
        <f>'Income statement'!X26</f>
        <v>1036000</v>
      </c>
      <c r="V27" s="122">
        <f>'Income statement'!Y26</f>
        <v>78500</v>
      </c>
      <c r="W27" s="3">
        <f>'Income statement'!Z26</f>
        <v>-906800</v>
      </c>
      <c r="X27" s="122">
        <f t="shared" ref="X27:AB27" si="16">-X26*X51</f>
        <v>261077.33155715422</v>
      </c>
      <c r="Y27" s="122">
        <f t="shared" si="16"/>
        <v>-424324.3687965445</v>
      </c>
      <c r="Z27" s="122">
        <f t="shared" si="16"/>
        <v>-526541.42239128787</v>
      </c>
      <c r="AA27" s="122">
        <f t="shared" si="16"/>
        <v>-689756.30553422729</v>
      </c>
      <c r="AB27" s="122">
        <f t="shared" si="16"/>
        <v>-773364.21577683301</v>
      </c>
      <c r="AC27" s="1"/>
      <c r="AD27" s="1"/>
    </row>
    <row r="28" spans="1:30" ht="15.75" customHeight="1" x14ac:dyDescent="0.45">
      <c r="A28" s="196" t="s">
        <v>36</v>
      </c>
      <c r="B28" s="122">
        <f>'Income statement'!T27</f>
        <v>216464.92510905809</v>
      </c>
      <c r="C28" s="122">
        <f>'Income statement'!U27</f>
        <v>562590.14042785869</v>
      </c>
      <c r="D28" s="122">
        <f>'Income statement'!V27</f>
        <v>931656.80614348408</v>
      </c>
      <c r="E28" s="122">
        <f>'Income statement'!W27</f>
        <v>547733.67835260648</v>
      </c>
      <c r="F28" s="122">
        <f>'Income statement'!X27</f>
        <v>488667.44181705709</v>
      </c>
      <c r="G28" s="122">
        <f>'Income statement'!Y27</f>
        <v>0</v>
      </c>
      <c r="H28" s="104"/>
      <c r="I28" s="104"/>
      <c r="J28" s="104"/>
      <c r="K28" s="104"/>
      <c r="L28" s="104"/>
      <c r="M28" s="104"/>
      <c r="N28" s="104"/>
      <c r="O28" s="104"/>
      <c r="P28" s="196" t="s">
        <v>36</v>
      </c>
      <c r="Q28" s="122">
        <f>'Income statement'!T27</f>
        <v>216464.92510905809</v>
      </c>
      <c r="R28" s="122">
        <f>'Income statement'!U27</f>
        <v>562590.14042785869</v>
      </c>
      <c r="S28" s="122">
        <f>'Income statement'!V27</f>
        <v>931656.80614348408</v>
      </c>
      <c r="T28" s="122">
        <f>'Income statement'!W27</f>
        <v>547733.67835260648</v>
      </c>
      <c r="U28" s="122">
        <f>'Income statement'!X27</f>
        <v>488667.44181705709</v>
      </c>
      <c r="V28" s="122">
        <f>'Income statement'!Y27</f>
        <v>0</v>
      </c>
      <c r="W28" s="3">
        <f>'Income statement'!Z27</f>
        <v>0</v>
      </c>
      <c r="X28" s="122"/>
      <c r="Y28" s="122"/>
      <c r="Z28" s="122"/>
      <c r="AA28" s="122"/>
      <c r="AB28" s="122"/>
      <c r="AC28" s="1"/>
      <c r="AD28" s="1"/>
    </row>
    <row r="29" spans="1:30" ht="15.75" customHeight="1" x14ac:dyDescent="0.45">
      <c r="A29" s="129" t="s">
        <v>38</v>
      </c>
      <c r="B29" s="122">
        <f>'Income statement'!T28</f>
        <v>-250427.21312084282</v>
      </c>
      <c r="C29" s="122">
        <f>'Income statement'!U28</f>
        <v>-417167.61102306854</v>
      </c>
      <c r="D29" s="122">
        <f>'Income statement'!V28</f>
        <v>-508822.1995151639</v>
      </c>
      <c r="E29" s="122">
        <f>'Income statement'!W28</f>
        <v>-556507.63088105526</v>
      </c>
      <c r="F29" s="122">
        <f>'Income statement'!X28</f>
        <v>-74705.103712685741</v>
      </c>
      <c r="G29" s="122">
        <f>'Income statement'!Y28</f>
        <v>-556600</v>
      </c>
      <c r="H29" s="122">
        <f t="shared" ref="H29:L29" si="17">-H36</f>
        <v>-394940.75495056552</v>
      </c>
      <c r="I29" s="122">
        <f t="shared" si="17"/>
        <v>-399484.90022312052</v>
      </c>
      <c r="J29" s="122">
        <f t="shared" si="17"/>
        <v>-399288.78459722101</v>
      </c>
      <c r="K29" s="122">
        <f t="shared" si="17"/>
        <v>-394750.26543471182</v>
      </c>
      <c r="L29" s="122">
        <f t="shared" si="17"/>
        <v>-396434.13299047574</v>
      </c>
      <c r="M29" s="104"/>
      <c r="N29" s="104"/>
      <c r="O29" s="104"/>
      <c r="P29" s="129" t="s">
        <v>38</v>
      </c>
      <c r="Q29" s="122">
        <f>'Income statement'!T28</f>
        <v>-250427.21312084282</v>
      </c>
      <c r="R29" s="122">
        <f>'Income statement'!U28</f>
        <v>-417167.61102306854</v>
      </c>
      <c r="S29" s="122">
        <f>'Income statement'!V28</f>
        <v>-508822.1995151639</v>
      </c>
      <c r="T29" s="122">
        <f>'Income statement'!W28</f>
        <v>-556507.63088105526</v>
      </c>
      <c r="U29" s="122">
        <f>'Income statement'!X28</f>
        <v>-74705.103712685741</v>
      </c>
      <c r="V29" s="122">
        <f>'Income statement'!Y28</f>
        <v>-556600</v>
      </c>
      <c r="W29" s="3">
        <f>'Income statement'!Z28</f>
        <v>361504</v>
      </c>
      <c r="X29" s="3">
        <f t="shared" ref="X29:AB29" si="18">-X36</f>
        <v>-69695.376692924838</v>
      </c>
      <c r="Y29" s="3">
        <f t="shared" si="18"/>
        <v>-75518.749331822895</v>
      </c>
      <c r="Z29" s="3">
        <f t="shared" si="18"/>
        <v>-96286.405398074276</v>
      </c>
      <c r="AA29" s="3">
        <f t="shared" si="18"/>
        <v>-108683.28009307629</v>
      </c>
      <c r="AB29" s="3">
        <f t="shared" si="18"/>
        <v>-110856.94569493779</v>
      </c>
      <c r="AC29" s="1"/>
      <c r="AD29" s="1"/>
    </row>
    <row r="30" spans="1:30" ht="15.75" customHeight="1" x14ac:dyDescent="0.45">
      <c r="A30" s="140" t="s">
        <v>40</v>
      </c>
      <c r="B30" s="139">
        <f>'Income statement'!T29</f>
        <v>-977938.03611628595</v>
      </c>
      <c r="C30" s="139">
        <f>'Income statement'!U29</f>
        <v>-147028.43135369197</v>
      </c>
      <c r="D30" s="139">
        <f>'Income statement'!V29</f>
        <v>-133523.81988496054</v>
      </c>
      <c r="E30" s="139">
        <f>'Income statement'!W29</f>
        <v>-1765920.8169932459</v>
      </c>
      <c r="F30" s="139">
        <f>'Income statement'!X29</f>
        <v>-2840173.9145233301</v>
      </c>
      <c r="G30" s="139">
        <f>'Income statement'!Y29</f>
        <v>364300</v>
      </c>
      <c r="H30" s="139">
        <f t="shared" ref="H30:L30" si="19">H26+H27+H28+H29</f>
        <v>491061.46734943532</v>
      </c>
      <c r="I30" s="139">
        <f t="shared" si="19"/>
        <v>1307043.9801489094</v>
      </c>
      <c r="J30" s="139">
        <f t="shared" si="19"/>
        <v>1700672.572195125</v>
      </c>
      <c r="K30" s="139">
        <f t="shared" si="19"/>
        <v>2218137.822761381</v>
      </c>
      <c r="L30" s="139">
        <f t="shared" si="19"/>
        <v>2348161.7443024772</v>
      </c>
      <c r="M30" s="1"/>
      <c r="N30" s="1"/>
      <c r="O30" s="1"/>
      <c r="P30" s="140" t="s">
        <v>40</v>
      </c>
      <c r="Q30" s="186">
        <f>'Income statement'!T29</f>
        <v>-977938.03611628595</v>
      </c>
      <c r="R30" s="186">
        <f>'Income statement'!U29</f>
        <v>-147028.43135369197</v>
      </c>
      <c r="S30" s="186">
        <f>'Income statement'!V29</f>
        <v>-133523.81988496054</v>
      </c>
      <c r="T30" s="186">
        <f>'Income statement'!W29</f>
        <v>-1765920.8169932459</v>
      </c>
      <c r="U30" s="186">
        <f>'Income statement'!X29</f>
        <v>-2840173.9145233301</v>
      </c>
      <c r="V30" s="186">
        <f>'Income statement'!Y29</f>
        <v>364300</v>
      </c>
      <c r="W30" s="186">
        <f>'Income statement'!Z29</f>
        <v>-11505896</v>
      </c>
      <c r="X30" s="186">
        <f t="shared" ref="X30:AB30" si="20">X26+X27+X28+X29</f>
        <v>-995333.18857738073</v>
      </c>
      <c r="Y30" s="186">
        <f t="shared" si="20"/>
        <v>1428904.0127650166</v>
      </c>
      <c r="Z30" s="186">
        <f t="shared" si="20"/>
        <v>1770542.273989219</v>
      </c>
      <c r="AA30" s="186">
        <f t="shared" si="20"/>
        <v>2336816.348619184</v>
      </c>
      <c r="AB30" s="186">
        <f t="shared" si="20"/>
        <v>2631070.7284229244</v>
      </c>
      <c r="AC30" s="1"/>
      <c r="AD30" s="1"/>
    </row>
    <row r="31" spans="1:30" ht="15.75" hidden="1" customHeight="1" x14ac:dyDescent="0.45">
      <c r="A31" s="14" t="s">
        <v>35</v>
      </c>
      <c r="B31" s="3">
        <f>'Income statement'!T30</f>
        <v>51681</v>
      </c>
      <c r="C31" s="3">
        <f>'Income statement'!U30</f>
        <v>74181</v>
      </c>
      <c r="D31" s="3">
        <f>'Income statement'!V30</f>
        <v>43623</v>
      </c>
      <c r="E31" s="3">
        <f>'Income statement'!W30</f>
        <v>71296</v>
      </c>
      <c r="F31" s="3">
        <f>'Income statement'!X30</f>
        <v>117500</v>
      </c>
      <c r="G31" s="3">
        <f>'Income statement'!Y30</f>
        <v>204500</v>
      </c>
      <c r="H31" s="3"/>
      <c r="I31" s="3"/>
      <c r="J31" s="3"/>
      <c r="K31" s="3"/>
      <c r="L31" s="3"/>
      <c r="M31" s="1"/>
      <c r="N31" s="1"/>
      <c r="O31" s="1"/>
      <c r="P31" s="14" t="s">
        <v>35</v>
      </c>
      <c r="Q31" s="3">
        <f>'Income statement'!T30</f>
        <v>51681</v>
      </c>
      <c r="R31" s="3">
        <f>'Income statement'!U30</f>
        <v>74181</v>
      </c>
      <c r="S31" s="3">
        <f>'Income statement'!V30</f>
        <v>43623</v>
      </c>
      <c r="T31" s="3">
        <f>'Income statement'!W30</f>
        <v>71296</v>
      </c>
      <c r="U31" s="3">
        <f>'Income statement'!X30</f>
        <v>117500</v>
      </c>
      <c r="V31" s="3">
        <f>'Income statement'!Y30</f>
        <v>204500</v>
      </c>
      <c r="W31" s="3">
        <f>'Income statement'!Z30</f>
        <v>68200</v>
      </c>
      <c r="X31" s="3"/>
      <c r="Y31" s="3"/>
      <c r="Z31" s="3"/>
      <c r="AA31" s="3"/>
      <c r="AB31" s="3"/>
      <c r="AC31" s="1"/>
      <c r="AD31" s="1"/>
    </row>
    <row r="32" spans="1:30" ht="15.75" hidden="1" customHeight="1" x14ac:dyDescent="0.45">
      <c r="A32" s="14" t="s">
        <v>37</v>
      </c>
      <c r="B32" s="3">
        <f>'Income statement'!T31</f>
        <v>-302653</v>
      </c>
      <c r="C32" s="3">
        <f>'Income statement'!U31</f>
        <v>-463348</v>
      </c>
      <c r="D32" s="3">
        <f>'Income statement'!V31</f>
        <v>-685990</v>
      </c>
      <c r="E32" s="3">
        <f>'Income statement'!W31</f>
        <v>-958615</v>
      </c>
      <c r="F32" s="3">
        <f>'Income statement'!X31</f>
        <v>-1159500</v>
      </c>
      <c r="G32" s="3">
        <f>'Income statement'!Y31</f>
        <v>-3108600</v>
      </c>
      <c r="H32" s="3"/>
      <c r="I32" s="3"/>
      <c r="J32" s="3"/>
      <c r="K32" s="3"/>
      <c r="L32" s="3"/>
      <c r="M32" s="1"/>
      <c r="N32" s="1"/>
      <c r="O32" s="1"/>
      <c r="P32" s="14" t="s">
        <v>37</v>
      </c>
      <c r="Q32" s="3">
        <f>'Income statement'!T31</f>
        <v>-302653</v>
      </c>
      <c r="R32" s="3">
        <f>'Income statement'!U31</f>
        <v>-463348</v>
      </c>
      <c r="S32" s="3">
        <f>'Income statement'!V31</f>
        <v>-685990</v>
      </c>
      <c r="T32" s="3">
        <f>'Income statement'!W31</f>
        <v>-958615</v>
      </c>
      <c r="U32" s="3">
        <f>'Income statement'!X31</f>
        <v>-1159500</v>
      </c>
      <c r="V32" s="3">
        <f>'Income statement'!Y31</f>
        <v>-3108600</v>
      </c>
      <c r="W32" s="3">
        <f>'Income statement'!Z31</f>
        <v>-2690700</v>
      </c>
      <c r="X32" s="3"/>
      <c r="Y32" s="3"/>
      <c r="Z32" s="3"/>
      <c r="AA32" s="3"/>
      <c r="AB32" s="3"/>
      <c r="AC32" s="1"/>
      <c r="AD32" s="1"/>
    </row>
    <row r="33" spans="1:30" ht="15.75" hidden="1" customHeight="1" x14ac:dyDescent="0.45">
      <c r="A33" s="14" t="s">
        <v>39</v>
      </c>
      <c r="B33" s="3">
        <f>'Income statement'!T32</f>
        <v>-23167</v>
      </c>
      <c r="C33" s="3">
        <f>'Income statement'!U32</f>
        <v>12989</v>
      </c>
      <c r="D33" s="3">
        <f>'Income statement'!V32</f>
        <v>117513</v>
      </c>
      <c r="E33" s="3">
        <f>'Income statement'!W32</f>
        <v>35285</v>
      </c>
      <c r="F33" s="3">
        <f>'Income statement'!X32</f>
        <v>2273900</v>
      </c>
      <c r="G33" s="3">
        <f>'Income statement'!Y32</f>
        <v>374100</v>
      </c>
      <c r="H33" s="3"/>
      <c r="I33" s="3"/>
      <c r="J33" s="3"/>
      <c r="K33" s="3"/>
      <c r="L33" s="3"/>
      <c r="M33" s="1"/>
      <c r="N33" s="1"/>
      <c r="O33" s="1"/>
      <c r="P33" s="14" t="s">
        <v>39</v>
      </c>
      <c r="Q33" s="3">
        <f>'Income statement'!T32</f>
        <v>-23167</v>
      </c>
      <c r="R33" s="3">
        <f>'Income statement'!U32</f>
        <v>12989</v>
      </c>
      <c r="S33" s="3">
        <f>'Income statement'!V32</f>
        <v>117513</v>
      </c>
      <c r="T33" s="3">
        <f>'Income statement'!W32</f>
        <v>35285</v>
      </c>
      <c r="U33" s="3">
        <f>'Income statement'!X32</f>
        <v>2273900</v>
      </c>
      <c r="V33" s="3">
        <f>'Income statement'!Y32</f>
        <v>374100</v>
      </c>
      <c r="W33" s="3">
        <f>'Income statement'!Z32</f>
        <v>4265700</v>
      </c>
      <c r="X33" s="3"/>
      <c r="Y33" s="3"/>
      <c r="Z33" s="3"/>
      <c r="AA33" s="3"/>
      <c r="AB33" s="3"/>
      <c r="AC33" s="1"/>
      <c r="AD33" s="1"/>
    </row>
    <row r="34" spans="1:30" ht="15.75" hidden="1" customHeight="1" x14ac:dyDescent="0.45">
      <c r="A34" s="150" t="s">
        <v>45</v>
      </c>
      <c r="B34" s="3">
        <f>'Income statement'!T33</f>
        <v>-653369.19674386224</v>
      </c>
      <c r="C34" s="3">
        <f>'Income statement'!U33</f>
        <v>-1168887.226011365</v>
      </c>
      <c r="D34" s="3">
        <f>'Income statement'!V33</f>
        <v>-1510434.7980606556</v>
      </c>
      <c r="E34" s="3">
        <f>'Income statement'!W33</f>
        <v>-1466747.7953377303</v>
      </c>
      <c r="F34" s="3">
        <f>'Income statement'!X33</f>
        <v>-1556704.7987508075</v>
      </c>
      <c r="G34" s="3">
        <f>'Income statement'!Y33</f>
        <v>0</v>
      </c>
      <c r="H34" s="3"/>
      <c r="I34" s="3"/>
      <c r="J34" s="3"/>
      <c r="K34" s="3"/>
      <c r="L34" s="3"/>
      <c r="M34" s="1"/>
      <c r="N34" s="1"/>
      <c r="O34" s="1"/>
      <c r="P34" s="150" t="s">
        <v>45</v>
      </c>
      <c r="Q34" s="3">
        <f>'Income statement'!T33</f>
        <v>-653369.19674386224</v>
      </c>
      <c r="R34" s="3">
        <f>'Income statement'!U33</f>
        <v>-1168887.226011365</v>
      </c>
      <c r="S34" s="3">
        <f>'Income statement'!V33</f>
        <v>-1510434.7980606556</v>
      </c>
      <c r="T34" s="3">
        <f>'Income statement'!W33</f>
        <v>-1466747.7953377303</v>
      </c>
      <c r="U34" s="3">
        <f>'Income statement'!X33</f>
        <v>-1556704.7987508075</v>
      </c>
      <c r="V34" s="3">
        <f>'Income statement'!Y33</f>
        <v>0</v>
      </c>
      <c r="W34" s="3">
        <f>'Income statement'!Z33</f>
        <v>0</v>
      </c>
      <c r="X34" s="3"/>
      <c r="Y34" s="3"/>
      <c r="Z34" s="3"/>
      <c r="AA34" s="3"/>
      <c r="AB34" s="3"/>
      <c r="AC34" s="1"/>
      <c r="AD34" s="1"/>
    </row>
    <row r="35" spans="1:30" ht="15.75" customHeight="1" x14ac:dyDescent="0.45">
      <c r="A35" s="1" t="s">
        <v>44</v>
      </c>
      <c r="B35" s="3">
        <f>'Income statement'!T34</f>
        <v>-927508.19674386224</v>
      </c>
      <c r="C35" s="3">
        <f>'Income statement'!U34</f>
        <v>-1545065.226011365</v>
      </c>
      <c r="D35" s="3">
        <f>'Income statement'!V34</f>
        <v>-2035288.7980606556</v>
      </c>
      <c r="E35" s="3">
        <f>'Income statement'!W34</f>
        <v>-2318781.7953377301</v>
      </c>
      <c r="F35" s="3">
        <f>'Income statement'!X34</f>
        <v>-324804.79875080753</v>
      </c>
      <c r="G35" s="3">
        <f>'Income statement'!Y34</f>
        <v>-2530000</v>
      </c>
      <c r="H35" s="3">
        <f t="shared" ref="H35:L35" si="21">H50*H69</f>
        <v>-1795185.2497752977</v>
      </c>
      <c r="I35" s="3">
        <f t="shared" si="21"/>
        <v>-1815840.4555596388</v>
      </c>
      <c r="J35" s="3">
        <f t="shared" si="21"/>
        <v>-1814949.020896459</v>
      </c>
      <c r="K35" s="3">
        <f t="shared" si="21"/>
        <v>-1794319.3883395991</v>
      </c>
      <c r="L35" s="3">
        <f t="shared" si="21"/>
        <v>-1801973.3317748897</v>
      </c>
      <c r="M35" s="1"/>
      <c r="N35" s="1"/>
      <c r="O35" s="1"/>
      <c r="P35" s="1" t="s">
        <v>44</v>
      </c>
      <c r="Q35" s="3">
        <f>'Income statement'!T34</f>
        <v>-927508.19674386224</v>
      </c>
      <c r="R35" s="3">
        <f>'Income statement'!U34</f>
        <v>-1545065.226011365</v>
      </c>
      <c r="S35" s="3">
        <f>'Income statement'!V34</f>
        <v>-2035288.7980606556</v>
      </c>
      <c r="T35" s="3">
        <f>'Income statement'!W34</f>
        <v>-2318781.7953377301</v>
      </c>
      <c r="U35" s="3">
        <f>'Income statement'!X34</f>
        <v>-324804.79875080753</v>
      </c>
      <c r="V35" s="3">
        <f>'Income statement'!Y34</f>
        <v>-2530000</v>
      </c>
      <c r="W35" s="3">
        <f>'Income statement'!Z34</f>
        <v>1643200</v>
      </c>
      <c r="X35" s="3">
        <f t="shared" ref="X35:AB35" si="22">X50*X69</f>
        <v>-316797.16678602196</v>
      </c>
      <c r="Y35" s="3">
        <f t="shared" si="22"/>
        <v>-343267.04241737683</v>
      </c>
      <c r="Z35" s="3">
        <f t="shared" si="22"/>
        <v>-437665.4790821558</v>
      </c>
      <c r="AA35" s="3">
        <f t="shared" si="22"/>
        <v>-494014.90951398312</v>
      </c>
      <c r="AB35" s="3">
        <f t="shared" si="22"/>
        <v>-503895.20770426269</v>
      </c>
      <c r="AC35" s="1"/>
      <c r="AD35" s="1"/>
    </row>
    <row r="36" spans="1:30" ht="15.75" customHeight="1" x14ac:dyDescent="0.45">
      <c r="A36" s="1" t="s">
        <v>38</v>
      </c>
      <c r="B36" s="3">
        <f>'Income statement'!T35</f>
        <v>250427.21312084282</v>
      </c>
      <c r="C36" s="3">
        <f>'Income statement'!U35</f>
        <v>417167.61102306854</v>
      </c>
      <c r="D36" s="3">
        <f>'Income statement'!V35</f>
        <v>508822.1995151639</v>
      </c>
      <c r="E36" s="3">
        <f>'Income statement'!W35</f>
        <v>556507.63088105526</v>
      </c>
      <c r="F36" s="3">
        <f>'Income statement'!X35</f>
        <v>74705.103712685741</v>
      </c>
      <c r="G36" s="3">
        <f>'Income statement'!Y35</f>
        <v>556600</v>
      </c>
      <c r="H36" s="3">
        <f t="shared" ref="H36:L36" si="23">-H35*H51</f>
        <v>394940.75495056552</v>
      </c>
      <c r="I36" s="3">
        <f t="shared" si="23"/>
        <v>399484.90022312052</v>
      </c>
      <c r="J36" s="3">
        <f t="shared" si="23"/>
        <v>399288.78459722101</v>
      </c>
      <c r="K36" s="3">
        <f t="shared" si="23"/>
        <v>394750.26543471182</v>
      </c>
      <c r="L36" s="3">
        <f t="shared" si="23"/>
        <v>396434.13299047574</v>
      </c>
      <c r="M36" s="1"/>
      <c r="N36" s="1"/>
      <c r="O36" s="1"/>
      <c r="P36" s="1" t="s">
        <v>38</v>
      </c>
      <c r="Q36" s="3">
        <f>'Income statement'!T35</f>
        <v>250427.21312084282</v>
      </c>
      <c r="R36" s="3">
        <f>'Income statement'!U35</f>
        <v>417167.61102306854</v>
      </c>
      <c r="S36" s="3">
        <f>'Income statement'!V35</f>
        <v>508822.1995151639</v>
      </c>
      <c r="T36" s="3">
        <f>'Income statement'!W35</f>
        <v>556507.63088105526</v>
      </c>
      <c r="U36" s="3">
        <f>'Income statement'!X35</f>
        <v>74705.103712685741</v>
      </c>
      <c r="V36" s="3">
        <f>'Income statement'!Y35</f>
        <v>556600</v>
      </c>
      <c r="W36" s="3">
        <f>'Income statement'!Z35</f>
        <v>-361504</v>
      </c>
      <c r="X36" s="3">
        <f t="shared" ref="X36:AB36" si="24">-X35*X51</f>
        <v>69695.376692924838</v>
      </c>
      <c r="Y36" s="3">
        <f t="shared" si="24"/>
        <v>75518.749331822895</v>
      </c>
      <c r="Z36" s="3">
        <f t="shared" si="24"/>
        <v>96286.405398074276</v>
      </c>
      <c r="AA36" s="3">
        <f t="shared" si="24"/>
        <v>108683.28009307629</v>
      </c>
      <c r="AB36" s="3">
        <f t="shared" si="24"/>
        <v>110856.94569493779</v>
      </c>
      <c r="AC36" s="1"/>
      <c r="AD36" s="1"/>
    </row>
    <row r="37" spans="1:30" ht="15.75" customHeight="1" x14ac:dyDescent="0.45">
      <c r="A37" s="143" t="s">
        <v>47</v>
      </c>
      <c r="B37" s="163">
        <f>'Income statement'!T36</f>
        <v>-1655019.0197393054</v>
      </c>
      <c r="C37" s="163">
        <f>'Income statement'!U36</f>
        <v>-1274926.0463419883</v>
      </c>
      <c r="D37" s="163">
        <f>'Income statement'!V36</f>
        <v>-1659990.4184304522</v>
      </c>
      <c r="E37" s="163">
        <f>'Income statement'!W36</f>
        <v>-3528194.9814499207</v>
      </c>
      <c r="F37" s="163">
        <f>'Income statement'!X36</f>
        <v>-3090273.6095614517</v>
      </c>
      <c r="G37" s="163">
        <f>'Income statement'!Y36</f>
        <v>-1609100</v>
      </c>
      <c r="H37" s="163">
        <f t="shared" ref="H37:L37" si="25">H30+H35+H36</f>
        <v>-909183.02747529675</v>
      </c>
      <c r="I37" s="163">
        <f t="shared" si="25"/>
        <v>-109311.57518760889</v>
      </c>
      <c r="J37" s="163">
        <f t="shared" si="25"/>
        <v>285012.33589588705</v>
      </c>
      <c r="K37" s="163">
        <f t="shared" si="25"/>
        <v>818568.69985649374</v>
      </c>
      <c r="L37" s="163">
        <f t="shared" si="25"/>
        <v>942622.54551806324</v>
      </c>
      <c r="M37" s="1"/>
      <c r="N37" s="1"/>
      <c r="O37" s="1"/>
      <c r="P37" s="143" t="s">
        <v>47</v>
      </c>
      <c r="Q37" s="139">
        <f>'Income statement'!T36</f>
        <v>-1655019.0197393054</v>
      </c>
      <c r="R37" s="139">
        <f>'Income statement'!U36</f>
        <v>-1274926.0463419883</v>
      </c>
      <c r="S37" s="139">
        <f>'Income statement'!V36</f>
        <v>-1659990.4184304522</v>
      </c>
      <c r="T37" s="139">
        <f>'Income statement'!W36</f>
        <v>-3528194.9814499207</v>
      </c>
      <c r="U37" s="139">
        <f>'Income statement'!X36</f>
        <v>-3090273.6095614517</v>
      </c>
      <c r="V37" s="139">
        <f>'Income statement'!Y36</f>
        <v>-1609100</v>
      </c>
      <c r="W37" s="139">
        <f>'Income statement'!Z36</f>
        <v>-10224200</v>
      </c>
      <c r="X37" s="139">
        <f t="shared" ref="X37:AB37" si="26">X30+X35+X36</f>
        <v>-1242434.9786704779</v>
      </c>
      <c r="Y37" s="139">
        <f t="shared" si="26"/>
        <v>1161155.7196794627</v>
      </c>
      <c r="Z37" s="139">
        <f t="shared" si="26"/>
        <v>1429163.2003051376</v>
      </c>
      <c r="AA37" s="139">
        <f t="shared" si="26"/>
        <v>1951484.7191982772</v>
      </c>
      <c r="AB37" s="139">
        <f t="shared" si="26"/>
        <v>2238032.4664135994</v>
      </c>
      <c r="AC37" s="1"/>
      <c r="AD37" s="1"/>
    </row>
    <row r="38" spans="1:30" ht="15.75" hidden="1" customHeight="1" x14ac:dyDescent="0.45">
      <c r="A38" s="1" t="s">
        <v>31</v>
      </c>
      <c r="B38" s="186">
        <f>'Income statement'!T37</f>
        <v>0</v>
      </c>
      <c r="C38" s="186">
        <f>'Income statement'!U37</f>
        <v>0</v>
      </c>
      <c r="D38" s="186">
        <f>'Income statement'!V37</f>
        <v>0</v>
      </c>
      <c r="E38" s="186">
        <f>'Income statement'!W37</f>
        <v>0</v>
      </c>
      <c r="F38" s="186">
        <f>'Income statement'!X37</f>
        <v>0</v>
      </c>
      <c r="G38" s="186">
        <f>'Income statement'!Y37</f>
        <v>0</v>
      </c>
      <c r="H38" s="3"/>
      <c r="I38" s="3"/>
      <c r="J38" s="3"/>
      <c r="K38" s="3"/>
      <c r="L38" s="3"/>
      <c r="M38" s="1"/>
      <c r="N38" s="1"/>
      <c r="O38" s="1"/>
      <c r="P38" s="1" t="s">
        <v>31</v>
      </c>
      <c r="Q38" s="3">
        <f>'Income statement'!T37</f>
        <v>0</v>
      </c>
      <c r="R38" s="3">
        <f>'Income statement'!U37</f>
        <v>0</v>
      </c>
      <c r="S38" s="3">
        <f>'Income statement'!V37</f>
        <v>0</v>
      </c>
      <c r="T38" s="3">
        <f>'Income statement'!W37</f>
        <v>0</v>
      </c>
      <c r="U38" s="3">
        <f>'Income statement'!X37</f>
        <v>0</v>
      </c>
      <c r="V38" s="3">
        <f>'Income statement'!Y37</f>
        <v>0</v>
      </c>
      <c r="W38" s="3">
        <f>'Income statement'!Z37</f>
        <v>-12815700</v>
      </c>
      <c r="X38" s="3"/>
      <c r="Y38" s="3"/>
      <c r="Z38" s="3"/>
      <c r="AA38" s="3"/>
      <c r="AB38" s="3"/>
      <c r="AC38" s="1"/>
      <c r="AD38" s="1"/>
    </row>
    <row r="39" spans="1:30" ht="15.75" hidden="1" customHeight="1" x14ac:dyDescent="0.45">
      <c r="A39" s="140" t="s">
        <v>48</v>
      </c>
      <c r="B39" s="186">
        <f>'Income statement'!T38</f>
        <v>-1655019.0197393054</v>
      </c>
      <c r="C39" s="186">
        <f>'Income statement'!U38</f>
        <v>-1274926.0463419883</v>
      </c>
      <c r="D39" s="186">
        <f>'Income statement'!V38</f>
        <v>-1659990.4184304522</v>
      </c>
      <c r="E39" s="186">
        <f>'Income statement'!W38</f>
        <v>-3528194.9814499207</v>
      </c>
      <c r="F39" s="186">
        <f>'Income statement'!X38</f>
        <v>-3090273.6095614517</v>
      </c>
      <c r="G39" s="186">
        <f>'Income statement'!Y38</f>
        <v>-1609100</v>
      </c>
      <c r="H39" s="186"/>
      <c r="I39" s="186"/>
      <c r="J39" s="186"/>
      <c r="K39" s="186"/>
      <c r="L39" s="186"/>
      <c r="M39" s="1"/>
      <c r="N39" s="1"/>
      <c r="O39" s="1"/>
      <c r="P39" s="140" t="s">
        <v>48</v>
      </c>
      <c r="Q39" s="186">
        <f>'Income statement'!T38</f>
        <v>-1655019.0197393054</v>
      </c>
      <c r="R39" s="186">
        <f>'Income statement'!U38</f>
        <v>-1274926.0463419883</v>
      </c>
      <c r="S39" s="186">
        <f>'Income statement'!V38</f>
        <v>-1659990.4184304522</v>
      </c>
      <c r="T39" s="186">
        <f>'Income statement'!W38</f>
        <v>-3528194.9814499207</v>
      </c>
      <c r="U39" s="186">
        <f>'Income statement'!X38</f>
        <v>-3090273.6095614517</v>
      </c>
      <c r="V39" s="186">
        <f>'Income statement'!Y38</f>
        <v>-1609100</v>
      </c>
      <c r="W39" s="186">
        <f>'Income statement'!Z38</f>
        <v>-23039900</v>
      </c>
      <c r="X39" s="186"/>
      <c r="Y39" s="186"/>
      <c r="Z39" s="186"/>
      <c r="AA39" s="186"/>
      <c r="AB39" s="186"/>
      <c r="AC39" s="1"/>
      <c r="AD39" s="1"/>
    </row>
    <row r="40" spans="1:30" ht="15.75" customHeight="1" x14ac:dyDescent="0.45">
      <c r="A40" s="1"/>
      <c r="B40" s="1"/>
      <c r="C40" s="1"/>
      <c r="D40" s="1"/>
      <c r="E40" s="1"/>
      <c r="F40" s="1"/>
      <c r="G40" s="1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 x14ac:dyDescent="0.45">
      <c r="A42" s="260" t="s">
        <v>398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1"/>
      <c r="N42" s="1"/>
      <c r="O42" s="1"/>
      <c r="P42" s="260" t="s">
        <v>399</v>
      </c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1"/>
      <c r="AD42" s="1"/>
    </row>
    <row r="43" spans="1:30" ht="15.75" customHeight="1" x14ac:dyDescent="0.45">
      <c r="A43" s="188" t="s">
        <v>400</v>
      </c>
      <c r="B43" s="264" t="s">
        <v>401</v>
      </c>
      <c r="C43" s="265"/>
      <c r="D43" s="265"/>
      <c r="E43" s="265"/>
      <c r="F43" s="265"/>
      <c r="G43" s="266"/>
      <c r="H43" s="250" t="s">
        <v>402</v>
      </c>
      <c r="I43" s="249"/>
      <c r="J43" s="249"/>
      <c r="K43" s="249"/>
      <c r="L43" s="249"/>
      <c r="M43" s="1"/>
      <c r="N43" s="1"/>
      <c r="O43" s="1"/>
      <c r="P43" s="188" t="s">
        <v>400</v>
      </c>
      <c r="Q43" s="262" t="s">
        <v>401</v>
      </c>
      <c r="R43" s="249"/>
      <c r="S43" s="249"/>
      <c r="T43" s="249"/>
      <c r="U43" s="249"/>
      <c r="V43" s="249"/>
      <c r="W43" s="263"/>
      <c r="X43" s="262" t="s">
        <v>402</v>
      </c>
      <c r="Y43" s="249"/>
      <c r="Z43" s="249"/>
      <c r="AA43" s="249"/>
      <c r="AB43" s="249"/>
      <c r="AC43" s="1"/>
      <c r="AD43" s="1"/>
    </row>
    <row r="44" spans="1:30" ht="15.75" customHeight="1" x14ac:dyDescent="0.45">
      <c r="A44" s="137" t="s">
        <v>404</v>
      </c>
      <c r="B44" s="137">
        <v>2014</v>
      </c>
      <c r="C44" s="137">
        <v>2015</v>
      </c>
      <c r="D44" s="137">
        <v>2016</v>
      </c>
      <c r="E44" s="172">
        <v>2017</v>
      </c>
      <c r="F44" s="172">
        <v>2018</v>
      </c>
      <c r="G44" s="191">
        <v>2019</v>
      </c>
      <c r="H44" s="137">
        <v>2020</v>
      </c>
      <c r="I44" s="137">
        <v>2021</v>
      </c>
      <c r="J44" s="137">
        <v>2022</v>
      </c>
      <c r="K44" s="137">
        <v>2023</v>
      </c>
      <c r="L44" s="137">
        <v>2024</v>
      </c>
      <c r="M44" s="137" t="s">
        <v>405</v>
      </c>
      <c r="N44" s="1"/>
      <c r="O44" s="1"/>
      <c r="P44" s="137" t="s">
        <v>404</v>
      </c>
      <c r="Q44" s="137">
        <v>2014</v>
      </c>
      <c r="R44" s="137">
        <v>2015</v>
      </c>
      <c r="S44" s="137">
        <v>2016</v>
      </c>
      <c r="T44" s="137">
        <v>2017</v>
      </c>
      <c r="U44" s="172">
        <v>2018</v>
      </c>
      <c r="V44" s="172">
        <v>2019</v>
      </c>
      <c r="W44" s="191">
        <v>2020</v>
      </c>
      <c r="X44" s="137">
        <v>2021</v>
      </c>
      <c r="Y44" s="137">
        <v>2022</v>
      </c>
      <c r="Z44" s="137">
        <v>2023</v>
      </c>
      <c r="AA44" s="137">
        <v>2024</v>
      </c>
      <c r="AB44" s="137">
        <v>2025</v>
      </c>
      <c r="AC44" s="137" t="s">
        <v>405</v>
      </c>
      <c r="AD44" s="137" t="s">
        <v>406</v>
      </c>
    </row>
    <row r="45" spans="1:30" ht="15.75" customHeight="1" x14ac:dyDescent="0.45">
      <c r="A45" s="1" t="s">
        <v>407</v>
      </c>
      <c r="B45" s="16"/>
      <c r="C45" s="16">
        <f t="shared" ref="C45:G45" si="27">(C7/B7)-1</f>
        <v>0.14745448347257972</v>
      </c>
      <c r="D45" s="16">
        <f t="shared" si="27"/>
        <v>0.14891485263957183</v>
      </c>
      <c r="E45" s="16">
        <f t="shared" si="27"/>
        <v>0.18050373926460206</v>
      </c>
      <c r="F45" s="16">
        <f t="shared" si="27"/>
        <v>0.33946696594179282</v>
      </c>
      <c r="G45" s="16">
        <f t="shared" si="27"/>
        <v>7.7151882739449062E-2</v>
      </c>
      <c r="H45" s="16">
        <v>0.04</v>
      </c>
      <c r="I45" s="16">
        <v>0.03</v>
      </c>
      <c r="J45" s="16">
        <v>0.02</v>
      </c>
      <c r="K45" s="16">
        <v>0.02</v>
      </c>
      <c r="L45" s="16">
        <v>1.4999999999999999E-2</v>
      </c>
      <c r="M45" s="16">
        <f>AVERAGE(C45:G45)</f>
        <v>0.17869838481159911</v>
      </c>
      <c r="N45" s="1"/>
      <c r="O45" s="1"/>
      <c r="P45" s="1" t="s">
        <v>407</v>
      </c>
      <c r="Q45" s="1"/>
      <c r="R45" s="16">
        <f t="shared" ref="R45:W45" si="28">(R7/Q7)-1</f>
        <v>0.14745448347257972</v>
      </c>
      <c r="S45" s="16">
        <f t="shared" si="28"/>
        <v>0.14891485263957183</v>
      </c>
      <c r="T45" s="16">
        <f t="shared" si="28"/>
        <v>0.18050373926460206</v>
      </c>
      <c r="U45" s="16">
        <f t="shared" si="28"/>
        <v>0.33946696594179282</v>
      </c>
      <c r="V45" s="16">
        <f t="shared" si="28"/>
        <v>7.7151882739449062E-2</v>
      </c>
      <c r="W45" s="16">
        <f t="shared" si="28"/>
        <v>-0.81253269955821872</v>
      </c>
      <c r="X45" s="16">
        <v>0.8</v>
      </c>
      <c r="Y45" s="16">
        <v>0.7</v>
      </c>
      <c r="Z45" s="16">
        <v>0.17</v>
      </c>
      <c r="AA45" s="16">
        <v>0.05</v>
      </c>
      <c r="AB45" s="16">
        <v>0.02</v>
      </c>
      <c r="AC45" s="16">
        <f>AVERAGE(R45:W45)</f>
        <v>1.3493204083296129E-2</v>
      </c>
      <c r="AD45" s="16">
        <f>AVERAGE(R45:V45)</f>
        <v>0.17869838481159911</v>
      </c>
    </row>
    <row r="46" spans="1:30" ht="15.75" customHeight="1" x14ac:dyDescent="0.45">
      <c r="A46" s="1" t="s">
        <v>408</v>
      </c>
      <c r="B46" s="16">
        <f t="shared" ref="B46:G46" si="29">(B11/B7)-1</f>
        <v>3.2431093757416596E-2</v>
      </c>
      <c r="C46" s="16">
        <f t="shared" si="29"/>
        <v>3.735067697146488E-2</v>
      </c>
      <c r="D46" s="16">
        <f t="shared" si="29"/>
        <v>4.55065507011847E-2</v>
      </c>
      <c r="E46" s="16">
        <f t="shared" si="29"/>
        <v>5.7498743636177796E-2</v>
      </c>
      <c r="F46" s="16">
        <f t="shared" si="29"/>
        <v>2.0826383623957501E-2</v>
      </c>
      <c r="G46" s="16">
        <f t="shared" si="29"/>
        <v>2.0772870921500042E-2</v>
      </c>
      <c r="H46" s="16">
        <v>2.5000000000000001E-2</v>
      </c>
      <c r="I46" s="16">
        <v>2.5000000000000001E-2</v>
      </c>
      <c r="J46" s="16">
        <v>2.5000000000000001E-2</v>
      </c>
      <c r="K46" s="16">
        <v>2.5000000000000001E-2</v>
      </c>
      <c r="L46" s="16">
        <v>2.5000000000000001E-2</v>
      </c>
      <c r="M46" s="16">
        <f t="shared" ref="M46:M51" si="30">AVERAGE(B46:G46)</f>
        <v>3.5731053268616919E-2</v>
      </c>
      <c r="N46" s="1"/>
      <c r="O46" s="1"/>
      <c r="P46" s="1" t="s">
        <v>408</v>
      </c>
      <c r="Q46" s="16">
        <f t="shared" ref="Q46:W46" si="31">(Q11/Q7)-1</f>
        <v>3.2431093757416596E-2</v>
      </c>
      <c r="R46" s="16">
        <f t="shared" si="31"/>
        <v>3.735067697146488E-2</v>
      </c>
      <c r="S46" s="16">
        <f t="shared" si="31"/>
        <v>4.55065507011847E-2</v>
      </c>
      <c r="T46" s="16">
        <f t="shared" si="31"/>
        <v>5.7498743636177796E-2</v>
      </c>
      <c r="U46" s="16">
        <f t="shared" si="31"/>
        <v>2.0826383623957501E-2</v>
      </c>
      <c r="V46" s="16">
        <f t="shared" si="31"/>
        <v>2.0772870921500042E-2</v>
      </c>
      <c r="W46" s="16">
        <f t="shared" si="31"/>
        <v>0.13735232278734477</v>
      </c>
      <c r="X46" s="16">
        <f>$AD$46</f>
        <v>3.5731053268616919E-2</v>
      </c>
      <c r="Y46" s="16">
        <f>$AD$46</f>
        <v>3.5731053268616919E-2</v>
      </c>
      <c r="Z46" s="16">
        <f>$AD$46</f>
        <v>3.5731053268616919E-2</v>
      </c>
      <c r="AA46" s="16">
        <f>$AD$46</f>
        <v>3.5731053268616919E-2</v>
      </c>
      <c r="AB46" s="16">
        <f>$AD$46</f>
        <v>3.5731053268616919E-2</v>
      </c>
      <c r="AC46" s="16">
        <f t="shared" ref="AC46:AC50" si="32">AVERAGE(Q46:W46)</f>
        <v>5.024837748557804E-2</v>
      </c>
      <c r="AD46" s="16">
        <f t="shared" ref="AD46:AD50" si="33">AVERAGE(Q46:V46)</f>
        <v>3.5731053268616919E-2</v>
      </c>
    </row>
    <row r="47" spans="1:30" ht="15.75" customHeight="1" x14ac:dyDescent="0.45">
      <c r="A47" s="1" t="s">
        <v>409</v>
      </c>
      <c r="B47" s="16">
        <f t="shared" ref="B47:G47" si="34">B22/B11</f>
        <v>6.3332579842399636E-2</v>
      </c>
      <c r="C47" s="16">
        <f t="shared" si="34"/>
        <v>0.16808241867477292</v>
      </c>
      <c r="D47" s="16">
        <f t="shared" si="34"/>
        <v>0.23585931544329847</v>
      </c>
      <c r="E47" s="16">
        <f t="shared" si="34"/>
        <v>0.13573828111958414</v>
      </c>
      <c r="F47" s="16">
        <f t="shared" si="34"/>
        <v>5.692663037423782E-2</v>
      </c>
      <c r="G47" s="16">
        <f t="shared" si="34"/>
        <v>0.16778177956849613</v>
      </c>
      <c r="H47" s="16">
        <v>0.16</v>
      </c>
      <c r="I47" s="16">
        <v>0.17</v>
      </c>
      <c r="J47" s="16">
        <v>0.17</v>
      </c>
      <c r="K47" s="16">
        <v>0.18</v>
      </c>
      <c r="L47" s="16">
        <v>0.18</v>
      </c>
      <c r="M47" s="16">
        <f t="shared" si="30"/>
        <v>0.13795350083713151</v>
      </c>
      <c r="N47" s="1"/>
      <c r="O47" s="1"/>
      <c r="P47" s="1" t="s">
        <v>410</v>
      </c>
      <c r="Q47" s="16">
        <f t="shared" ref="Q47:W47" si="35">Q22/Q11</f>
        <v>6.3332579842399636E-2</v>
      </c>
      <c r="R47" s="16">
        <f t="shared" si="35"/>
        <v>0.16808241867477292</v>
      </c>
      <c r="S47" s="16">
        <f t="shared" si="35"/>
        <v>0.23585931544329847</v>
      </c>
      <c r="T47" s="16">
        <f t="shared" si="35"/>
        <v>0.13573828111958414</v>
      </c>
      <c r="U47" s="16">
        <f t="shared" si="35"/>
        <v>5.692663037423782E-2</v>
      </c>
      <c r="V47" s="16">
        <f t="shared" si="35"/>
        <v>0.16778177956849613</v>
      </c>
      <c r="W47" s="16">
        <f t="shared" si="35"/>
        <v>-0.52411448189350673</v>
      </c>
      <c r="X47" s="16">
        <v>4.3400000000000001E-2</v>
      </c>
      <c r="Y47" s="16">
        <v>0.15</v>
      </c>
      <c r="Z47" s="16">
        <v>0.15</v>
      </c>
      <c r="AA47" s="16">
        <v>0.17</v>
      </c>
      <c r="AB47" s="16">
        <v>0.18</v>
      </c>
      <c r="AC47" s="16">
        <f t="shared" si="32"/>
        <v>4.3372360447040341E-2</v>
      </c>
      <c r="AD47" s="16">
        <f t="shared" si="33"/>
        <v>0.13795350083713151</v>
      </c>
    </row>
    <row r="48" spans="1:30" ht="15.75" customHeight="1" x14ac:dyDescent="0.45">
      <c r="A48" s="1" t="s">
        <v>411</v>
      </c>
      <c r="B48" s="16">
        <f t="shared" ref="B48:G48" si="36">1-B47</f>
        <v>0.93666742015760041</v>
      </c>
      <c r="C48" s="16">
        <f t="shared" si="36"/>
        <v>0.83191758132522708</v>
      </c>
      <c r="D48" s="16">
        <f t="shared" si="36"/>
        <v>0.76414068455670159</v>
      </c>
      <c r="E48" s="16">
        <f t="shared" si="36"/>
        <v>0.86426171888041581</v>
      </c>
      <c r="F48" s="16">
        <f t="shared" si="36"/>
        <v>0.94307336962576216</v>
      </c>
      <c r="G48" s="16">
        <f t="shared" si="36"/>
        <v>0.83221822043150384</v>
      </c>
      <c r="H48" s="16">
        <f>1-H47</f>
        <v>0.84</v>
      </c>
      <c r="I48" s="16">
        <f t="shared" ref="I48:L48" si="37">1-I47</f>
        <v>0.83</v>
      </c>
      <c r="J48" s="16">
        <f t="shared" si="37"/>
        <v>0.83</v>
      </c>
      <c r="K48" s="16">
        <f t="shared" si="37"/>
        <v>0.82000000000000006</v>
      </c>
      <c r="L48" s="16">
        <f t="shared" si="37"/>
        <v>0.82000000000000006</v>
      </c>
      <c r="M48" s="16">
        <f t="shared" si="30"/>
        <v>0.86204649916286835</v>
      </c>
      <c r="N48" s="1"/>
      <c r="O48" s="1"/>
      <c r="P48" s="1" t="s">
        <v>411</v>
      </c>
      <c r="Q48" s="16">
        <f t="shared" ref="Q48:W48" si="38">1-Q47</f>
        <v>0.93666742015760041</v>
      </c>
      <c r="R48" s="16">
        <f t="shared" si="38"/>
        <v>0.83191758132522708</v>
      </c>
      <c r="S48" s="16">
        <f t="shared" si="38"/>
        <v>0.76414068455670159</v>
      </c>
      <c r="T48" s="16">
        <f t="shared" si="38"/>
        <v>0.86426171888041581</v>
      </c>
      <c r="U48" s="16">
        <f t="shared" si="38"/>
        <v>0.94307336962576216</v>
      </c>
      <c r="V48" s="16">
        <f t="shared" si="38"/>
        <v>0.83221822043150384</v>
      </c>
      <c r="W48" s="16">
        <f t="shared" si="38"/>
        <v>1.5241144818935068</v>
      </c>
      <c r="X48" s="16">
        <f>1-X47</f>
        <v>0.95660000000000001</v>
      </c>
      <c r="Y48" s="16">
        <f t="shared" ref="Y48:AB48" si="39">1-Y47</f>
        <v>0.85</v>
      </c>
      <c r="Z48" s="16">
        <f t="shared" si="39"/>
        <v>0.85</v>
      </c>
      <c r="AA48" s="16">
        <f t="shared" si="39"/>
        <v>0.83</v>
      </c>
      <c r="AB48" s="16">
        <f t="shared" si="39"/>
        <v>0.82000000000000006</v>
      </c>
      <c r="AC48" s="16">
        <f t="shared" si="32"/>
        <v>0.95662763955295971</v>
      </c>
      <c r="AD48" s="16">
        <f t="shared" si="33"/>
        <v>0.86204649916286835</v>
      </c>
    </row>
    <row r="49" spans="1:30" ht="15.75" customHeight="1" x14ac:dyDescent="0.45">
      <c r="A49" s="1" t="s">
        <v>412</v>
      </c>
      <c r="B49" s="16">
        <f>(B23+B24+B25)/'Balance sheet'!B180</f>
        <v>-8.4382119035622455E-2</v>
      </c>
      <c r="C49" s="16">
        <f>(C23+C24+C25)/'Balance sheet'!C180</f>
        <v>-7.2939034278382206E-2</v>
      </c>
      <c r="D49" s="16">
        <f>(D23+D24+D25)/'Balance sheet'!D180</f>
        <v>-0.1101716427670394</v>
      </c>
      <c r="E49" s="16">
        <f>(E23+E24+E25)/'Balance sheet'!E180</f>
        <v>-0.1081166277949047</v>
      </c>
      <c r="F49" s="16">
        <f>(F23+F24+F25)/'Balance sheet'!F180</f>
        <v>-8.749293032716296E-2</v>
      </c>
      <c r="G49" s="16">
        <f>(G23+G24+G25)/'Balance sheet'!G180</f>
        <v>-9.1292343318588015E-2</v>
      </c>
      <c r="H49" s="16">
        <v>-0.09</v>
      </c>
      <c r="I49" s="16">
        <v>-8.5000000000000006E-2</v>
      </c>
      <c r="J49" s="16">
        <v>-0.08</v>
      </c>
      <c r="K49" s="16">
        <v>-0.08</v>
      </c>
      <c r="L49" s="16">
        <v>-0.08</v>
      </c>
      <c r="M49" s="16">
        <f t="shared" si="30"/>
        <v>-9.2399116253616631E-2</v>
      </c>
      <c r="N49" s="1"/>
      <c r="O49" s="1"/>
      <c r="P49" s="1" t="s">
        <v>412</v>
      </c>
      <c r="Q49" s="16">
        <f t="shared" ref="Q49:W49" si="40">(Q23+Q24+Q25)/Q58</f>
        <v>-8.4382119035622455E-2</v>
      </c>
      <c r="R49" s="16">
        <f t="shared" si="40"/>
        <v>-7.2939034278382206E-2</v>
      </c>
      <c r="S49" s="16">
        <f t="shared" si="40"/>
        <v>-0.1101716427670394</v>
      </c>
      <c r="T49" s="16">
        <f t="shared" si="40"/>
        <v>-0.1081166277949047</v>
      </c>
      <c r="U49" s="16">
        <f t="shared" si="40"/>
        <v>-8.749293032716296E-2</v>
      </c>
      <c r="V49" s="16">
        <f t="shared" si="40"/>
        <v>-9.1292343318588015E-2</v>
      </c>
      <c r="W49" s="16">
        <f t="shared" si="40"/>
        <v>-0.52240944762418551</v>
      </c>
      <c r="X49" s="16">
        <f t="shared" ref="X49:AB49" si="41">$AC$49</f>
        <v>-0.15382916359226931</v>
      </c>
      <c r="Y49" s="16">
        <f t="shared" si="41"/>
        <v>-0.15382916359226931</v>
      </c>
      <c r="Z49" s="16">
        <f t="shared" si="41"/>
        <v>-0.15382916359226931</v>
      </c>
      <c r="AA49" s="16">
        <f t="shared" si="41"/>
        <v>-0.15382916359226931</v>
      </c>
      <c r="AB49" s="16">
        <f t="shared" si="41"/>
        <v>-0.15382916359226931</v>
      </c>
      <c r="AC49" s="16">
        <f t="shared" si="32"/>
        <v>-0.15382916359226931</v>
      </c>
      <c r="AD49" s="16">
        <f t="shared" si="33"/>
        <v>-9.2399116253616631E-2</v>
      </c>
    </row>
    <row r="50" spans="1:30" ht="15.75" customHeight="1" x14ac:dyDescent="0.45">
      <c r="A50" s="1" t="s">
        <v>413</v>
      </c>
      <c r="B50" s="41">
        <f t="shared" ref="B50:G50" si="42">B35/(B69)</f>
        <v>-6.6925737097958446E-2</v>
      </c>
      <c r="C50" s="41">
        <f t="shared" si="42"/>
        <v>-7.5667486437181269E-2</v>
      </c>
      <c r="D50" s="41">
        <f t="shared" si="42"/>
        <v>-8.7932301910398664E-2</v>
      </c>
      <c r="E50" s="41">
        <f t="shared" si="42"/>
        <v>-8.9990978529086538E-2</v>
      </c>
      <c r="F50" s="41">
        <f t="shared" si="42"/>
        <v>-1.0011058812585377E-2</v>
      </c>
      <c r="G50" s="41">
        <f t="shared" si="42"/>
        <v>-9.7023339290234004E-2</v>
      </c>
      <c r="H50" s="16">
        <f t="shared" ref="H50:L50" si="43">$M$50</f>
        <v>-7.1258483679574047E-2</v>
      </c>
      <c r="I50" s="16">
        <f t="shared" si="43"/>
        <v>-7.1258483679574047E-2</v>
      </c>
      <c r="J50" s="16">
        <f t="shared" si="43"/>
        <v>-7.1258483679574047E-2</v>
      </c>
      <c r="K50" s="16">
        <f t="shared" si="43"/>
        <v>-7.1258483679574047E-2</v>
      </c>
      <c r="L50" s="16">
        <f t="shared" si="43"/>
        <v>-7.1258483679574047E-2</v>
      </c>
      <c r="M50" s="16">
        <f t="shared" si="30"/>
        <v>-7.1258483679574047E-2</v>
      </c>
      <c r="N50" s="1"/>
      <c r="O50" s="1"/>
      <c r="P50" s="1" t="s">
        <v>413</v>
      </c>
      <c r="Q50" s="16">
        <f t="shared" ref="Q50:W50" si="44">Q35/Q69</f>
        <v>-6.6925737097958446E-2</v>
      </c>
      <c r="R50" s="16">
        <f t="shared" si="44"/>
        <v>-7.5667486437181269E-2</v>
      </c>
      <c r="S50" s="16">
        <f t="shared" si="44"/>
        <v>-8.7932301910398664E-2</v>
      </c>
      <c r="T50" s="16">
        <f t="shared" si="44"/>
        <v>-8.9990978529086538E-2</v>
      </c>
      <c r="U50" s="16">
        <f t="shared" si="44"/>
        <v>-1.0011058812585377E-2</v>
      </c>
      <c r="V50" s="16">
        <f t="shared" si="44"/>
        <v>-9.7023339290234004E-2</v>
      </c>
      <c r="W50" s="16">
        <f t="shared" si="44"/>
        <v>0.17412128725985737</v>
      </c>
      <c r="X50" s="16">
        <f t="shared" ref="X50:AB50" si="45">$AC$50</f>
        <v>-3.6204230688226702E-2</v>
      </c>
      <c r="Y50" s="16">
        <f t="shared" si="45"/>
        <v>-3.6204230688226702E-2</v>
      </c>
      <c r="Z50" s="16">
        <f t="shared" si="45"/>
        <v>-3.6204230688226702E-2</v>
      </c>
      <c r="AA50" s="16">
        <f t="shared" si="45"/>
        <v>-3.6204230688226702E-2</v>
      </c>
      <c r="AB50" s="16">
        <f t="shared" si="45"/>
        <v>-3.6204230688226702E-2</v>
      </c>
      <c r="AC50" s="16">
        <f t="shared" si="32"/>
        <v>-3.6204230688226702E-2</v>
      </c>
      <c r="AD50" s="16">
        <f t="shared" si="33"/>
        <v>-7.1258483679574047E-2</v>
      </c>
    </row>
    <row r="51" spans="1:30" ht="15.75" customHeight="1" x14ac:dyDescent="0.45">
      <c r="A51" s="1" t="s">
        <v>414</v>
      </c>
      <c r="B51" s="17">
        <f>'Income statement'!B46</f>
        <v>0.27</v>
      </c>
      <c r="C51" s="17">
        <f>'Income statement'!C46</f>
        <v>0.27</v>
      </c>
      <c r="D51" s="17">
        <f>'Income statement'!D46</f>
        <v>0.25</v>
      </c>
      <c r="E51" s="17">
        <f>'Income statement'!E46</f>
        <v>0.24</v>
      </c>
      <c r="F51" s="17">
        <f>'Income statement'!F46</f>
        <v>0.23</v>
      </c>
      <c r="G51" s="17">
        <f>'Income statement'!G46</f>
        <v>0.22</v>
      </c>
      <c r="H51" s="16">
        <v>0.22</v>
      </c>
      <c r="I51" s="16">
        <v>0.22</v>
      </c>
      <c r="J51" s="16">
        <v>0.22</v>
      </c>
      <c r="K51" s="16">
        <v>0.22</v>
      </c>
      <c r="L51" s="16">
        <v>0.22</v>
      </c>
      <c r="M51" s="16">
        <f t="shared" si="30"/>
        <v>0.24666666666666667</v>
      </c>
      <c r="N51" s="1"/>
      <c r="O51" s="1"/>
      <c r="P51" s="1" t="s">
        <v>414</v>
      </c>
      <c r="Q51" s="17">
        <f>'Income statement'!B46</f>
        <v>0.27</v>
      </c>
      <c r="R51" s="17">
        <f>'Income statement'!C46</f>
        <v>0.27</v>
      </c>
      <c r="S51" s="17">
        <f>'Income statement'!D46</f>
        <v>0.25</v>
      </c>
      <c r="T51" s="17">
        <f>'Income statement'!E46</f>
        <v>0.24</v>
      </c>
      <c r="U51" s="17">
        <f>'Income statement'!F46</f>
        <v>0.23</v>
      </c>
      <c r="V51" s="17">
        <f>'Income statement'!G46</f>
        <v>0.22</v>
      </c>
      <c r="W51" s="17">
        <f>'Income statement'!H46</f>
        <v>0.22</v>
      </c>
      <c r="X51" s="17">
        <v>0.22</v>
      </c>
      <c r="Y51" s="17">
        <v>0.22</v>
      </c>
      <c r="Z51" s="17">
        <v>0.22</v>
      </c>
      <c r="AA51" s="17">
        <v>0.22</v>
      </c>
      <c r="AB51" s="17">
        <v>0.22</v>
      </c>
      <c r="AC51" s="16"/>
      <c r="AD51" s="1"/>
    </row>
    <row r="52" spans="1:30" ht="15.7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7"/>
      <c r="Y52" s="17"/>
      <c r="Z52" s="17"/>
      <c r="AA52" s="17"/>
      <c r="AB52" s="17"/>
      <c r="AC52" s="1"/>
      <c r="AD52" s="1"/>
    </row>
    <row r="53" spans="1:30" ht="15.7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3"/>
      <c r="X53" s="1"/>
      <c r="Y53" s="1"/>
      <c r="Z53" s="1"/>
      <c r="AA53" s="1"/>
      <c r="AB53" s="1"/>
      <c r="AC53" s="1"/>
      <c r="AD53" s="1"/>
    </row>
    <row r="54" spans="1:30" ht="15.7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customHeight="1" x14ac:dyDescent="0.45">
      <c r="A55" s="260" t="s">
        <v>398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1"/>
      <c r="N55" s="1"/>
      <c r="O55" s="1"/>
      <c r="P55" s="260" t="s">
        <v>399</v>
      </c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1"/>
      <c r="AD55" s="1"/>
    </row>
    <row r="56" spans="1:30" ht="15.75" customHeight="1" x14ac:dyDescent="0.45">
      <c r="A56" s="188" t="s">
        <v>415</v>
      </c>
      <c r="B56" s="264" t="s">
        <v>401</v>
      </c>
      <c r="C56" s="265"/>
      <c r="D56" s="265"/>
      <c r="E56" s="265"/>
      <c r="F56" s="265"/>
      <c r="G56" s="266"/>
      <c r="H56" s="250" t="s">
        <v>402</v>
      </c>
      <c r="I56" s="249"/>
      <c r="J56" s="249"/>
      <c r="K56" s="249"/>
      <c r="L56" s="249"/>
      <c r="M56" s="1"/>
      <c r="N56" s="1"/>
      <c r="O56" s="1"/>
      <c r="P56" s="188" t="s">
        <v>415</v>
      </c>
      <c r="Q56" s="262" t="s">
        <v>401</v>
      </c>
      <c r="R56" s="249"/>
      <c r="S56" s="249"/>
      <c r="T56" s="249"/>
      <c r="U56" s="249"/>
      <c r="V56" s="249"/>
      <c r="W56" s="263"/>
      <c r="X56" s="262" t="s">
        <v>402</v>
      </c>
      <c r="Y56" s="249"/>
      <c r="Z56" s="249"/>
      <c r="AA56" s="249"/>
      <c r="AB56" s="249"/>
      <c r="AC56" s="1"/>
      <c r="AD56" s="1"/>
    </row>
    <row r="57" spans="1:30" ht="15.75" customHeight="1" x14ac:dyDescent="0.45">
      <c r="A57" s="137" t="s">
        <v>403</v>
      </c>
      <c r="B57" s="137">
        <v>2014</v>
      </c>
      <c r="C57" s="137">
        <v>2015</v>
      </c>
      <c r="D57" s="137">
        <v>2016</v>
      </c>
      <c r="E57" s="172">
        <v>2017</v>
      </c>
      <c r="F57" s="172">
        <v>2018</v>
      </c>
      <c r="G57" s="191">
        <v>2019</v>
      </c>
      <c r="H57" s="137">
        <v>2020</v>
      </c>
      <c r="I57" s="137">
        <v>2021</v>
      </c>
      <c r="J57" s="137">
        <v>2022</v>
      </c>
      <c r="K57" s="137">
        <v>2023</v>
      </c>
      <c r="L57" s="137">
        <v>2024</v>
      </c>
      <c r="M57" s="1"/>
      <c r="N57" s="1"/>
      <c r="O57" s="1"/>
      <c r="P57" s="137" t="s">
        <v>403</v>
      </c>
      <c r="Q57" s="137">
        <v>2014</v>
      </c>
      <c r="R57" s="137">
        <v>2015</v>
      </c>
      <c r="S57" s="137">
        <v>2016</v>
      </c>
      <c r="T57" s="137">
        <v>2017</v>
      </c>
      <c r="U57" s="137">
        <v>2018</v>
      </c>
      <c r="V57" s="137">
        <v>2019</v>
      </c>
      <c r="W57" s="137">
        <v>2020</v>
      </c>
      <c r="X57" s="137">
        <v>2021</v>
      </c>
      <c r="Y57" s="137">
        <v>2022</v>
      </c>
      <c r="Z57" s="137">
        <v>2023</v>
      </c>
      <c r="AA57" s="137">
        <v>2024</v>
      </c>
      <c r="AB57" s="137">
        <v>2025</v>
      </c>
      <c r="AC57" s="1"/>
      <c r="AD57" s="1"/>
    </row>
    <row r="58" spans="1:30" ht="15.75" customHeight="1" x14ac:dyDescent="0.45">
      <c r="A58" s="44" t="s">
        <v>105</v>
      </c>
      <c r="B58" s="45">
        <f>'Balance sheet'!B180</f>
        <v>32500140.781564951</v>
      </c>
      <c r="C58" s="45">
        <f>'Balance sheet'!C180</f>
        <v>58423010.434914112</v>
      </c>
      <c r="D58" s="45">
        <f>'Balance sheet'!D180</f>
        <v>57672521.412326634</v>
      </c>
      <c r="E58" s="45">
        <f>'Balance sheet'!E180</f>
        <v>62581815.604719311</v>
      </c>
      <c r="F58" s="45">
        <f>'Balance sheet'!F180</f>
        <v>75316213.869932413</v>
      </c>
      <c r="G58" s="45">
        <f>'Balance sheet'!G180</f>
        <v>70734300</v>
      </c>
      <c r="H58" s="45">
        <f>H79*H11</f>
        <v>68154017.099999994</v>
      </c>
      <c r="I58" s="45">
        <f>I79*I11</f>
        <v>67858683.025899991</v>
      </c>
      <c r="J58" s="45">
        <f>J79*J11</f>
        <v>67783804.479112789</v>
      </c>
      <c r="K58" s="45">
        <f>K79*K11</f>
        <v>67678787.31724374</v>
      </c>
      <c r="L58" s="45">
        <f>L79*L11</f>
        <v>67211365.476779327</v>
      </c>
      <c r="M58" s="1"/>
      <c r="N58" s="1"/>
      <c r="O58" s="1"/>
      <c r="P58" s="44" t="s">
        <v>105</v>
      </c>
      <c r="Q58" s="45">
        <f>'Balance sheet'!B180</f>
        <v>32500140.781564951</v>
      </c>
      <c r="R58" s="45">
        <f>'Balance sheet'!C180</f>
        <v>58423010.434914112</v>
      </c>
      <c r="S58" s="45">
        <f>'Balance sheet'!D180</f>
        <v>57672521.412326634</v>
      </c>
      <c r="T58" s="45">
        <f>'Balance sheet'!E180</f>
        <v>62581815.604719311</v>
      </c>
      <c r="U58" s="45">
        <f>'Balance sheet'!F180</f>
        <v>75316213.869932413</v>
      </c>
      <c r="V58" s="45">
        <f>'Balance sheet'!G180</f>
        <v>70734300</v>
      </c>
      <c r="W58" s="45">
        <f>'Balance sheet'!H180</f>
        <v>11863300</v>
      </c>
      <c r="X58" s="45">
        <f>X79*X11</f>
        <v>11917303.787574081</v>
      </c>
      <c r="Y58" s="45">
        <f>Y79*Y11</f>
        <v>12155649.863325562</v>
      </c>
      <c r="Z58" s="45">
        <f>Z79*Z11</f>
        <v>13333228.443835225</v>
      </c>
      <c r="AA58" s="45">
        <f>AA79*AA11</f>
        <v>13999889.866026986</v>
      </c>
      <c r="AB58" s="45">
        <f>AB79*AB11</f>
        <v>14279887.663347526</v>
      </c>
      <c r="AC58" s="1"/>
      <c r="AD58" s="1"/>
    </row>
    <row r="59" spans="1:30" ht="15.75" customHeight="1" x14ac:dyDescent="0.45">
      <c r="A59" s="44" t="s">
        <v>106</v>
      </c>
      <c r="B59" s="45">
        <f>'Balance sheet'!B187</f>
        <v>-15737807.801304257</v>
      </c>
      <c r="C59" s="45">
        <f>'Balance sheet'!C187</f>
        <v>-34759530.481256105</v>
      </c>
      <c r="D59" s="45">
        <f>'Balance sheet'!D187</f>
        <v>-30156972.830757085</v>
      </c>
      <c r="E59" s="45">
        <f>'Balance sheet'!E187</f>
        <v>-32838805.586169235</v>
      </c>
      <c r="F59" s="45">
        <f>'Balance sheet'!F187</f>
        <v>-36694287.479493864</v>
      </c>
      <c r="G59" s="45">
        <f>'Balance sheet'!G187</f>
        <v>-34500600</v>
      </c>
      <c r="H59" s="45">
        <f>H80*H11</f>
        <v>-33622648.435999997</v>
      </c>
      <c r="I59" s="45">
        <f>I80*I11</f>
        <v>-33227355.136819996</v>
      </c>
      <c r="J59" s="45">
        <f>J80*J11</f>
        <v>-32937200.768019598</v>
      </c>
      <c r="K59" s="45">
        <f>K80*K11</f>
        <v>-32622149.282412458</v>
      </c>
      <c r="L59" s="45">
        <f>L80*L11</f>
        <v>-32617280.304907616</v>
      </c>
      <c r="M59" s="1"/>
      <c r="N59" s="1"/>
      <c r="O59" s="1"/>
      <c r="P59" s="44" t="s">
        <v>106</v>
      </c>
      <c r="Q59" s="45">
        <f>'Balance sheet'!B187</f>
        <v>-15737807.801304257</v>
      </c>
      <c r="R59" s="45">
        <f>'Balance sheet'!C187</f>
        <v>-34759530.481256105</v>
      </c>
      <c r="S59" s="45">
        <f>'Balance sheet'!D187</f>
        <v>-30156972.830757085</v>
      </c>
      <c r="T59" s="45">
        <f>'Balance sheet'!E187</f>
        <v>-32838805.586169235</v>
      </c>
      <c r="U59" s="45">
        <f>'Balance sheet'!F187</f>
        <v>-36694287.479493864</v>
      </c>
      <c r="V59" s="45">
        <f>'Balance sheet'!G187</f>
        <v>-34500600</v>
      </c>
      <c r="W59" s="45">
        <f>'Balance sheet'!H187</f>
        <v>-2448400</v>
      </c>
      <c r="X59" s="45">
        <f>X80*X11</f>
        <v>-2234494.46017014</v>
      </c>
      <c r="Y59" s="45">
        <f>Y80*Y11</f>
        <v>-4051883.2877751878</v>
      </c>
      <c r="Z59" s="45">
        <f>Z80*Z11</f>
        <v>-5036997.4121155292</v>
      </c>
      <c r="AA59" s="45">
        <f>AA80*AA11</f>
        <v>-5599955.9464107938</v>
      </c>
      <c r="AB59" s="45">
        <f>AB80*AB11</f>
        <v>-5711955.0653390102</v>
      </c>
      <c r="AC59" s="1"/>
      <c r="AD59" s="1"/>
    </row>
    <row r="60" spans="1:30" ht="15.75" customHeight="1" x14ac:dyDescent="0.45">
      <c r="A60" s="132" t="s">
        <v>133</v>
      </c>
      <c r="B60" s="20">
        <f>'Balance sheet'!K211</f>
        <v>16762332.980260694</v>
      </c>
      <c r="C60" s="20">
        <f>'Balance sheet'!L211</f>
        <v>23663479.953658007</v>
      </c>
      <c r="D60" s="20">
        <f>'Balance sheet'!M211</f>
        <v>27515548.581569549</v>
      </c>
      <c r="E60" s="20">
        <f>'Balance sheet'!N211</f>
        <v>29743010.018550076</v>
      </c>
      <c r="F60" s="20">
        <f>'Balance sheet'!O211</f>
        <v>38621926.390438549</v>
      </c>
      <c r="G60" s="20">
        <f>'Balance sheet'!P211</f>
        <v>36233700</v>
      </c>
      <c r="H60" s="20">
        <f t="shared" ref="H60:L60" si="46">H58+H59</f>
        <v>34531368.663999997</v>
      </c>
      <c r="I60" s="20">
        <f t="shared" si="46"/>
        <v>34631327.889079995</v>
      </c>
      <c r="J60" s="20">
        <f t="shared" si="46"/>
        <v>34846603.711093187</v>
      </c>
      <c r="K60" s="20">
        <f t="shared" si="46"/>
        <v>35056638.034831285</v>
      </c>
      <c r="L60" s="20">
        <f t="shared" si="46"/>
        <v>34594085.171871707</v>
      </c>
      <c r="M60" s="1"/>
      <c r="N60" s="1"/>
      <c r="O60" s="1"/>
      <c r="P60" s="132" t="s">
        <v>133</v>
      </c>
      <c r="Q60" s="20">
        <f t="shared" ref="Q60:AB60" si="47">Q58+Q59</f>
        <v>16762332.980260694</v>
      </c>
      <c r="R60" s="20">
        <f t="shared" si="47"/>
        <v>23663479.953658007</v>
      </c>
      <c r="S60" s="20">
        <f t="shared" si="47"/>
        <v>27515548.581569549</v>
      </c>
      <c r="T60" s="20">
        <f t="shared" si="47"/>
        <v>29743010.018550076</v>
      </c>
      <c r="U60" s="20">
        <f t="shared" si="47"/>
        <v>38621926.390438549</v>
      </c>
      <c r="V60" s="20">
        <f t="shared" si="47"/>
        <v>36233700</v>
      </c>
      <c r="W60" s="20">
        <f t="shared" si="47"/>
        <v>9414900</v>
      </c>
      <c r="X60" s="20">
        <f t="shared" si="47"/>
        <v>9682809.3274039403</v>
      </c>
      <c r="Y60" s="20">
        <f t="shared" si="47"/>
        <v>8103766.5755503746</v>
      </c>
      <c r="Z60" s="20">
        <f t="shared" si="47"/>
        <v>8296231.0317196958</v>
      </c>
      <c r="AA60" s="20">
        <f t="shared" si="47"/>
        <v>8399933.9196161926</v>
      </c>
      <c r="AB60" s="20">
        <f t="shared" si="47"/>
        <v>8567932.5980085153</v>
      </c>
      <c r="AC60" s="1"/>
      <c r="AD60" s="1"/>
    </row>
    <row r="61" spans="1:30" ht="15.75" customHeight="1" x14ac:dyDescent="0.45">
      <c r="A61" s="44" t="s">
        <v>107</v>
      </c>
      <c r="B61" s="45">
        <f>'Balance sheet'!B192</f>
        <v>2256373</v>
      </c>
      <c r="C61" s="45">
        <f>'Balance sheet'!C192</f>
        <v>2654857</v>
      </c>
      <c r="D61" s="45">
        <f>'Balance sheet'!D192</f>
        <v>3116443</v>
      </c>
      <c r="E61" s="45">
        <f>'Balance sheet'!E192</f>
        <v>4459461</v>
      </c>
      <c r="F61" s="45">
        <f>'Balance sheet'!F192</f>
        <v>6919900</v>
      </c>
      <c r="G61" s="45">
        <f>'Balance sheet'!G192</f>
        <v>10308600</v>
      </c>
      <c r="H61" s="3">
        <f>H77*H11</f>
        <v>10765340.569915166</v>
      </c>
      <c r="I61" s="3">
        <f>I77*I11</f>
        <v>11088300.78701262</v>
      </c>
      <c r="J61" s="3">
        <f>J77*J11</f>
        <v>11310066.802752873</v>
      </c>
      <c r="K61" s="3">
        <f>K77*K11</f>
        <v>11536268.13880793</v>
      </c>
      <c r="L61" s="3">
        <f>L77*L11</f>
        <v>11709312.160890048</v>
      </c>
      <c r="M61" s="1"/>
      <c r="N61" s="1"/>
      <c r="O61" s="1"/>
      <c r="P61" s="44" t="s">
        <v>107</v>
      </c>
      <c r="Q61" s="45">
        <f>'Balance sheet'!B192</f>
        <v>2256373</v>
      </c>
      <c r="R61" s="45">
        <f>'Balance sheet'!C192</f>
        <v>2654857</v>
      </c>
      <c r="S61" s="45">
        <f>'Balance sheet'!D192</f>
        <v>3116443</v>
      </c>
      <c r="T61" s="45">
        <f>'Balance sheet'!E192</f>
        <v>4459461</v>
      </c>
      <c r="U61" s="45">
        <f>'Balance sheet'!F192</f>
        <v>6919900</v>
      </c>
      <c r="V61" s="45">
        <f>'Balance sheet'!G192</f>
        <v>10308600</v>
      </c>
      <c r="W61" s="45">
        <f>'Balance sheet'!H192</f>
        <v>4642900</v>
      </c>
      <c r="X61" s="3">
        <f>X77*X11</f>
        <v>7448314.8672337998</v>
      </c>
      <c r="Y61" s="3">
        <f>Y77*Y11</f>
        <v>7597281.164578476</v>
      </c>
      <c r="Z61" s="3">
        <f>Z77*Z11</f>
        <v>8888818.9625568166</v>
      </c>
      <c r="AA61" s="3">
        <f>AA77*AA11</f>
        <v>9333259.9106846564</v>
      </c>
      <c r="AB61" s="3">
        <f>AB77*AB11</f>
        <v>9519925.108898351</v>
      </c>
      <c r="AC61" s="1"/>
      <c r="AD61" s="1"/>
    </row>
    <row r="62" spans="1:30" ht="15.75" customHeight="1" x14ac:dyDescent="0.45">
      <c r="A62" s="44" t="s">
        <v>115</v>
      </c>
      <c r="B62" s="45">
        <f>'Balance sheet'!B198</f>
        <v>-5648083</v>
      </c>
      <c r="C62" s="45">
        <f>'Balance sheet'!C198</f>
        <v>-6909117</v>
      </c>
      <c r="D62" s="45">
        <f>'Balance sheet'!D198</f>
        <v>-8555546</v>
      </c>
      <c r="E62" s="45">
        <f>'Balance sheet'!E198</f>
        <v>-12111505</v>
      </c>
      <c r="F62" s="45">
        <f>'Balance sheet'!F198</f>
        <v>-14950500</v>
      </c>
      <c r="G62" s="45">
        <f>'Balance sheet'!G198</f>
        <v>-19436600</v>
      </c>
      <c r="H62" s="3">
        <f>H78*H11</f>
        <v>-19991845.015999999</v>
      </c>
      <c r="I62" s="3">
        <f>I78*I11</f>
        <v>-20123609.44906</v>
      </c>
      <c r="J62" s="3">
        <f>J78*J11</f>
        <v>-20048730.902272798</v>
      </c>
      <c r="K62" s="3">
        <f>K78*K11</f>
        <v>-19962807.769834485</v>
      </c>
      <c r="L62" s="3">
        <f>L78*L11</f>
        <v>-19273847.452899955</v>
      </c>
      <c r="M62" s="1"/>
      <c r="N62" s="1"/>
      <c r="O62" s="1"/>
      <c r="P62" s="44" t="s">
        <v>115</v>
      </c>
      <c r="Q62" s="45">
        <f>'Balance sheet'!B198</f>
        <v>-5648083</v>
      </c>
      <c r="R62" s="45">
        <f>'Balance sheet'!C198</f>
        <v>-6909117</v>
      </c>
      <c r="S62" s="45">
        <f>'Balance sheet'!D198</f>
        <v>-8555546</v>
      </c>
      <c r="T62" s="45">
        <f>'Balance sheet'!E198</f>
        <v>-12111505</v>
      </c>
      <c r="U62" s="45">
        <f>'Balance sheet'!F198</f>
        <v>-14950500</v>
      </c>
      <c r="V62" s="45">
        <f>'Balance sheet'!G198</f>
        <v>-19436600</v>
      </c>
      <c r="W62" s="45">
        <f>'Balance sheet'!H198</f>
        <v>-13911500</v>
      </c>
      <c r="X62" s="3">
        <f>X78*X11</f>
        <v>-12215236.382263431</v>
      </c>
      <c r="Y62" s="3">
        <f>Y78*Y11</f>
        <v>-12662135.274297461</v>
      </c>
      <c r="Z62" s="3">
        <f>Z78*Z11</f>
        <v>-12444346.547579542</v>
      </c>
      <c r="AA62" s="3">
        <f>AA78*AA11</f>
        <v>-12444346.547579544</v>
      </c>
      <c r="AB62" s="3">
        <f>AB78*AB11</f>
        <v>-12693233.478531135</v>
      </c>
      <c r="AC62" s="1"/>
      <c r="AD62" s="1"/>
    </row>
    <row r="63" spans="1:30" ht="15.75" customHeight="1" x14ac:dyDescent="0.45">
      <c r="A63" s="132" t="s">
        <v>134</v>
      </c>
      <c r="B63" s="20">
        <f>'Balance sheet'!K212</f>
        <v>-3391710</v>
      </c>
      <c r="C63" s="20">
        <f>'Balance sheet'!L212</f>
        <v>-4254260</v>
      </c>
      <c r="D63" s="20">
        <f>'Balance sheet'!M212</f>
        <v>-5439103</v>
      </c>
      <c r="E63" s="20">
        <f>'Balance sheet'!N212</f>
        <v>-7652044</v>
      </c>
      <c r="F63" s="20">
        <f>'Balance sheet'!O212</f>
        <v>-8030600</v>
      </c>
      <c r="G63" s="20">
        <f>'Balance sheet'!P212</f>
        <v>-9128000</v>
      </c>
      <c r="H63" s="20">
        <f t="shared" ref="H63:L63" si="48">H61+H62</f>
        <v>-9226504.4460848328</v>
      </c>
      <c r="I63" s="20">
        <f t="shared" si="48"/>
        <v>-9035308.6620473806</v>
      </c>
      <c r="J63" s="20">
        <f t="shared" si="48"/>
        <v>-8738664.0995199252</v>
      </c>
      <c r="K63" s="20">
        <f t="shared" si="48"/>
        <v>-8426539.6310265549</v>
      </c>
      <c r="L63" s="20">
        <f t="shared" si="48"/>
        <v>-7564535.2920099068</v>
      </c>
      <c r="M63" s="1"/>
      <c r="N63" s="1"/>
      <c r="O63" s="1"/>
      <c r="P63" s="132" t="s">
        <v>134</v>
      </c>
      <c r="Q63" s="20">
        <f>'Balance sheet'!K212</f>
        <v>-3391710</v>
      </c>
      <c r="R63" s="20">
        <f>'Balance sheet'!L212</f>
        <v>-4254260</v>
      </c>
      <c r="S63" s="20">
        <f>'Balance sheet'!M212</f>
        <v>-5439103</v>
      </c>
      <c r="T63" s="20">
        <f>'Balance sheet'!N212</f>
        <v>-7652044</v>
      </c>
      <c r="U63" s="20">
        <f>'Balance sheet'!O212</f>
        <v>-8030600</v>
      </c>
      <c r="V63" s="20">
        <f>'Balance sheet'!P212</f>
        <v>-9128000</v>
      </c>
      <c r="W63" s="20">
        <f>'Balance sheet'!Q212</f>
        <v>-9268600</v>
      </c>
      <c r="X63" s="20">
        <f t="shared" ref="X63:AB63" si="49">X61+X62</f>
        <v>-4766921.5150296316</v>
      </c>
      <c r="Y63" s="20">
        <f t="shared" si="49"/>
        <v>-5064854.1097189849</v>
      </c>
      <c r="Z63" s="20">
        <f t="shared" si="49"/>
        <v>-3555527.5850227252</v>
      </c>
      <c r="AA63" s="20">
        <f t="shared" si="49"/>
        <v>-3111086.6368948873</v>
      </c>
      <c r="AB63" s="20">
        <f t="shared" si="49"/>
        <v>-3173308.3696327843</v>
      </c>
      <c r="AC63" s="1"/>
      <c r="AD63" s="1"/>
    </row>
    <row r="64" spans="1:30" ht="15.75" customHeight="1" x14ac:dyDescent="0.45">
      <c r="A64" s="21" t="s">
        <v>135</v>
      </c>
      <c r="B64" s="22">
        <f t="shared" ref="B64:L64" si="50">B60+B63</f>
        <v>13370622.980260694</v>
      </c>
      <c r="C64" s="22">
        <f t="shared" si="50"/>
        <v>19409219.953658007</v>
      </c>
      <c r="D64" s="22">
        <f t="shared" si="50"/>
        <v>22076445.581569549</v>
      </c>
      <c r="E64" s="22">
        <f t="shared" si="50"/>
        <v>22090966.018550076</v>
      </c>
      <c r="F64" s="22">
        <f t="shared" si="50"/>
        <v>30591326.390438549</v>
      </c>
      <c r="G64" s="22">
        <f t="shared" si="50"/>
        <v>27105700</v>
      </c>
      <c r="H64" s="173">
        <f t="shared" si="50"/>
        <v>25304864.217915162</v>
      </c>
      <c r="I64" s="173">
        <f t="shared" si="50"/>
        <v>25596019.227032617</v>
      </c>
      <c r="J64" s="173">
        <f t="shared" si="50"/>
        <v>26107939.611573264</v>
      </c>
      <c r="K64" s="173">
        <f t="shared" si="50"/>
        <v>26630098.403804731</v>
      </c>
      <c r="L64" s="173">
        <f t="shared" si="50"/>
        <v>27029549.879861802</v>
      </c>
      <c r="M64" s="1"/>
      <c r="N64" s="1"/>
      <c r="O64" s="1"/>
      <c r="P64" s="21" t="s">
        <v>135</v>
      </c>
      <c r="Q64" s="22">
        <f t="shared" ref="Q64:AB64" si="51">Q60+Q63</f>
        <v>13370622.980260694</v>
      </c>
      <c r="R64" s="22">
        <f t="shared" si="51"/>
        <v>19409219.953658007</v>
      </c>
      <c r="S64" s="22">
        <f t="shared" si="51"/>
        <v>22076445.581569549</v>
      </c>
      <c r="T64" s="22">
        <f t="shared" si="51"/>
        <v>22090966.018550076</v>
      </c>
      <c r="U64" s="22">
        <f t="shared" si="51"/>
        <v>30591326.390438549</v>
      </c>
      <c r="V64" s="22">
        <f t="shared" si="51"/>
        <v>27105700</v>
      </c>
      <c r="W64" s="22">
        <f t="shared" si="51"/>
        <v>146300</v>
      </c>
      <c r="X64" s="22">
        <f t="shared" si="51"/>
        <v>4915887.8123743087</v>
      </c>
      <c r="Y64" s="22">
        <f t="shared" si="51"/>
        <v>3038912.4658313897</v>
      </c>
      <c r="Z64" s="22">
        <f t="shared" si="51"/>
        <v>4740703.4466969706</v>
      </c>
      <c r="AA64" s="22">
        <f t="shared" si="51"/>
        <v>5288847.2827213053</v>
      </c>
      <c r="AB64" s="22">
        <f t="shared" si="51"/>
        <v>5394624.228375731</v>
      </c>
      <c r="AC64" s="1"/>
      <c r="AD64" s="1"/>
    </row>
    <row r="65" spans="1:30" ht="15.75" customHeight="1" x14ac:dyDescent="0.45">
      <c r="A65" s="132" t="s">
        <v>136</v>
      </c>
      <c r="B65" s="3">
        <f>'Balance sheet'!K214</f>
        <v>1522993.9802606946</v>
      </c>
      <c r="C65" s="3">
        <f>'Balance sheet'!L214</f>
        <v>1444234.9536580117</v>
      </c>
      <c r="D65" s="3">
        <f>'Balance sheet'!M214</f>
        <v>1254005.5815695478</v>
      </c>
      <c r="E65" s="3">
        <f>'Balance sheet'!N214</f>
        <v>363917.01855007932</v>
      </c>
      <c r="F65" s="3">
        <f>'Balance sheet'!O214</f>
        <v>68526.390438548289</v>
      </c>
      <c r="G65" s="3">
        <f>'Balance sheet'!P214</f>
        <v>4124900</v>
      </c>
      <c r="H65" s="122">
        <f t="shared" ref="H65:L65" si="52">G65+H37</f>
        <v>3215716.9725247035</v>
      </c>
      <c r="I65" s="122">
        <f t="shared" si="52"/>
        <v>3106405.3973370944</v>
      </c>
      <c r="J65" s="122">
        <f t="shared" si="52"/>
        <v>3391417.7332329815</v>
      </c>
      <c r="K65" s="122">
        <f t="shared" si="52"/>
        <v>4209986.4330894751</v>
      </c>
      <c r="L65" s="122">
        <f t="shared" si="52"/>
        <v>5152608.9786075382</v>
      </c>
      <c r="M65" s="1"/>
      <c r="N65" s="1"/>
      <c r="O65" s="1"/>
      <c r="P65" s="132" t="s">
        <v>136</v>
      </c>
      <c r="Q65" s="20">
        <f>'Balance sheet'!K214</f>
        <v>1522993.9802606946</v>
      </c>
      <c r="R65" s="20">
        <f>'Balance sheet'!L214</f>
        <v>1444234.9536580117</v>
      </c>
      <c r="S65" s="20">
        <f>'Balance sheet'!M214</f>
        <v>1254005.5815695478</v>
      </c>
      <c r="T65" s="20">
        <f>'Balance sheet'!N214</f>
        <v>363917.01855007932</v>
      </c>
      <c r="U65" s="20">
        <f>'Balance sheet'!O214</f>
        <v>68526.390438548289</v>
      </c>
      <c r="V65" s="20">
        <f>'Balance sheet'!P214</f>
        <v>4124900</v>
      </c>
      <c r="W65" s="20">
        <f>'Balance sheet'!Q214</f>
        <v>-6623800</v>
      </c>
      <c r="X65" s="125">
        <f t="shared" ref="X65:AB65" si="53">W65+X37</f>
        <v>-7866234.9786704779</v>
      </c>
      <c r="Y65" s="125">
        <f t="shared" si="53"/>
        <v>-6705079.2589910151</v>
      </c>
      <c r="Z65" s="125">
        <f t="shared" si="53"/>
        <v>-5275916.0586858774</v>
      </c>
      <c r="AA65" s="125">
        <f t="shared" si="53"/>
        <v>-3324431.3394876001</v>
      </c>
      <c r="AB65" s="125">
        <f t="shared" si="53"/>
        <v>-1086398.8730740007</v>
      </c>
      <c r="AC65" s="1"/>
      <c r="AD65" s="1"/>
    </row>
    <row r="66" spans="1:30" ht="15.75" customHeight="1" x14ac:dyDescent="0.45">
      <c r="A66" s="132" t="s">
        <v>416</v>
      </c>
      <c r="B66" s="3">
        <f>'Balance sheet'!K192</f>
        <v>-2011139</v>
      </c>
      <c r="C66" s="3">
        <f>'Balance sheet'!L192</f>
        <v>-2454160</v>
      </c>
      <c r="D66" s="3">
        <f>'Balance sheet'!M192</f>
        <v>-2323647</v>
      </c>
      <c r="E66" s="3">
        <f>'Balance sheet'!N192</f>
        <v>-4039776</v>
      </c>
      <c r="F66" s="3">
        <f>'Balance sheet'!O192</f>
        <v>-1921700</v>
      </c>
      <c r="G66" s="3">
        <f>'Balance sheet'!P192</f>
        <v>-3095600</v>
      </c>
      <c r="H66" s="153">
        <f t="shared" ref="H66:L66" si="54">H70-H65-H69</f>
        <v>-3103435.547244519</v>
      </c>
      <c r="I66" s="153">
        <f t="shared" si="54"/>
        <v>-2992832.0742178373</v>
      </c>
      <c r="J66" s="153">
        <f t="shared" si="54"/>
        <v>-2753414.1514198743</v>
      </c>
      <c r="K66" s="153">
        <f t="shared" si="54"/>
        <v>-2760319.8275259621</v>
      </c>
      <c r="L66" s="153">
        <f t="shared" si="54"/>
        <v>-3410901.875161957</v>
      </c>
      <c r="M66" s="24"/>
      <c r="N66" s="1"/>
      <c r="O66" s="1"/>
      <c r="P66" s="132" t="s">
        <v>416</v>
      </c>
      <c r="Q66" s="20">
        <f>'Balance sheet'!K192</f>
        <v>-2011139</v>
      </c>
      <c r="R66" s="20">
        <f>'Balance sheet'!L192</f>
        <v>-2454160</v>
      </c>
      <c r="S66" s="20">
        <f>'Balance sheet'!M192</f>
        <v>-2323647</v>
      </c>
      <c r="T66" s="20">
        <f>'Balance sheet'!N192</f>
        <v>-4039776</v>
      </c>
      <c r="U66" s="20">
        <f>'Balance sheet'!O192</f>
        <v>-1921700</v>
      </c>
      <c r="V66" s="20">
        <f>'Balance sheet'!P192</f>
        <v>-3095600</v>
      </c>
      <c r="W66" s="20">
        <f>'Balance sheet'!Q192</f>
        <v>-2666900</v>
      </c>
      <c r="X66" s="197">
        <f t="shared" ref="X66:AB66" si="55">X70-X69-X65</f>
        <v>4031842.4850185178</v>
      </c>
      <c r="Y66" s="197">
        <f t="shared" si="55"/>
        <v>262584.83142847102</v>
      </c>
      <c r="Z66" s="197">
        <f t="shared" si="55"/>
        <v>-2072174.2836944265</v>
      </c>
      <c r="AA66" s="197">
        <f t="shared" si="55"/>
        <v>-5031947.3672120618</v>
      </c>
      <c r="AB66" s="197">
        <f t="shared" si="55"/>
        <v>-7437107.4077596515</v>
      </c>
      <c r="AC66" s="24"/>
      <c r="AD66" s="1"/>
    </row>
    <row r="67" spans="1:30" ht="15.75" customHeight="1" x14ac:dyDescent="0.45">
      <c r="A67" s="44" t="s">
        <v>111</v>
      </c>
      <c r="B67" s="45">
        <f>'Balance sheet'!K185</f>
        <v>13941456</v>
      </c>
      <c r="C67" s="45">
        <f>'Balance sheet'!L185</f>
        <v>20501832</v>
      </c>
      <c r="D67" s="45">
        <f>'Balance sheet'!M185</f>
        <v>23696499</v>
      </c>
      <c r="E67" s="45">
        <f>'Balance sheet'!N185</f>
        <v>26496237</v>
      </c>
      <c r="F67" s="45">
        <f>'Balance sheet'!O185</f>
        <v>35383100</v>
      </c>
      <c r="G67" s="45">
        <f>'Balance sheet'!P185</f>
        <v>27280700</v>
      </c>
      <c r="H67" s="122">
        <f>H81*H64</f>
        <v>26317058.78663177</v>
      </c>
      <c r="I67" s="122">
        <f>I81*I64</f>
        <v>26619859.996113922</v>
      </c>
      <c r="J67" s="122">
        <f>J81*J64</f>
        <v>26630098.403804731</v>
      </c>
      <c r="K67" s="122">
        <f>K81*K64</f>
        <v>26363797.419766683</v>
      </c>
      <c r="L67" s="122">
        <f>L81*L64</f>
        <v>26488958.882264566</v>
      </c>
      <c r="M67" s="1"/>
      <c r="N67" s="1"/>
      <c r="O67" s="1"/>
      <c r="P67" s="44" t="s">
        <v>111</v>
      </c>
      <c r="Q67" s="45">
        <f>'Balance sheet'!K185</f>
        <v>13941456</v>
      </c>
      <c r="R67" s="45">
        <f>'Balance sheet'!L185</f>
        <v>20501832</v>
      </c>
      <c r="S67" s="45">
        <f>'Balance sheet'!M185</f>
        <v>23696499</v>
      </c>
      <c r="T67" s="45">
        <f>'Balance sheet'!N185</f>
        <v>26496237</v>
      </c>
      <c r="U67" s="45">
        <f>'Balance sheet'!O185</f>
        <v>35383100</v>
      </c>
      <c r="V67" s="45">
        <f>'Balance sheet'!P185</f>
        <v>27280700</v>
      </c>
      <c r="W67" s="45">
        <f>'Balance sheet'!Q185</f>
        <v>39817900</v>
      </c>
      <c r="X67" s="126">
        <f>X81*X64</f>
        <v>9831775.6247486174</v>
      </c>
      <c r="Y67" s="126">
        <f>Y81*Y64</f>
        <v>10636193.630409863</v>
      </c>
      <c r="Z67" s="126">
        <f>Z81*Z64</f>
        <v>13273969.650751516</v>
      </c>
      <c r="AA67" s="126">
        <f>AA81*AA64</f>
        <v>14808772.391619654</v>
      </c>
      <c r="AB67" s="126">
        <f>AB81*AB64</f>
        <v>15104947.839452045</v>
      </c>
      <c r="AC67" s="1"/>
      <c r="AD67" s="1"/>
    </row>
    <row r="68" spans="1:30" ht="15.75" customHeight="1" x14ac:dyDescent="0.45">
      <c r="A68" s="44" t="s">
        <v>417</v>
      </c>
      <c r="B68" s="45">
        <f>'Balance sheet'!K194-'Balance sheet'!K192</f>
        <v>-82689</v>
      </c>
      <c r="C68" s="45">
        <f>'Balance sheet'!L194-'Balance sheet'!L192</f>
        <v>-82689</v>
      </c>
      <c r="D68" s="45">
        <f>'Balance sheet'!M194-'Balance sheet'!M192</f>
        <v>-550411</v>
      </c>
      <c r="E68" s="45">
        <f>'Balance sheet'!N194-'Balance sheet'!N192</f>
        <v>-729412</v>
      </c>
      <c r="F68" s="45">
        <f>'Balance sheet'!O194-'Balance sheet'!O192</f>
        <v>-2938500</v>
      </c>
      <c r="G68" s="45">
        <f>'Balance sheet'!P194-'Balance sheet'!P192</f>
        <v>-1204500</v>
      </c>
      <c r="H68" s="3">
        <f>H82*H64</f>
        <v>-1124475.9939967908</v>
      </c>
      <c r="I68" s="3">
        <f>I82*I64</f>
        <v>-1137414.0922005624</v>
      </c>
      <c r="J68" s="3">
        <f>J82*J64</f>
        <v>-1160162.3740445734</v>
      </c>
      <c r="K68" s="3">
        <f>K82*K64</f>
        <v>-1183365.621525465</v>
      </c>
      <c r="L68" s="3">
        <f>L82*L64</f>
        <v>-1201116.1058483471</v>
      </c>
      <c r="M68" s="1"/>
      <c r="N68" s="1"/>
      <c r="O68" s="1"/>
      <c r="P68" s="44" t="s">
        <v>417</v>
      </c>
      <c r="Q68" s="45">
        <f>'Balance sheet'!K194-'Balance sheet'!K192</f>
        <v>-82689</v>
      </c>
      <c r="R68" s="45">
        <f>'Balance sheet'!L194-'Balance sheet'!L192</f>
        <v>-82689</v>
      </c>
      <c r="S68" s="45">
        <f>'Balance sheet'!M194-'Balance sheet'!M192</f>
        <v>-550411</v>
      </c>
      <c r="T68" s="45">
        <f>'Balance sheet'!N194-'Balance sheet'!N192</f>
        <v>-729412</v>
      </c>
      <c r="U68" s="45">
        <f>'Balance sheet'!O194-'Balance sheet'!O192</f>
        <v>-2938500</v>
      </c>
      <c r="V68" s="45">
        <f>'Balance sheet'!P194-'Balance sheet'!P192</f>
        <v>-1204500</v>
      </c>
      <c r="W68" s="45">
        <f>'Balance sheet'!Q194-'Balance sheet'!Q192</f>
        <v>-30380800</v>
      </c>
      <c r="X68" s="45">
        <f>X82*X64</f>
        <v>-1081495.318722348</v>
      </c>
      <c r="Y68" s="45">
        <f>Y82*Y64</f>
        <v>-1154786.7370159281</v>
      </c>
      <c r="Z68" s="45">
        <f>Z82*Z64</f>
        <v>-1185175.8616742427</v>
      </c>
      <c r="AA68" s="45">
        <f>AA82*AA64</f>
        <v>-1163546.4021986872</v>
      </c>
      <c r="AB68" s="45">
        <f>AB82*AB64</f>
        <v>-1186817.3302426608</v>
      </c>
      <c r="AC68" s="1"/>
      <c r="AD68" s="1"/>
    </row>
    <row r="69" spans="1:30" ht="15.75" customHeight="1" x14ac:dyDescent="0.45">
      <c r="A69" s="132" t="s">
        <v>418</v>
      </c>
      <c r="B69" s="20">
        <f>B67+B68</f>
        <v>13858767</v>
      </c>
      <c r="C69" s="20">
        <f>'Balance sheet'!L215-'Balance sheet'!L192</f>
        <v>20419143</v>
      </c>
      <c r="D69" s="20">
        <f>'Balance sheet'!M215-'Balance sheet'!M192</f>
        <v>23146088</v>
      </c>
      <c r="E69" s="20">
        <f>'Balance sheet'!N215-'Balance sheet'!N192</f>
        <v>25766825</v>
      </c>
      <c r="F69" s="20">
        <f>'Balance sheet'!O215-'Balance sheet'!O192</f>
        <v>32444600</v>
      </c>
      <c r="G69" s="20">
        <f>'Balance sheet'!P215-'Balance sheet'!P192</f>
        <v>26076200</v>
      </c>
      <c r="H69" s="20">
        <f t="shared" ref="H69:L69" si="56">H67+H68</f>
        <v>25192582.792634979</v>
      </c>
      <c r="I69" s="20">
        <f t="shared" si="56"/>
        <v>25482445.90391336</v>
      </c>
      <c r="J69" s="20">
        <f t="shared" si="56"/>
        <v>25469936.029760156</v>
      </c>
      <c r="K69" s="20">
        <f t="shared" si="56"/>
        <v>25180431.798241217</v>
      </c>
      <c r="L69" s="20">
        <f t="shared" si="56"/>
        <v>25287842.77641622</v>
      </c>
      <c r="M69" s="1"/>
      <c r="N69" s="1"/>
      <c r="O69" s="1"/>
      <c r="P69" s="132" t="s">
        <v>418</v>
      </c>
      <c r="Q69" s="20">
        <f t="shared" ref="Q69:AB69" si="57">Q67+Q68</f>
        <v>13858767</v>
      </c>
      <c r="R69" s="20">
        <f t="shared" si="57"/>
        <v>20419143</v>
      </c>
      <c r="S69" s="20">
        <f t="shared" si="57"/>
        <v>23146088</v>
      </c>
      <c r="T69" s="20">
        <f t="shared" si="57"/>
        <v>25766825</v>
      </c>
      <c r="U69" s="20">
        <f t="shared" si="57"/>
        <v>32444600</v>
      </c>
      <c r="V69" s="20">
        <f t="shared" si="57"/>
        <v>26076200</v>
      </c>
      <c r="W69" s="20">
        <f t="shared" si="57"/>
        <v>9437100</v>
      </c>
      <c r="X69" s="20">
        <f t="shared" si="57"/>
        <v>8750280.3060262688</v>
      </c>
      <c r="Y69" s="20">
        <f t="shared" si="57"/>
        <v>9481406.8933939338</v>
      </c>
      <c r="Z69" s="20">
        <f t="shared" si="57"/>
        <v>12088793.789077275</v>
      </c>
      <c r="AA69" s="20">
        <f t="shared" si="57"/>
        <v>13645225.989420967</v>
      </c>
      <c r="AB69" s="20">
        <f t="shared" si="57"/>
        <v>13918130.509209383</v>
      </c>
      <c r="AC69" s="1"/>
      <c r="AD69" s="1"/>
    </row>
    <row r="70" spans="1:30" ht="15.75" customHeight="1" x14ac:dyDescent="0.45">
      <c r="A70" s="21" t="s">
        <v>137</v>
      </c>
      <c r="B70" s="22">
        <f t="shared" ref="B70:G70" si="58">B65+B66+B69</f>
        <v>13370621.980260694</v>
      </c>
      <c r="C70" s="22">
        <f t="shared" si="58"/>
        <v>19409217.953658011</v>
      </c>
      <c r="D70" s="22">
        <f t="shared" si="58"/>
        <v>22076446.581569549</v>
      </c>
      <c r="E70" s="22">
        <f t="shared" si="58"/>
        <v>22090966.018550079</v>
      </c>
      <c r="F70" s="22">
        <f t="shared" si="58"/>
        <v>30591426.390438549</v>
      </c>
      <c r="G70" s="22">
        <f t="shared" si="58"/>
        <v>27105500</v>
      </c>
      <c r="H70" s="22">
        <f t="shared" ref="H70:L70" si="59">H64</f>
        <v>25304864.217915162</v>
      </c>
      <c r="I70" s="22">
        <f t="shared" si="59"/>
        <v>25596019.227032617</v>
      </c>
      <c r="J70" s="22">
        <f t="shared" si="59"/>
        <v>26107939.611573264</v>
      </c>
      <c r="K70" s="22">
        <f t="shared" si="59"/>
        <v>26630098.403804731</v>
      </c>
      <c r="L70" s="22">
        <f t="shared" si="59"/>
        <v>27029549.879861802</v>
      </c>
      <c r="M70" s="1"/>
      <c r="N70" s="1"/>
      <c r="O70" s="1"/>
      <c r="P70" s="21" t="s">
        <v>137</v>
      </c>
      <c r="Q70" s="22">
        <f t="shared" ref="Q70:W70" si="60">Q65+Q69+Q66</f>
        <v>13370621.980260694</v>
      </c>
      <c r="R70" s="22">
        <f t="shared" si="60"/>
        <v>19409217.953658011</v>
      </c>
      <c r="S70" s="22">
        <f t="shared" si="60"/>
        <v>22076446.581569549</v>
      </c>
      <c r="T70" s="22">
        <f t="shared" si="60"/>
        <v>22090966.018550079</v>
      </c>
      <c r="U70" s="22">
        <f t="shared" si="60"/>
        <v>30591426.390438549</v>
      </c>
      <c r="V70" s="22">
        <f t="shared" si="60"/>
        <v>27105500</v>
      </c>
      <c r="W70" s="22">
        <f t="shared" si="60"/>
        <v>146400</v>
      </c>
      <c r="X70" s="22">
        <f t="shared" ref="X70:AB70" si="61">X64</f>
        <v>4915887.8123743087</v>
      </c>
      <c r="Y70" s="22">
        <f t="shared" si="61"/>
        <v>3038912.4658313897</v>
      </c>
      <c r="Z70" s="22">
        <f t="shared" si="61"/>
        <v>4740703.4466969706</v>
      </c>
      <c r="AA70" s="22">
        <f t="shared" si="61"/>
        <v>5288847.2827213053</v>
      </c>
      <c r="AB70" s="22">
        <f t="shared" si="61"/>
        <v>5394624.228375731</v>
      </c>
      <c r="AC70" s="1"/>
      <c r="AD70" s="1"/>
    </row>
    <row r="71" spans="1:30" ht="15.75" customHeight="1" x14ac:dyDescent="0.45">
      <c r="A71" s="3"/>
      <c r="B71" s="1"/>
      <c r="C71" s="1"/>
      <c r="D71" s="1"/>
      <c r="E71" s="1"/>
      <c r="F71" s="1"/>
      <c r="G71" s="3"/>
      <c r="H71" s="17"/>
      <c r="I71" s="17">
        <f t="shared" ref="I71:L71" si="62">I60/I11</f>
        <v>0.73999999999999988</v>
      </c>
      <c r="J71" s="17">
        <f t="shared" si="62"/>
        <v>0.72999999999999976</v>
      </c>
      <c r="K71" s="17">
        <f t="shared" si="62"/>
        <v>0.71999999999999975</v>
      </c>
      <c r="L71" s="17">
        <f t="shared" si="62"/>
        <v>0.69999999999999984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 x14ac:dyDescent="0.45">
      <c r="A72" s="3"/>
      <c r="B72" s="1"/>
      <c r="C72" s="1"/>
      <c r="D72" s="1"/>
      <c r="E72" s="1"/>
      <c r="F72" s="1"/>
      <c r="G72" s="3"/>
      <c r="H72" s="17"/>
      <c r="I72" s="17"/>
      <c r="J72" s="17"/>
      <c r="K72" s="17"/>
      <c r="L72" s="1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 x14ac:dyDescent="0.45">
      <c r="A74" s="260" t="s">
        <v>398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1"/>
      <c r="N74" s="1"/>
      <c r="O74" s="1"/>
      <c r="P74" s="260" t="s">
        <v>399</v>
      </c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1"/>
      <c r="AD74" s="1"/>
    </row>
    <row r="75" spans="1:30" ht="15.75" customHeight="1" x14ac:dyDescent="0.45">
      <c r="A75" s="188" t="s">
        <v>415</v>
      </c>
      <c r="B75" s="264" t="s">
        <v>401</v>
      </c>
      <c r="C75" s="265"/>
      <c r="D75" s="265"/>
      <c r="E75" s="265"/>
      <c r="F75" s="265"/>
      <c r="G75" s="266"/>
      <c r="H75" s="250" t="s">
        <v>402</v>
      </c>
      <c r="I75" s="249"/>
      <c r="J75" s="249"/>
      <c r="K75" s="249"/>
      <c r="L75" s="249"/>
      <c r="M75" s="1"/>
      <c r="N75" s="1"/>
      <c r="O75" s="1"/>
      <c r="P75" s="188" t="s">
        <v>419</v>
      </c>
      <c r="Q75" s="262" t="s">
        <v>401</v>
      </c>
      <c r="R75" s="249"/>
      <c r="S75" s="249"/>
      <c r="T75" s="249"/>
      <c r="U75" s="249"/>
      <c r="V75" s="249"/>
      <c r="W75" s="263"/>
      <c r="X75" s="262" t="s">
        <v>402</v>
      </c>
      <c r="Y75" s="249"/>
      <c r="Z75" s="249"/>
      <c r="AA75" s="249"/>
      <c r="AB75" s="249"/>
      <c r="AC75" s="1"/>
      <c r="AD75" s="1"/>
    </row>
    <row r="76" spans="1:30" ht="15.75" customHeight="1" x14ac:dyDescent="0.45">
      <c r="A76" s="137" t="s">
        <v>404</v>
      </c>
      <c r="B76" s="137">
        <v>2014</v>
      </c>
      <c r="C76" s="137">
        <v>2015</v>
      </c>
      <c r="D76" s="137">
        <v>2016</v>
      </c>
      <c r="E76" s="137">
        <v>2017</v>
      </c>
      <c r="F76" s="137">
        <v>2018</v>
      </c>
      <c r="G76" s="137">
        <v>2019</v>
      </c>
      <c r="H76" s="137">
        <v>2020</v>
      </c>
      <c r="I76" s="137">
        <v>2021</v>
      </c>
      <c r="J76" s="137">
        <v>2022</v>
      </c>
      <c r="K76" s="137">
        <v>2023</v>
      </c>
      <c r="L76" s="137">
        <v>2024</v>
      </c>
      <c r="M76" s="137" t="s">
        <v>405</v>
      </c>
      <c r="N76" s="1"/>
      <c r="O76" s="1"/>
      <c r="P76" s="137" t="s">
        <v>404</v>
      </c>
      <c r="Q76" s="137">
        <v>2014</v>
      </c>
      <c r="R76" s="137">
        <v>2015</v>
      </c>
      <c r="S76" s="137">
        <v>2016</v>
      </c>
      <c r="T76" s="137">
        <v>2017</v>
      </c>
      <c r="U76" s="137">
        <v>2018</v>
      </c>
      <c r="V76" s="137">
        <v>2019</v>
      </c>
      <c r="W76" s="137">
        <v>2020</v>
      </c>
      <c r="X76" s="137">
        <v>2021</v>
      </c>
      <c r="Y76" s="137">
        <v>2022</v>
      </c>
      <c r="Z76" s="137">
        <v>2023</v>
      </c>
      <c r="AA76" s="137">
        <v>2024</v>
      </c>
      <c r="AB76" s="137">
        <v>2025</v>
      </c>
      <c r="AC76" s="137" t="s">
        <v>405</v>
      </c>
      <c r="AD76" s="137" t="s">
        <v>406</v>
      </c>
    </row>
    <row r="77" spans="1:30" ht="15.75" customHeight="1" x14ac:dyDescent="0.45">
      <c r="A77" s="1" t="s">
        <v>420</v>
      </c>
      <c r="B77" s="16">
        <f t="shared" ref="B77:G77" si="63">B61/B11</f>
        <v>0.11513475836668338</v>
      </c>
      <c r="C77" s="16">
        <f t="shared" si="63"/>
        <v>0.11749968620804238</v>
      </c>
      <c r="D77" s="16">
        <f t="shared" si="63"/>
        <v>0.11911480771483626</v>
      </c>
      <c r="E77" s="16">
        <f t="shared" si="63"/>
        <v>0.14274748563605869</v>
      </c>
      <c r="F77" s="16">
        <f t="shared" si="63"/>
        <v>0.17130967146192141</v>
      </c>
      <c r="G77" s="16">
        <f t="shared" si="63"/>
        <v>0.23693410222877015</v>
      </c>
      <c r="H77" s="16">
        <f t="shared" ref="H77:L77" si="64">G77</f>
        <v>0.23693410222877015</v>
      </c>
      <c r="I77" s="16">
        <f t="shared" si="64"/>
        <v>0.23693410222877015</v>
      </c>
      <c r="J77" s="16">
        <f t="shared" si="64"/>
        <v>0.23693410222877015</v>
      </c>
      <c r="K77" s="16">
        <f t="shared" si="64"/>
        <v>0.23693410222877015</v>
      </c>
      <c r="L77" s="16">
        <f t="shared" si="64"/>
        <v>0.23693410222877015</v>
      </c>
      <c r="M77" s="16">
        <f t="shared" ref="M77:M79" si="65">AVERAGE(B77:G77)</f>
        <v>0.15045675193605204</v>
      </c>
      <c r="N77" s="1"/>
      <c r="O77" s="1"/>
      <c r="P77" s="1" t="s">
        <v>420</v>
      </c>
      <c r="Q77" s="16">
        <f t="shared" ref="Q77:V77" si="66">Q61/Q11</f>
        <v>0.11513475836668338</v>
      </c>
      <c r="R77" s="16">
        <f t="shared" si="66"/>
        <v>0.11749968620804238</v>
      </c>
      <c r="S77" s="16">
        <f t="shared" si="66"/>
        <v>0.11911480771483626</v>
      </c>
      <c r="T77" s="16">
        <f t="shared" si="66"/>
        <v>0.14274748563605869</v>
      </c>
      <c r="U77" s="16">
        <f t="shared" si="66"/>
        <v>0.17130967146192141</v>
      </c>
      <c r="V77" s="16">
        <f t="shared" si="66"/>
        <v>0.23693410222877015</v>
      </c>
      <c r="W77" s="16">
        <f t="shared" ref="W77:W80" si="67">$M77</f>
        <v>0.15045675193605204</v>
      </c>
      <c r="X77" s="16">
        <v>0.5</v>
      </c>
      <c r="Y77" s="16">
        <v>0.3</v>
      </c>
      <c r="Z77" s="16">
        <v>0.3</v>
      </c>
      <c r="AA77" s="16">
        <v>0.3</v>
      </c>
      <c r="AB77" s="16">
        <v>0.3</v>
      </c>
      <c r="AC77" s="16">
        <f t="shared" ref="AC77:AC80" si="68">AVERAGE(R77:W77)</f>
        <v>0.15634375086428018</v>
      </c>
      <c r="AD77" s="16">
        <f>AVERAGE(R77:V77)</f>
        <v>0.15752115064992581</v>
      </c>
    </row>
    <row r="78" spans="1:30" ht="15.75" customHeight="1" x14ac:dyDescent="0.45">
      <c r="A78" s="1" t="s">
        <v>421</v>
      </c>
      <c r="B78" s="16">
        <f t="shared" ref="B78:G78" si="69">B62/B11</f>
        <v>-0.28820176071951409</v>
      </c>
      <c r="C78" s="16">
        <f t="shared" si="69"/>
        <v>-0.30578636795678682</v>
      </c>
      <c r="D78" s="16">
        <f t="shared" si="69"/>
        <v>-0.32700492731150116</v>
      </c>
      <c r="E78" s="16">
        <f t="shared" si="69"/>
        <v>-0.38768965263258337</v>
      </c>
      <c r="F78" s="16">
        <f t="shared" si="69"/>
        <v>-0.37011593277236032</v>
      </c>
      <c r="G78" s="16">
        <f t="shared" si="69"/>
        <v>-0.44673315206523811</v>
      </c>
      <c r="H78" s="16">
        <v>-0.44</v>
      </c>
      <c r="I78" s="16">
        <v>-0.43</v>
      </c>
      <c r="J78" s="16">
        <v>-0.42</v>
      </c>
      <c r="K78" s="16">
        <v>-0.41</v>
      </c>
      <c r="L78" s="16">
        <v>-0.39</v>
      </c>
      <c r="M78" s="16">
        <f t="shared" si="65"/>
        <v>-0.35425529890966406</v>
      </c>
      <c r="N78" s="1"/>
      <c r="O78" s="1"/>
      <c r="P78" s="1" t="s">
        <v>421</v>
      </c>
      <c r="Q78" s="16">
        <f t="shared" ref="Q78:V78" si="70">Q62/Q11</f>
        <v>-0.28820176071951409</v>
      </c>
      <c r="R78" s="16">
        <f t="shared" si="70"/>
        <v>-0.30578636795678682</v>
      </c>
      <c r="S78" s="16">
        <f t="shared" si="70"/>
        <v>-0.32700492731150116</v>
      </c>
      <c r="T78" s="16">
        <f t="shared" si="70"/>
        <v>-0.38768965263258337</v>
      </c>
      <c r="U78" s="16">
        <f t="shared" si="70"/>
        <v>-0.37011593277236032</v>
      </c>
      <c r="V78" s="16">
        <f t="shared" si="70"/>
        <v>-0.44673315206523811</v>
      </c>
      <c r="W78" s="16">
        <f t="shared" si="67"/>
        <v>-0.35425529890966406</v>
      </c>
      <c r="X78" s="16">
        <v>-0.82</v>
      </c>
      <c r="Y78" s="16">
        <v>-0.5</v>
      </c>
      <c r="Z78" s="16">
        <v>-0.42</v>
      </c>
      <c r="AA78" s="16">
        <v>-0.4</v>
      </c>
      <c r="AB78" s="16">
        <v>-0.4</v>
      </c>
      <c r="AC78" s="16">
        <f t="shared" si="68"/>
        <v>-0.3652642219413556</v>
      </c>
      <c r="AD78" s="16">
        <f t="shared" ref="AD78:AD79" si="71">AVERAGE(Q78:V78)</f>
        <v>-0.35425529890966406</v>
      </c>
    </row>
    <row r="79" spans="1:30" ht="15.75" customHeight="1" x14ac:dyDescent="0.45">
      <c r="A79" s="1" t="s">
        <v>422</v>
      </c>
      <c r="B79" s="41">
        <f t="shared" ref="B79:G79" si="72">B58/B11</f>
        <v>1.6583675907169042</v>
      </c>
      <c r="C79" s="41">
        <f t="shared" si="72"/>
        <v>2.5857081543117366</v>
      </c>
      <c r="D79" s="41">
        <f t="shared" si="72"/>
        <v>2.2043243847100893</v>
      </c>
      <c r="E79" s="41">
        <f t="shared" si="72"/>
        <v>2.0032458685283139</v>
      </c>
      <c r="F79" s="41">
        <f t="shared" si="72"/>
        <v>1.8645350155080176</v>
      </c>
      <c r="G79" s="41">
        <f t="shared" si="72"/>
        <v>1.6257656585065379</v>
      </c>
      <c r="H79" s="16">
        <v>1.5</v>
      </c>
      <c r="I79" s="16">
        <v>1.45</v>
      </c>
      <c r="J79" s="16">
        <v>1.42</v>
      </c>
      <c r="K79" s="16">
        <v>1.39</v>
      </c>
      <c r="L79" s="16">
        <v>1.36</v>
      </c>
      <c r="M79" s="16">
        <f t="shared" si="65"/>
        <v>1.9903244453802664</v>
      </c>
      <c r="N79" s="1"/>
      <c r="O79" s="1"/>
      <c r="P79" s="1" t="s">
        <v>422</v>
      </c>
      <c r="Q79" s="41">
        <f t="shared" ref="Q79:V79" si="73">Q58/Q11</f>
        <v>1.6583675907169042</v>
      </c>
      <c r="R79" s="41">
        <f t="shared" si="73"/>
        <v>2.5857081543117366</v>
      </c>
      <c r="S79" s="41">
        <f t="shared" si="73"/>
        <v>2.2043243847100893</v>
      </c>
      <c r="T79" s="41">
        <f t="shared" si="73"/>
        <v>2.0032458685283139</v>
      </c>
      <c r="U79" s="41">
        <f t="shared" si="73"/>
        <v>1.8645350155080176</v>
      </c>
      <c r="V79" s="41">
        <f t="shared" si="73"/>
        <v>1.6257656585065379</v>
      </c>
      <c r="W79" s="16">
        <f t="shared" si="67"/>
        <v>1.9903244453802664</v>
      </c>
      <c r="X79" s="16">
        <v>0.8</v>
      </c>
      <c r="Y79" s="16">
        <v>0.48</v>
      </c>
      <c r="Z79" s="16">
        <v>0.45</v>
      </c>
      <c r="AA79" s="16">
        <v>0.45</v>
      </c>
      <c r="AB79" s="16">
        <v>0.45</v>
      </c>
      <c r="AC79" s="16">
        <f t="shared" si="68"/>
        <v>2.0456505878241606</v>
      </c>
      <c r="AD79" s="41">
        <f t="shared" si="71"/>
        <v>1.9903244453802664</v>
      </c>
    </row>
    <row r="80" spans="1:30" ht="15.75" customHeight="1" x14ac:dyDescent="0.45">
      <c r="A80" s="1" t="s">
        <v>423</v>
      </c>
      <c r="B80" s="41">
        <f t="shared" ref="B80:G80" si="74">B59/B11</f>
        <v>-0.80304484162169565</v>
      </c>
      <c r="C80" s="41">
        <f t="shared" si="74"/>
        <v>-1.5384007215026938</v>
      </c>
      <c r="D80" s="41">
        <f t="shared" si="74"/>
        <v>-1.1526416558869108</v>
      </c>
      <c r="E80" s="41">
        <f t="shared" si="74"/>
        <v>-1.0511711905804348</v>
      </c>
      <c r="F80" s="41">
        <f t="shared" si="74"/>
        <v>-0.90840710597572083</v>
      </c>
      <c r="G80" s="41">
        <f t="shared" si="74"/>
        <v>-0.79296593983217001</v>
      </c>
      <c r="H80" s="16">
        <v>-0.74</v>
      </c>
      <c r="I80" s="16">
        <v>-0.71</v>
      </c>
      <c r="J80" s="16">
        <v>-0.69</v>
      </c>
      <c r="K80" s="16">
        <v>-0.67</v>
      </c>
      <c r="L80" s="16">
        <v>-0.66</v>
      </c>
      <c r="M80" s="16">
        <f t="shared" ref="M80:M81" si="75">AVERAGE(C80:G80)</f>
        <v>-1.0887173227555862</v>
      </c>
      <c r="N80" s="1"/>
      <c r="O80" s="1"/>
      <c r="P80" s="1" t="s">
        <v>423</v>
      </c>
      <c r="Q80" s="41">
        <f t="shared" ref="Q80:V80" si="76">Q59/Q11</f>
        <v>-0.80304484162169565</v>
      </c>
      <c r="R80" s="41">
        <f t="shared" si="76"/>
        <v>-1.5384007215026938</v>
      </c>
      <c r="S80" s="41">
        <f t="shared" si="76"/>
        <v>-1.1526416558869108</v>
      </c>
      <c r="T80" s="41">
        <f t="shared" si="76"/>
        <v>-1.0511711905804348</v>
      </c>
      <c r="U80" s="41">
        <f t="shared" si="76"/>
        <v>-0.90840710597572083</v>
      </c>
      <c r="V80" s="41">
        <f t="shared" si="76"/>
        <v>-0.79296593983217001</v>
      </c>
      <c r="W80" s="16">
        <f t="shared" si="67"/>
        <v>-1.0887173227555862</v>
      </c>
      <c r="X80" s="16">
        <v>-0.15</v>
      </c>
      <c r="Y80" s="16">
        <v>-0.16</v>
      </c>
      <c r="Z80" s="16">
        <v>-0.17</v>
      </c>
      <c r="AA80" s="16">
        <v>-0.18</v>
      </c>
      <c r="AB80" s="16">
        <v>-0.18</v>
      </c>
      <c r="AC80" s="16">
        <f t="shared" si="68"/>
        <v>-1.088717322755586</v>
      </c>
      <c r="AD80" s="1"/>
    </row>
    <row r="81" spans="1:30" ht="15.75" customHeight="1" x14ac:dyDescent="0.45">
      <c r="A81" s="1" t="s">
        <v>424</v>
      </c>
      <c r="B81" s="41">
        <f t="shared" ref="B81:G81" si="77">B67/B64</f>
        <v>1.0426930757513719</v>
      </c>
      <c r="C81" s="41">
        <f t="shared" si="77"/>
        <v>1.0562934548091445</v>
      </c>
      <c r="D81" s="41">
        <f t="shared" si="77"/>
        <v>1.0733837977877629</v>
      </c>
      <c r="E81" s="41">
        <f t="shared" si="77"/>
        <v>1.1994150449441985</v>
      </c>
      <c r="F81" s="41">
        <f t="shared" si="77"/>
        <v>1.1566383081401512</v>
      </c>
      <c r="G81" s="41">
        <f t="shared" si="77"/>
        <v>1.0064562066281262</v>
      </c>
      <c r="H81" s="16">
        <v>1.04</v>
      </c>
      <c r="I81" s="16">
        <v>1.04</v>
      </c>
      <c r="J81" s="16">
        <v>1.02</v>
      </c>
      <c r="K81" s="16">
        <v>0.99</v>
      </c>
      <c r="L81" s="16">
        <v>0.98</v>
      </c>
      <c r="M81" s="16">
        <f t="shared" si="75"/>
        <v>1.0984373624618766</v>
      </c>
      <c r="N81" s="1"/>
      <c r="O81" s="1"/>
      <c r="P81" s="1" t="s">
        <v>424</v>
      </c>
      <c r="Q81" s="41">
        <f t="shared" ref="Q81:W81" si="78">Q67/Q64</f>
        <v>1.0426930757513719</v>
      </c>
      <c r="R81" s="41">
        <f t="shared" si="78"/>
        <v>1.0562934548091445</v>
      </c>
      <c r="S81" s="41">
        <f t="shared" si="78"/>
        <v>1.0733837977877629</v>
      </c>
      <c r="T81" s="41">
        <f t="shared" si="78"/>
        <v>1.1994150449441985</v>
      </c>
      <c r="U81" s="41">
        <f t="shared" si="78"/>
        <v>1.1566383081401512</v>
      </c>
      <c r="V81" s="41">
        <f t="shared" si="78"/>
        <v>1.0064562066281262</v>
      </c>
      <c r="W81" s="41">
        <f t="shared" si="78"/>
        <v>272.16609706083392</v>
      </c>
      <c r="X81" s="16">
        <v>2</v>
      </c>
      <c r="Y81" s="16">
        <v>3.5</v>
      </c>
      <c r="Z81" s="16">
        <v>2.8</v>
      </c>
      <c r="AA81" s="16">
        <v>2.8</v>
      </c>
      <c r="AB81" s="16">
        <v>2.8</v>
      </c>
      <c r="AC81" s="16">
        <f t="shared" ref="AC81:AC82" si="79">AVERAGE(Q81:W81)</f>
        <v>39.814425278413523</v>
      </c>
      <c r="AD81" s="1"/>
    </row>
    <row r="82" spans="1:30" ht="15.75" customHeight="1" x14ac:dyDescent="0.45">
      <c r="A82" s="1" t="s">
        <v>425</v>
      </c>
      <c r="B82" s="16">
        <f t="shared" ref="B82:G82" si="80">B68/B64</f>
        <v>-6.1843790017918647E-3</v>
      </c>
      <c r="C82" s="16">
        <f t="shared" si="80"/>
        <v>-4.2602948597331861E-3</v>
      </c>
      <c r="D82" s="16">
        <f t="shared" si="80"/>
        <v>-2.4932047958821275E-2</v>
      </c>
      <c r="E82" s="16">
        <f t="shared" si="80"/>
        <v>-3.3018565117863254E-2</v>
      </c>
      <c r="F82" s="16">
        <f t="shared" si="80"/>
        <v>-9.6056639143258626E-2</v>
      </c>
      <c r="G82" s="16">
        <f t="shared" si="80"/>
        <v>-4.4437147906159956E-2</v>
      </c>
      <c r="H82" s="16">
        <f t="shared" ref="H82:L82" si="81">G82</f>
        <v>-4.4437147906159956E-2</v>
      </c>
      <c r="I82" s="16">
        <f t="shared" si="81"/>
        <v>-4.4437147906159956E-2</v>
      </c>
      <c r="J82" s="16">
        <f t="shared" si="81"/>
        <v>-4.4437147906159956E-2</v>
      </c>
      <c r="K82" s="16">
        <f t="shared" si="81"/>
        <v>-4.4437147906159956E-2</v>
      </c>
      <c r="L82" s="16">
        <f t="shared" si="81"/>
        <v>-4.4437147906159956E-2</v>
      </c>
      <c r="M82" s="16">
        <f>AVERAGE(B82:G82)</f>
        <v>-3.4814845664604695E-2</v>
      </c>
      <c r="N82" s="1"/>
      <c r="O82" s="1"/>
      <c r="P82" s="1" t="s">
        <v>425</v>
      </c>
      <c r="Q82" s="16">
        <f t="shared" ref="Q82:W82" si="82">Q68/Q64</f>
        <v>-6.1843790017918647E-3</v>
      </c>
      <c r="R82" s="16">
        <f t="shared" si="82"/>
        <v>-4.2602948597331861E-3</v>
      </c>
      <c r="S82" s="16">
        <f t="shared" si="82"/>
        <v>-2.4932047958821275E-2</v>
      </c>
      <c r="T82" s="16">
        <f t="shared" si="82"/>
        <v>-3.3018565117863254E-2</v>
      </c>
      <c r="U82" s="16">
        <f t="shared" si="82"/>
        <v>-9.6056639143258626E-2</v>
      </c>
      <c r="V82" s="16">
        <f t="shared" si="82"/>
        <v>-4.4437147906159956E-2</v>
      </c>
      <c r="W82" s="16">
        <f t="shared" si="82"/>
        <v>-207.66097060833903</v>
      </c>
      <c r="X82" s="16">
        <v>-0.22</v>
      </c>
      <c r="Y82" s="16">
        <v>-0.38</v>
      </c>
      <c r="Z82" s="16">
        <v>-0.25</v>
      </c>
      <c r="AA82" s="16">
        <v>-0.22</v>
      </c>
      <c r="AB82" s="16">
        <v>-0.22</v>
      </c>
      <c r="AC82" s="16">
        <f t="shared" si="79"/>
        <v>-29.695694240332379</v>
      </c>
      <c r="AD82" s="1"/>
    </row>
    <row r="83" spans="1:30" ht="15.75" customHeight="1" x14ac:dyDescent="0.45">
      <c r="A83" s="1"/>
      <c r="B83" s="16"/>
      <c r="C83" s="16"/>
      <c r="D83" s="16"/>
      <c r="E83" s="16"/>
      <c r="F83" s="16"/>
      <c r="G83" s="16"/>
      <c r="H83" s="3"/>
      <c r="I83" s="3"/>
      <c r="J83" s="3"/>
      <c r="K83" s="3"/>
      <c r="L83" s="3"/>
      <c r="M83" s="1"/>
      <c r="N83" s="1"/>
      <c r="O83" s="1"/>
      <c r="P83" s="1"/>
      <c r="Q83" s="16"/>
      <c r="R83" s="1"/>
      <c r="S83" s="1"/>
      <c r="T83" s="1"/>
      <c r="U83" s="1"/>
      <c r="V83" s="1"/>
      <c r="W83" s="16"/>
      <c r="X83" s="1"/>
      <c r="Y83" s="1"/>
      <c r="Z83" s="1"/>
      <c r="AA83" s="1"/>
      <c r="AB83" s="1"/>
      <c r="AC83" s="1"/>
      <c r="AD83" s="1"/>
    </row>
    <row r="84" spans="1:30" ht="15.7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 x14ac:dyDescent="0.45">
      <c r="A85" s="260" t="s">
        <v>398</v>
      </c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1"/>
      <c r="N85" s="1"/>
      <c r="O85" s="1"/>
      <c r="P85" s="260" t="s">
        <v>399</v>
      </c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1"/>
      <c r="AD85" s="1"/>
    </row>
    <row r="86" spans="1:30" ht="15.75" customHeight="1" x14ac:dyDescent="0.45">
      <c r="A86" s="188" t="s">
        <v>426</v>
      </c>
      <c r="B86" s="134" t="s">
        <v>401</v>
      </c>
      <c r="C86" s="135"/>
      <c r="D86" s="135"/>
      <c r="E86" s="135"/>
      <c r="F86" s="135"/>
      <c r="G86" s="198"/>
      <c r="H86" s="264" t="s">
        <v>402</v>
      </c>
      <c r="I86" s="267"/>
      <c r="J86" s="267"/>
      <c r="K86" s="267"/>
      <c r="L86" s="267"/>
      <c r="M86" s="1"/>
      <c r="N86" s="1"/>
      <c r="O86" s="1"/>
      <c r="P86" s="191" t="s">
        <v>426</v>
      </c>
      <c r="Q86" s="262" t="s">
        <v>401</v>
      </c>
      <c r="R86" s="249"/>
      <c r="S86" s="249"/>
      <c r="T86" s="249"/>
      <c r="U86" s="249"/>
      <c r="V86" s="249"/>
      <c r="W86" s="263"/>
      <c r="X86" s="262" t="s">
        <v>402</v>
      </c>
      <c r="Y86" s="249"/>
      <c r="Z86" s="249"/>
      <c r="AA86" s="249"/>
      <c r="AB86" s="249"/>
      <c r="AC86" s="1"/>
      <c r="AD86" s="1"/>
    </row>
    <row r="87" spans="1:30" ht="15.75" customHeight="1" x14ac:dyDescent="0.45">
      <c r="A87" s="137" t="s">
        <v>403</v>
      </c>
      <c r="B87" s="137">
        <v>2014</v>
      </c>
      <c r="C87" s="137">
        <v>2015</v>
      </c>
      <c r="D87" s="137">
        <v>2016</v>
      </c>
      <c r="E87" s="137">
        <v>2017</v>
      </c>
      <c r="F87" s="137">
        <v>2018</v>
      </c>
      <c r="G87" s="137">
        <v>2019</v>
      </c>
      <c r="H87" s="137">
        <v>2020</v>
      </c>
      <c r="I87" s="137">
        <v>2021</v>
      </c>
      <c r="J87" s="137">
        <v>2022</v>
      </c>
      <c r="K87" s="137">
        <v>2023</v>
      </c>
      <c r="L87" s="137">
        <v>2024</v>
      </c>
      <c r="M87" s="1"/>
      <c r="N87" s="1"/>
      <c r="O87" s="1"/>
      <c r="P87" s="137" t="s">
        <v>403</v>
      </c>
      <c r="Q87" s="137">
        <v>2014</v>
      </c>
      <c r="R87" s="137">
        <v>2015</v>
      </c>
      <c r="S87" s="137">
        <v>2016</v>
      </c>
      <c r="T87" s="137">
        <v>2017</v>
      </c>
      <c r="U87" s="137">
        <v>2018</v>
      </c>
      <c r="V87" s="137">
        <v>2019</v>
      </c>
      <c r="W87" s="137">
        <v>2020</v>
      </c>
      <c r="X87" s="137">
        <v>2021</v>
      </c>
      <c r="Y87" s="137">
        <v>2022</v>
      </c>
      <c r="Z87" s="137">
        <v>2023</v>
      </c>
      <c r="AA87" s="137">
        <v>2024</v>
      </c>
      <c r="AB87" s="137">
        <v>2025</v>
      </c>
      <c r="AC87" s="1"/>
      <c r="AD87" s="1"/>
    </row>
    <row r="88" spans="1:30" ht="15.75" customHeight="1" x14ac:dyDescent="0.45">
      <c r="A88" s="23" t="s">
        <v>40</v>
      </c>
      <c r="B88" s="3">
        <f>'Cash flow analysis'!B3</f>
        <v>-977938.03611628595</v>
      </c>
      <c r="C88" s="3">
        <f>'Cash flow analysis'!C3</f>
        <v>-147028.43135369197</v>
      </c>
      <c r="D88" s="3">
        <f>'Cash flow analysis'!D3</f>
        <v>-133523.81988496054</v>
      </c>
      <c r="E88" s="3">
        <f>'Cash flow analysis'!E3</f>
        <v>-1765920.8169932459</v>
      </c>
      <c r="F88" s="3">
        <f>'Cash flow analysis'!F3</f>
        <v>-2840173.9145233301</v>
      </c>
      <c r="G88" s="3">
        <f>'Cash flow analysis'!G3</f>
        <v>364300</v>
      </c>
      <c r="H88" s="122">
        <f>H30</f>
        <v>491061.46734943532</v>
      </c>
      <c r="I88" s="122">
        <f>I30</f>
        <v>1307043.9801489094</v>
      </c>
      <c r="J88" s="122">
        <f>J30</f>
        <v>1700672.572195125</v>
      </c>
      <c r="K88" s="122">
        <f>K30</f>
        <v>2218137.822761381</v>
      </c>
      <c r="L88" s="122">
        <f>L30</f>
        <v>2348161.7443024772</v>
      </c>
      <c r="M88" s="1"/>
      <c r="N88" s="1"/>
      <c r="O88" s="1"/>
      <c r="P88" s="23" t="s">
        <v>40</v>
      </c>
      <c r="Q88" s="3">
        <f>'Cash flow analysis'!B3</f>
        <v>-977938.03611628595</v>
      </c>
      <c r="R88" s="3">
        <f>'Cash flow analysis'!C3</f>
        <v>-147028.43135369197</v>
      </c>
      <c r="S88" s="3">
        <f>'Cash flow analysis'!D3</f>
        <v>-133523.81988496054</v>
      </c>
      <c r="T88" s="3">
        <f>'Cash flow analysis'!E3</f>
        <v>-1765920.8169932459</v>
      </c>
      <c r="U88" s="3">
        <f>'Cash flow analysis'!F3</f>
        <v>-2840173.9145233301</v>
      </c>
      <c r="V88" s="3">
        <f>'Cash flow analysis'!G3</f>
        <v>364300</v>
      </c>
      <c r="W88" s="3">
        <f>'Cash flow analysis'!H3</f>
        <v>-11505896</v>
      </c>
      <c r="X88" s="3">
        <f>X30</f>
        <v>-995333.18857738073</v>
      </c>
      <c r="Y88" s="3">
        <f>Y30</f>
        <v>1428904.0127650166</v>
      </c>
      <c r="Z88" s="3">
        <f>Z30</f>
        <v>1770542.273989219</v>
      </c>
      <c r="AA88" s="3">
        <f>AA30</f>
        <v>2336816.348619184</v>
      </c>
      <c r="AB88" s="3">
        <f>AB30</f>
        <v>2631070.7284229244</v>
      </c>
      <c r="AC88" s="1"/>
      <c r="AD88" s="1"/>
    </row>
    <row r="89" spans="1:30" ht="15.75" customHeight="1" x14ac:dyDescent="0.45">
      <c r="A89" s="1" t="s">
        <v>139</v>
      </c>
      <c r="B89" s="3">
        <f>'Cash flow analysis'!B4</f>
        <v>2742430.7481045015</v>
      </c>
      <c r="C89" s="3">
        <f>'Cash flow analysis'!C4</f>
        <v>4261317.9607584821</v>
      </c>
      <c r="D89" s="3">
        <f>'Cash flow analysis'!D4</f>
        <v>6353876.4265132807</v>
      </c>
      <c r="E89" s="3">
        <f>'Cash flow analysis'!E4</f>
        <v>6766134.8644647971</v>
      </c>
      <c r="F89" s="3">
        <f>'Cash flow analysis'!F4</f>
        <v>6589636.2526277015</v>
      </c>
      <c r="G89" s="3">
        <f>'Cash flow analysis'!G4</f>
        <v>6457500</v>
      </c>
      <c r="H89" s="153">
        <f>-H25</f>
        <v>6133861.5389999989</v>
      </c>
      <c r="I89" s="153">
        <f>-I25</f>
        <v>5767988.0572015001</v>
      </c>
      <c r="J89" s="153">
        <f>-J25</f>
        <v>5422704.3583290232</v>
      </c>
      <c r="K89" s="153">
        <f>-K25</f>
        <v>5414302.9853794994</v>
      </c>
      <c r="L89" s="153">
        <f>-L25</f>
        <v>5376909.238142346</v>
      </c>
      <c r="M89" s="1"/>
      <c r="N89" s="1"/>
      <c r="O89" s="1"/>
      <c r="P89" s="1" t="s">
        <v>139</v>
      </c>
      <c r="Q89" s="3">
        <f>'Cash flow analysis'!B4</f>
        <v>2742430.7481045015</v>
      </c>
      <c r="R89" s="3">
        <f>'Cash flow analysis'!C4</f>
        <v>4261317.9607584821</v>
      </c>
      <c r="S89" s="3">
        <f>'Cash flow analysis'!D4</f>
        <v>6353876.4265132807</v>
      </c>
      <c r="T89" s="3">
        <f>'Cash flow analysis'!E4</f>
        <v>6766134.8644647971</v>
      </c>
      <c r="U89" s="3">
        <f>'Cash flow analysis'!F4</f>
        <v>6589636.2526277015</v>
      </c>
      <c r="V89" s="3">
        <f>'Cash flow analysis'!G4</f>
        <v>6457500</v>
      </c>
      <c r="W89" s="3">
        <f>'Cash flow analysis'!H4</f>
        <v>6197500</v>
      </c>
      <c r="X89" s="153">
        <f>-X25</f>
        <v>1833228.873917504</v>
      </c>
      <c r="Y89" s="153">
        <f>-Y25</f>
        <v>1869893.4513958539</v>
      </c>
      <c r="Z89" s="153">
        <f>-Z25</f>
        <v>2051039.379499827</v>
      </c>
      <c r="AA89" s="153">
        <f>-AA25</f>
        <v>2153591.3484748187</v>
      </c>
      <c r="AB89" s="153">
        <f>-AB25</f>
        <v>2196663.1754443147</v>
      </c>
      <c r="AC89" s="1"/>
      <c r="AD89" s="1"/>
    </row>
    <row r="90" spans="1:30" ht="15.75" customHeight="1" x14ac:dyDescent="0.45">
      <c r="A90" s="1" t="s">
        <v>140</v>
      </c>
      <c r="B90" s="3"/>
      <c r="C90" s="3">
        <f>'Cash flow analysis'!C5</f>
        <v>862550</v>
      </c>
      <c r="D90" s="3">
        <f>'Cash flow analysis'!D5</f>
        <v>1184843</v>
      </c>
      <c r="E90" s="3">
        <f>'Cash flow analysis'!E5</f>
        <v>2212941</v>
      </c>
      <c r="F90" s="3">
        <f>'Cash flow analysis'!F5</f>
        <v>378556</v>
      </c>
      <c r="G90" s="3">
        <f>'Cash flow analysis'!G5</f>
        <v>1097400</v>
      </c>
      <c r="H90" s="122">
        <f>-(H63-G63)</f>
        <v>98504.446084832773</v>
      </c>
      <c r="I90" s="122">
        <f>-(I63-H63)</f>
        <v>-191195.78403745219</v>
      </c>
      <c r="J90" s="122">
        <f>-(J63-I63)</f>
        <v>-296644.56252745539</v>
      </c>
      <c r="K90" s="122">
        <f>-(K63-J63)</f>
        <v>-312124.46849337034</v>
      </c>
      <c r="L90" s="122">
        <f>-(L63-K63)</f>
        <v>-862004.33901664801</v>
      </c>
      <c r="M90" s="1"/>
      <c r="N90" s="1"/>
      <c r="O90" s="1"/>
      <c r="P90" s="1" t="s">
        <v>140</v>
      </c>
      <c r="Q90" s="3"/>
      <c r="R90" s="3">
        <f>'Cash flow analysis'!C5</f>
        <v>862550</v>
      </c>
      <c r="S90" s="3">
        <f>'Cash flow analysis'!D5</f>
        <v>1184843</v>
      </c>
      <c r="T90" s="3">
        <f>'Cash flow analysis'!E5</f>
        <v>2212941</v>
      </c>
      <c r="U90" s="3">
        <f>'Cash flow analysis'!F5</f>
        <v>378556</v>
      </c>
      <c r="V90" s="3">
        <f>'Cash flow analysis'!G5</f>
        <v>1097400</v>
      </c>
      <c r="W90" s="3">
        <f>'Cash flow analysis'!H5</f>
        <v>140600</v>
      </c>
      <c r="X90" s="3">
        <f>-(X63-W63)</f>
        <v>-4501678.4849703684</v>
      </c>
      <c r="Y90" s="3">
        <f>-(Y63-X63)</f>
        <v>297932.59468935337</v>
      </c>
      <c r="Z90" s="3">
        <f>-(Z63-Y63)</f>
        <v>-1509326.5246962598</v>
      </c>
      <c r="AA90" s="3">
        <f>-(AA63-Z63)</f>
        <v>-444440.94812783785</v>
      </c>
      <c r="AB90" s="3">
        <f>-(AB63-AA63)</f>
        <v>62221.732737896964</v>
      </c>
      <c r="AC90" s="1"/>
      <c r="AD90" s="1"/>
    </row>
    <row r="91" spans="1:30" ht="15.75" customHeight="1" x14ac:dyDescent="0.45">
      <c r="A91" s="1" t="s">
        <v>141</v>
      </c>
      <c r="B91" s="3"/>
      <c r="C91" s="3">
        <f>'Cash flow analysis'!C6</f>
        <v>-11162464.934155796</v>
      </c>
      <c r="D91" s="3">
        <f>'Cash flow analysis'!D6</f>
        <v>-10205945.054424822</v>
      </c>
      <c r="E91" s="3">
        <f>'Cash flow analysis'!E6</f>
        <v>-8993596.301445324</v>
      </c>
      <c r="F91" s="3">
        <f>'Cash flow analysis'!F6</f>
        <v>-15468552.624516174</v>
      </c>
      <c r="G91" s="3">
        <f>'Cash flow analysis'!G6</f>
        <v>-4069273.6095614508</v>
      </c>
      <c r="H91" s="122">
        <f>-(H60-G60-H25)</f>
        <v>-4431530.202999996</v>
      </c>
      <c r="I91" s="122">
        <f>-(I60-H60-I25)</f>
        <v>-5867947.2822814984</v>
      </c>
      <c r="J91" s="122">
        <f>-(J60-I60-J25)</f>
        <v>-5637980.1803422151</v>
      </c>
      <c r="K91" s="122">
        <f>-(K60-J60-K25)</f>
        <v>-5624337.3091175975</v>
      </c>
      <c r="L91" s="122">
        <f>-(L60-K60-L25)</f>
        <v>-4914356.3751827674</v>
      </c>
      <c r="M91" s="1"/>
      <c r="N91" s="1"/>
      <c r="O91" s="1"/>
      <c r="P91" s="1" t="s">
        <v>141</v>
      </c>
      <c r="Q91" s="3"/>
      <c r="R91" s="3">
        <f>'Cash flow analysis'!C6</f>
        <v>-11162464.934155796</v>
      </c>
      <c r="S91" s="3">
        <f>'Cash flow analysis'!D6</f>
        <v>-10205945.054424822</v>
      </c>
      <c r="T91" s="3">
        <f>'Cash flow analysis'!E6</f>
        <v>-8993596.301445324</v>
      </c>
      <c r="U91" s="3">
        <f>'Cash flow analysis'!F6</f>
        <v>-15468552.624516174</v>
      </c>
      <c r="V91" s="3">
        <f>'Cash flow analysis'!G6</f>
        <v>-4069273.6095614508</v>
      </c>
      <c r="W91" s="3">
        <f>'Cash flow analysis'!H6</f>
        <v>20621300</v>
      </c>
      <c r="X91" s="3">
        <f>-(X60-W60-X25)</f>
        <v>-2101138.2013214445</v>
      </c>
      <c r="Y91" s="3">
        <f>-(Y60-X60-Y25)</f>
        <v>-290850.6995422882</v>
      </c>
      <c r="Z91" s="3">
        <f>-(Z60-Y60-Z25)</f>
        <v>-2243503.8356691482</v>
      </c>
      <c r="AA91" s="3">
        <f>-(AA60-Z60-AA25)</f>
        <v>-2257294.2363713156</v>
      </c>
      <c r="AB91" s="3">
        <f>-(AB60-AA60-AB25)</f>
        <v>-2364661.8538366375</v>
      </c>
      <c r="AC91" s="1"/>
      <c r="AD91" s="1"/>
    </row>
    <row r="92" spans="1:30" ht="15.75" customHeight="1" x14ac:dyDescent="0.45">
      <c r="A92" s="161" t="s">
        <v>142</v>
      </c>
      <c r="B92" s="139"/>
      <c r="C92" s="139">
        <f>'Cash flow analysis'!C7</f>
        <v>-6185625.4047510056</v>
      </c>
      <c r="D92" s="139">
        <f>'Cash flow analysis'!D7</f>
        <v>-2800749.4477965022</v>
      </c>
      <c r="E92" s="139">
        <f>'Cash flow analysis'!E7</f>
        <v>-1780441.2539737727</v>
      </c>
      <c r="F92" s="139">
        <f>'Cash flow analysis'!F7</f>
        <v>-11340534.286411803</v>
      </c>
      <c r="G92" s="139">
        <f>'Cash flow analysis'!G7</f>
        <v>3849926.3904385492</v>
      </c>
      <c r="H92" s="124">
        <f t="shared" ref="H92:L92" si="83">H88+H89+H90+H91</f>
        <v>2291897.2494342709</v>
      </c>
      <c r="I92" s="124">
        <f t="shared" si="83"/>
        <v>1015888.971031459</v>
      </c>
      <c r="J92" s="124">
        <f t="shared" si="83"/>
        <v>1188752.1876544775</v>
      </c>
      <c r="K92" s="124">
        <f t="shared" si="83"/>
        <v>1695979.0305299126</v>
      </c>
      <c r="L92" s="124">
        <f t="shared" si="83"/>
        <v>1948710.2682454074</v>
      </c>
      <c r="M92" s="1"/>
      <c r="N92" s="1"/>
      <c r="O92" s="1"/>
      <c r="P92" s="161" t="s">
        <v>142</v>
      </c>
      <c r="Q92" s="163"/>
      <c r="R92" s="163">
        <f>'Cash flow analysis'!C7</f>
        <v>-6185625.4047510056</v>
      </c>
      <c r="S92" s="163">
        <f>'Cash flow analysis'!D7</f>
        <v>-2800749.4477965022</v>
      </c>
      <c r="T92" s="163">
        <f>'Cash flow analysis'!E7</f>
        <v>-1780441.2539737727</v>
      </c>
      <c r="U92" s="163">
        <f>'Cash flow analysis'!F7</f>
        <v>-11340534.286411803</v>
      </c>
      <c r="V92" s="163">
        <f>'Cash flow analysis'!G7</f>
        <v>3849926.3904385492</v>
      </c>
      <c r="W92" s="163">
        <f>'Cash flow analysis'!H7</f>
        <v>15453504</v>
      </c>
      <c r="X92" s="163">
        <f t="shared" ref="X92:AB92" si="84">X88+X89+X90+X91</f>
        <v>-5764921.0009516897</v>
      </c>
      <c r="Y92" s="163">
        <f t="shared" si="84"/>
        <v>3305879.3593079359</v>
      </c>
      <c r="Z92" s="163">
        <f t="shared" si="84"/>
        <v>68751.293123637792</v>
      </c>
      <c r="AA92" s="163">
        <f t="shared" si="84"/>
        <v>1788672.5125948493</v>
      </c>
      <c r="AB92" s="163">
        <f t="shared" si="84"/>
        <v>2525293.7827684986</v>
      </c>
      <c r="AC92" s="1"/>
      <c r="AD92" s="1"/>
    </row>
    <row r="93" spans="1:30" ht="15.75" customHeight="1" x14ac:dyDescent="0.45">
      <c r="A93" s="24" t="s">
        <v>143</v>
      </c>
      <c r="B93" s="186"/>
      <c r="C93" s="186">
        <f>'Cash flow analysis'!C8</f>
        <v>6560376</v>
      </c>
      <c r="D93" s="186">
        <f>'Cash flow analysis'!D8</f>
        <v>2726945</v>
      </c>
      <c r="E93" s="186">
        <f>'Cash flow analysis'!E8</f>
        <v>2620737</v>
      </c>
      <c r="F93" s="186">
        <f>'Cash flow analysis'!F8</f>
        <v>6677775</v>
      </c>
      <c r="G93" s="186">
        <f>'Cash flow analysis'!G8</f>
        <v>-6368400</v>
      </c>
      <c r="H93" s="122">
        <f>(H69-G69)</f>
        <v>-883617.20736502111</v>
      </c>
      <c r="I93" s="122">
        <f>(I69-H69)</f>
        <v>289863.1112783812</v>
      </c>
      <c r="J93" s="122">
        <f>(J69-I69)</f>
        <v>-12509.874153204262</v>
      </c>
      <c r="K93" s="122">
        <f>(K69-J69)</f>
        <v>-289504.23151893914</v>
      </c>
      <c r="L93" s="122">
        <f>(L69-K69)</f>
        <v>107410.97817500308</v>
      </c>
      <c r="M93" s="1"/>
      <c r="N93" s="1"/>
      <c r="O93" s="1"/>
      <c r="P93" s="24" t="s">
        <v>143</v>
      </c>
      <c r="Q93" s="3"/>
      <c r="R93" s="3">
        <f>'Cash flow analysis'!C8</f>
        <v>6560376</v>
      </c>
      <c r="S93" s="3">
        <f>'Cash flow analysis'!D8</f>
        <v>2726945</v>
      </c>
      <c r="T93" s="3">
        <f>'Cash flow analysis'!E8</f>
        <v>2620737</v>
      </c>
      <c r="U93" s="3">
        <f>'Cash flow analysis'!F8</f>
        <v>6677775</v>
      </c>
      <c r="V93" s="3">
        <f>'Cash flow analysis'!G8</f>
        <v>-6368400</v>
      </c>
      <c r="W93" s="3">
        <f>'Cash flow analysis'!H8</f>
        <v>-16639100</v>
      </c>
      <c r="X93" s="3">
        <f>(X69-W69)</f>
        <v>-686819.69397373125</v>
      </c>
      <c r="Y93" s="3">
        <f>(Y69-X69)</f>
        <v>731126.58736766502</v>
      </c>
      <c r="Z93" s="3">
        <f>(Z69-Y69)</f>
        <v>2607386.8956833407</v>
      </c>
      <c r="AA93" s="3">
        <f>(AA69-Z69)</f>
        <v>1556432.2003436927</v>
      </c>
      <c r="AB93" s="3">
        <f>(AB69-AA69)</f>
        <v>272904.5197884161</v>
      </c>
      <c r="AC93" s="1"/>
      <c r="AD93" s="1"/>
    </row>
    <row r="94" spans="1:30" ht="15.75" customHeight="1" x14ac:dyDescent="0.45">
      <c r="A94" s="23" t="s">
        <v>144</v>
      </c>
      <c r="B94" s="3"/>
      <c r="C94" s="3">
        <f>'Cash flow analysis'!C9</f>
        <v>-1545065.226011365</v>
      </c>
      <c r="D94" s="3">
        <f>'Cash flow analysis'!D9</f>
        <v>-2035288.7980606556</v>
      </c>
      <c r="E94" s="3">
        <f>'Cash flow analysis'!E9</f>
        <v>-2318781.7953377301</v>
      </c>
      <c r="F94" s="3">
        <f>'Cash flow analysis'!F9</f>
        <v>-324804.79875080753</v>
      </c>
      <c r="G94" s="3">
        <f>'Cash flow analysis'!G9</f>
        <v>-2530000</v>
      </c>
      <c r="H94" s="122">
        <f t="shared" ref="H94:L95" si="85">H35</f>
        <v>-1795185.2497752977</v>
      </c>
      <c r="I94" s="122">
        <f t="shared" si="85"/>
        <v>-1815840.4555596388</v>
      </c>
      <c r="J94" s="122">
        <f t="shared" si="85"/>
        <v>-1814949.020896459</v>
      </c>
      <c r="K94" s="122">
        <f t="shared" si="85"/>
        <v>-1794319.3883395991</v>
      </c>
      <c r="L94" s="122">
        <f t="shared" si="85"/>
        <v>-1801973.3317748897</v>
      </c>
      <c r="M94" s="1"/>
      <c r="N94" s="1"/>
      <c r="O94" s="1"/>
      <c r="P94" s="23" t="s">
        <v>144</v>
      </c>
      <c r="Q94" s="3"/>
      <c r="R94" s="3">
        <f>'Cash flow analysis'!C9</f>
        <v>-1545065.226011365</v>
      </c>
      <c r="S94" s="3">
        <f>'Cash flow analysis'!D9</f>
        <v>-2035288.7980606556</v>
      </c>
      <c r="T94" s="3">
        <f>'Cash flow analysis'!E9</f>
        <v>-2318781.7953377301</v>
      </c>
      <c r="U94" s="3">
        <f>'Cash flow analysis'!F9</f>
        <v>-324804.79875080753</v>
      </c>
      <c r="V94" s="3">
        <f>'Cash flow analysis'!G9</f>
        <v>-2530000</v>
      </c>
      <c r="W94" s="3">
        <f>'Cash flow analysis'!H9</f>
        <v>1643200</v>
      </c>
      <c r="X94" s="3">
        <f t="shared" ref="X94:AB95" si="86">X35</f>
        <v>-316797.16678602196</v>
      </c>
      <c r="Y94" s="3">
        <f t="shared" si="86"/>
        <v>-343267.04241737683</v>
      </c>
      <c r="Z94" s="3">
        <f t="shared" si="86"/>
        <v>-437665.4790821558</v>
      </c>
      <c r="AA94" s="3">
        <f t="shared" si="86"/>
        <v>-494014.90951398312</v>
      </c>
      <c r="AB94" s="3">
        <f t="shared" si="86"/>
        <v>-503895.20770426269</v>
      </c>
      <c r="AC94" s="1"/>
      <c r="AD94" s="1"/>
    </row>
    <row r="95" spans="1:30" ht="15.75" customHeight="1" x14ac:dyDescent="0.45">
      <c r="A95" s="25" t="s">
        <v>145</v>
      </c>
      <c r="B95" s="3"/>
      <c r="C95" s="3">
        <f>'Cash flow analysis'!C10</f>
        <v>417167.61102306854</v>
      </c>
      <c r="D95" s="3">
        <f>'Cash flow analysis'!D10</f>
        <v>508822.1995151639</v>
      </c>
      <c r="E95" s="3">
        <f>'Cash flow analysis'!E10</f>
        <v>556507.63088105526</v>
      </c>
      <c r="F95" s="3">
        <f>'Cash flow analysis'!F10</f>
        <v>74705.103712685741</v>
      </c>
      <c r="G95" s="3">
        <f>'Cash flow analysis'!G10</f>
        <v>556600</v>
      </c>
      <c r="H95" s="199">
        <f t="shared" si="85"/>
        <v>394940.75495056552</v>
      </c>
      <c r="I95" s="199">
        <f t="shared" si="85"/>
        <v>399484.90022312052</v>
      </c>
      <c r="J95" s="199">
        <f t="shared" si="85"/>
        <v>399288.78459722101</v>
      </c>
      <c r="K95" s="199">
        <f t="shared" si="85"/>
        <v>394750.26543471182</v>
      </c>
      <c r="L95" s="199">
        <f t="shared" si="85"/>
        <v>396434.13299047574</v>
      </c>
      <c r="M95" s="1"/>
      <c r="N95" s="1"/>
      <c r="O95" s="1"/>
      <c r="P95" s="25" t="s">
        <v>145</v>
      </c>
      <c r="Q95" s="3"/>
      <c r="R95" s="3">
        <f>'Cash flow analysis'!C10</f>
        <v>417167.61102306854</v>
      </c>
      <c r="S95" s="3">
        <f>'Cash flow analysis'!D10</f>
        <v>508822.1995151639</v>
      </c>
      <c r="T95" s="3">
        <f>'Cash flow analysis'!E10</f>
        <v>556507.63088105526</v>
      </c>
      <c r="U95" s="3">
        <f>'Cash flow analysis'!F10</f>
        <v>74705.103712685741</v>
      </c>
      <c r="V95" s="3">
        <f>'Cash flow analysis'!G10</f>
        <v>556600</v>
      </c>
      <c r="W95" s="3">
        <f>'Cash flow analysis'!H10</f>
        <v>-361504</v>
      </c>
      <c r="X95" s="3">
        <f t="shared" si="86"/>
        <v>69695.376692924838</v>
      </c>
      <c r="Y95" s="3">
        <f t="shared" si="86"/>
        <v>75518.749331822895</v>
      </c>
      <c r="Z95" s="3">
        <f t="shared" si="86"/>
        <v>96286.405398074276</v>
      </c>
      <c r="AA95" s="3">
        <f t="shared" si="86"/>
        <v>108683.28009307629</v>
      </c>
      <c r="AB95" s="3">
        <f t="shared" si="86"/>
        <v>110856.94569493779</v>
      </c>
      <c r="AC95" s="1"/>
      <c r="AD95" s="1"/>
    </row>
    <row r="96" spans="1:30" ht="15.75" customHeight="1" x14ac:dyDescent="0.45">
      <c r="A96" s="161" t="s">
        <v>146</v>
      </c>
      <c r="B96" s="186"/>
      <c r="C96" s="186">
        <f>'Cash flow analysis'!C11</f>
        <v>-753147.01973930199</v>
      </c>
      <c r="D96" s="186">
        <f>'Cash flow analysis'!D11</f>
        <v>-1600271.0463419938</v>
      </c>
      <c r="E96" s="186">
        <f>'Cash flow analysis'!E11</f>
        <v>-921978.41843044758</v>
      </c>
      <c r="F96" s="186">
        <f>'Cash flow analysis'!F11</f>
        <v>-4912858.9814499253</v>
      </c>
      <c r="G96" s="186">
        <f>'Cash flow analysis'!G11</f>
        <v>-4491873.6095614508</v>
      </c>
      <c r="H96" s="124">
        <f t="shared" ref="H96:L96" si="87">H92+H93+H94+H95</f>
        <v>8035.5472445175983</v>
      </c>
      <c r="I96" s="124">
        <f t="shared" si="87"/>
        <v>-110603.47302667802</v>
      </c>
      <c r="J96" s="124">
        <f t="shared" si="87"/>
        <v>-239417.92279796471</v>
      </c>
      <c r="K96" s="124">
        <f t="shared" si="87"/>
        <v>6905.6761060861172</v>
      </c>
      <c r="L96" s="124">
        <f t="shared" si="87"/>
        <v>650582.04763599648</v>
      </c>
      <c r="M96" s="1"/>
      <c r="N96" s="1"/>
      <c r="O96" s="1"/>
      <c r="P96" s="161" t="s">
        <v>146</v>
      </c>
      <c r="Q96" s="163"/>
      <c r="R96" s="163">
        <f>'Cash flow analysis'!C11</f>
        <v>-753147.01973930199</v>
      </c>
      <c r="S96" s="163">
        <f>'Cash flow analysis'!D11</f>
        <v>-1600271.0463419938</v>
      </c>
      <c r="T96" s="163">
        <f>'Cash flow analysis'!E11</f>
        <v>-921978.41843044758</v>
      </c>
      <c r="U96" s="163">
        <f>'Cash flow analysis'!F11</f>
        <v>-4912858.9814499253</v>
      </c>
      <c r="V96" s="163">
        <f>'Cash flow analysis'!G11</f>
        <v>-4491873.6095614508</v>
      </c>
      <c r="W96" s="163">
        <f>'Cash flow analysis'!H11</f>
        <v>96100</v>
      </c>
      <c r="X96" s="163">
        <f t="shared" ref="X96:AB96" si="88">X92+X93+X94+X95</f>
        <v>-6698842.4850185178</v>
      </c>
      <c r="Y96" s="163">
        <f t="shared" si="88"/>
        <v>3769257.6535900473</v>
      </c>
      <c r="Z96" s="163">
        <f t="shared" si="88"/>
        <v>2334759.1151228966</v>
      </c>
      <c r="AA96" s="163">
        <f t="shared" si="88"/>
        <v>2959773.0835176352</v>
      </c>
      <c r="AB96" s="163">
        <f t="shared" si="88"/>
        <v>2405160.0405475898</v>
      </c>
      <c r="AC96" s="1"/>
      <c r="AD96" s="1"/>
    </row>
    <row r="97" spans="1:30" ht="15.75" customHeight="1" x14ac:dyDescent="0.45">
      <c r="A97" s="164" t="s">
        <v>147</v>
      </c>
      <c r="B97" s="186"/>
      <c r="C97" s="186">
        <f>'Cash flow analysis'!C12</f>
        <v>1196167.0197393054</v>
      </c>
      <c r="D97" s="186">
        <f>'Cash flow analysis'!D12</f>
        <v>1469761.0463419883</v>
      </c>
      <c r="E97" s="186">
        <f>'Cash flow analysis'!E12</f>
        <v>2638106.4184304522</v>
      </c>
      <c r="F97" s="186">
        <f>'Cash flow analysis'!F12</f>
        <v>2794882.9814499207</v>
      </c>
      <c r="G97" s="186">
        <f>'Cash flow analysis'!G12</f>
        <v>5665473.6095614517</v>
      </c>
      <c r="H97" s="122">
        <f>-(H65-G65)+H37</f>
        <v>0</v>
      </c>
      <c r="I97" s="123">
        <v>0</v>
      </c>
      <c r="J97" s="122">
        <f>-(J65-I65)+J37</f>
        <v>0</v>
      </c>
      <c r="K97" s="122">
        <f>-(K65-J65)+K37</f>
        <v>0</v>
      </c>
      <c r="L97" s="122">
        <f>-(L65-K65)+L37</f>
        <v>0</v>
      </c>
      <c r="M97" s="1"/>
      <c r="N97" s="1"/>
      <c r="O97" s="1"/>
      <c r="P97" s="164" t="s">
        <v>147</v>
      </c>
      <c r="Q97" s="3"/>
      <c r="R97" s="3">
        <f>'Cash flow analysis'!C12</f>
        <v>1196167.0197393054</v>
      </c>
      <c r="S97" s="3">
        <f>'Cash flow analysis'!D12</f>
        <v>1469761.0463419883</v>
      </c>
      <c r="T97" s="3">
        <f>'Cash flow analysis'!E12</f>
        <v>2638106.4184304522</v>
      </c>
      <c r="U97" s="3">
        <f>'Cash flow analysis'!F12</f>
        <v>2794882.9814499207</v>
      </c>
      <c r="V97" s="3">
        <f>'Cash flow analysis'!G12</f>
        <v>5665473.6095614517</v>
      </c>
      <c r="W97" s="3">
        <f>'Cash flow analysis'!H12</f>
        <v>12291200</v>
      </c>
      <c r="X97" s="3">
        <f>-(X65-W65)+X37</f>
        <v>0</v>
      </c>
      <c r="Y97" s="3">
        <f>-(Y65-X65)+Y37</f>
        <v>0</v>
      </c>
      <c r="Z97" s="3">
        <f>-(Z65-Y65)+Z37</f>
        <v>0</v>
      </c>
      <c r="AA97" s="3">
        <f>-(AA65-Z65)+AA37</f>
        <v>0</v>
      </c>
      <c r="AB97" s="3">
        <f>-(AB65-AA65)+AB37</f>
        <v>0</v>
      </c>
      <c r="AC97" s="1"/>
      <c r="AD97" s="1"/>
    </row>
    <row r="98" spans="1:30" ht="15.75" customHeight="1" x14ac:dyDescent="0.45">
      <c r="A98" s="165" t="s">
        <v>148</v>
      </c>
      <c r="B98" s="3"/>
      <c r="C98" s="3">
        <f>'Cash flow analysis'!C13</f>
        <v>0</v>
      </c>
      <c r="D98" s="3">
        <f>'Cash flow analysis'!D13</f>
        <v>0</v>
      </c>
      <c r="E98" s="3">
        <f>'Cash flow analysis'!E13</f>
        <v>0</v>
      </c>
      <c r="F98" s="3">
        <f>'Cash flow analysis'!F13</f>
        <v>0</v>
      </c>
      <c r="G98" s="3">
        <f>'Cash flow analysis'!G13</f>
        <v>0</v>
      </c>
      <c r="H98" s="104"/>
      <c r="I98" s="104"/>
      <c r="J98" s="104"/>
      <c r="K98" s="104"/>
      <c r="L98" s="104"/>
      <c r="M98" s="1"/>
      <c r="N98" s="1"/>
      <c r="O98" s="1"/>
      <c r="P98" s="165" t="s">
        <v>148</v>
      </c>
      <c r="Q98" s="3"/>
      <c r="R98" s="3">
        <f>'Cash flow analysis'!C13</f>
        <v>0</v>
      </c>
      <c r="S98" s="3">
        <f>'Cash flow analysis'!D13</f>
        <v>0</v>
      </c>
      <c r="T98" s="3">
        <f>'Cash flow analysis'!E13</f>
        <v>0</v>
      </c>
      <c r="U98" s="3">
        <f>'Cash flow analysis'!F13</f>
        <v>0</v>
      </c>
      <c r="V98" s="3">
        <f>'Cash flow analysis'!G13</f>
        <v>0</v>
      </c>
      <c r="W98" s="3">
        <f>'Cash flow analysis'!H13</f>
        <v>-12815700</v>
      </c>
      <c r="X98" s="3"/>
      <c r="Y98" s="3"/>
      <c r="Z98" s="3"/>
      <c r="AA98" s="3"/>
      <c r="AB98" s="3"/>
      <c r="AC98" s="1"/>
      <c r="AD98" s="1"/>
    </row>
    <row r="99" spans="1:30" ht="15.75" customHeight="1" x14ac:dyDescent="0.45">
      <c r="A99" s="161" t="s">
        <v>149</v>
      </c>
      <c r="B99" s="186"/>
      <c r="C99" s="186">
        <f>'Cash flow analysis'!C14</f>
        <v>443020.00000000338</v>
      </c>
      <c r="D99" s="186">
        <f>'Cash flow analysis'!D14</f>
        <v>-130510.00000000559</v>
      </c>
      <c r="E99" s="186">
        <f>'Cash flow analysis'!E14</f>
        <v>1716128.0000000047</v>
      </c>
      <c r="F99" s="186">
        <f>'Cash flow analysis'!F14</f>
        <v>-2117976.0000000047</v>
      </c>
      <c r="G99" s="186">
        <f>'Cash flow analysis'!G14</f>
        <v>1173600.0000000009</v>
      </c>
      <c r="H99" s="124">
        <f t="shared" ref="H99:L99" si="89">H96+H97+H98</f>
        <v>8035.5472445175983</v>
      </c>
      <c r="I99" s="124">
        <f t="shared" si="89"/>
        <v>-110603.47302667802</v>
      </c>
      <c r="J99" s="124">
        <f t="shared" si="89"/>
        <v>-239417.92279796471</v>
      </c>
      <c r="K99" s="124">
        <f t="shared" si="89"/>
        <v>6905.6761060861172</v>
      </c>
      <c r="L99" s="124">
        <f t="shared" si="89"/>
        <v>650582.04763599648</v>
      </c>
      <c r="M99" s="1"/>
      <c r="N99" s="1"/>
      <c r="O99" s="1"/>
      <c r="P99" s="161" t="s">
        <v>149</v>
      </c>
      <c r="Q99" s="163"/>
      <c r="R99" s="163">
        <f>'Cash flow analysis'!C14</f>
        <v>443020.00000000338</v>
      </c>
      <c r="S99" s="163">
        <f>'Cash flow analysis'!D14</f>
        <v>-130510.00000000559</v>
      </c>
      <c r="T99" s="163">
        <f>'Cash flow analysis'!E14</f>
        <v>1716128.0000000047</v>
      </c>
      <c r="U99" s="163">
        <f>'Cash flow analysis'!F14</f>
        <v>-2117976.0000000047</v>
      </c>
      <c r="V99" s="163">
        <f>'Cash flow analysis'!G14</f>
        <v>1173600.0000000009</v>
      </c>
      <c r="W99" s="163">
        <f>'Cash flow analysis'!H14</f>
        <v>-428400</v>
      </c>
      <c r="X99" s="163">
        <f t="shared" ref="X99:AB99" si="90">X96+X97+X98</f>
        <v>-6698842.4850185178</v>
      </c>
      <c r="Y99" s="163">
        <f t="shared" si="90"/>
        <v>3769257.6535900473</v>
      </c>
      <c r="Z99" s="163">
        <f t="shared" si="90"/>
        <v>2334759.1151228966</v>
      </c>
      <c r="AA99" s="163">
        <f t="shared" si="90"/>
        <v>2959773.0835176352</v>
      </c>
      <c r="AB99" s="163">
        <f t="shared" si="90"/>
        <v>2405160.0405475898</v>
      </c>
      <c r="AC99" s="1"/>
      <c r="AD99" s="1"/>
    </row>
    <row r="100" spans="1:30" ht="15.75" customHeight="1" x14ac:dyDescent="0.45">
      <c r="A100" s="1"/>
      <c r="B100" s="182"/>
      <c r="C100" s="182"/>
      <c r="D100" s="182"/>
      <c r="E100" s="182"/>
      <c r="F100" s="182"/>
      <c r="G100" s="182"/>
      <c r="H100" s="104"/>
      <c r="I100" s="104"/>
      <c r="J100" s="104"/>
      <c r="K100" s="104"/>
      <c r="L100" s="10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 x14ac:dyDescent="0.45">
      <c r="A101" s="1"/>
      <c r="B101" s="1"/>
      <c r="C101" s="1"/>
      <c r="D101" s="1"/>
      <c r="E101" s="1"/>
      <c r="F101" s="1"/>
      <c r="G101" s="1"/>
      <c r="H101" s="104"/>
      <c r="I101" s="104"/>
      <c r="J101" s="104"/>
      <c r="K101" s="104"/>
      <c r="L101" s="104"/>
      <c r="M101" s="1"/>
      <c r="N101" s="1"/>
      <c r="O101" s="1"/>
      <c r="P101" s="23" t="s">
        <v>150</v>
      </c>
      <c r="Q101" s="3">
        <f>'Cash flow analysis'!B16</f>
        <v>0</v>
      </c>
      <c r="R101" s="3">
        <f t="shared" ref="R101:AB101" si="91">-Q66</f>
        <v>2011139</v>
      </c>
      <c r="S101" s="3">
        <f t="shared" si="91"/>
        <v>2454160</v>
      </c>
      <c r="T101" s="3">
        <f t="shared" si="91"/>
        <v>2323647</v>
      </c>
      <c r="U101" s="3">
        <f t="shared" si="91"/>
        <v>4039776</v>
      </c>
      <c r="V101" s="3">
        <f t="shared" si="91"/>
        <v>1921700</v>
      </c>
      <c r="W101" s="3">
        <f t="shared" si="91"/>
        <v>3095600</v>
      </c>
      <c r="X101" s="3">
        <f t="shared" si="91"/>
        <v>2666900</v>
      </c>
      <c r="Y101" s="3">
        <f t="shared" si="91"/>
        <v>-4031842.4850185178</v>
      </c>
      <c r="Z101" s="3">
        <f t="shared" si="91"/>
        <v>-262584.83142847102</v>
      </c>
      <c r="AA101" s="3">
        <f t="shared" si="91"/>
        <v>2072174.2836944265</v>
      </c>
      <c r="AB101" s="3">
        <f t="shared" si="91"/>
        <v>5031947.3672120618</v>
      </c>
      <c r="AC101" s="1"/>
      <c r="AD101" s="1"/>
    </row>
    <row r="102" spans="1:30" ht="15.75" customHeight="1" x14ac:dyDescent="0.45">
      <c r="A102" s="23" t="s">
        <v>150</v>
      </c>
      <c r="B102" s="1"/>
      <c r="C102" s="3">
        <f t="shared" ref="C102:L102" si="92">-B66</f>
        <v>2011139</v>
      </c>
      <c r="D102" s="3">
        <f t="shared" si="92"/>
        <v>2454160</v>
      </c>
      <c r="E102" s="3">
        <f t="shared" si="92"/>
        <v>2323647</v>
      </c>
      <c r="F102" s="3">
        <f t="shared" si="92"/>
        <v>4039776</v>
      </c>
      <c r="G102" s="3">
        <f t="shared" si="92"/>
        <v>1921700</v>
      </c>
      <c r="H102" s="122">
        <f t="shared" si="92"/>
        <v>3095600</v>
      </c>
      <c r="I102" s="122">
        <f t="shared" si="92"/>
        <v>3103435.547244519</v>
      </c>
      <c r="J102" s="122">
        <f t="shared" si="92"/>
        <v>2992832.0742178373</v>
      </c>
      <c r="K102" s="122">
        <f t="shared" si="92"/>
        <v>2753414.1514198743</v>
      </c>
      <c r="L102" s="122">
        <f t="shared" si="92"/>
        <v>2760319.8275259621</v>
      </c>
      <c r="M102" s="1"/>
      <c r="N102" s="1"/>
      <c r="O102" s="1"/>
      <c r="P102" s="23" t="s">
        <v>149</v>
      </c>
      <c r="Q102" s="3"/>
      <c r="R102" s="3">
        <f t="shared" ref="R102:AB102" si="93">R99</f>
        <v>443020.00000000338</v>
      </c>
      <c r="S102" s="3">
        <f t="shared" si="93"/>
        <v>-130510.00000000559</v>
      </c>
      <c r="T102" s="3">
        <f t="shared" si="93"/>
        <v>1716128.0000000047</v>
      </c>
      <c r="U102" s="3">
        <f t="shared" si="93"/>
        <v>-2117976.0000000047</v>
      </c>
      <c r="V102" s="3">
        <f t="shared" si="93"/>
        <v>1173600.0000000009</v>
      </c>
      <c r="W102" s="3">
        <f t="shared" si="93"/>
        <v>-428400</v>
      </c>
      <c r="X102" s="3">
        <f t="shared" si="93"/>
        <v>-6698842.4850185178</v>
      </c>
      <c r="Y102" s="3">
        <f t="shared" si="93"/>
        <v>3769257.6535900473</v>
      </c>
      <c r="Z102" s="3">
        <f t="shared" si="93"/>
        <v>2334759.1151228966</v>
      </c>
      <c r="AA102" s="3">
        <f t="shared" si="93"/>
        <v>2959773.0835176352</v>
      </c>
      <c r="AB102" s="3">
        <f t="shared" si="93"/>
        <v>2405160.0405475898</v>
      </c>
      <c r="AC102" s="1"/>
      <c r="AD102" s="1"/>
    </row>
    <row r="103" spans="1:30" ht="15.75" customHeight="1" x14ac:dyDescent="0.45">
      <c r="A103" s="23" t="s">
        <v>149</v>
      </c>
      <c r="B103" s="1"/>
      <c r="C103" s="3">
        <f t="shared" ref="C103:L103" si="94">C99</f>
        <v>443020.00000000338</v>
      </c>
      <c r="D103" s="3">
        <f t="shared" si="94"/>
        <v>-130510.00000000559</v>
      </c>
      <c r="E103" s="3">
        <f t="shared" si="94"/>
        <v>1716128.0000000047</v>
      </c>
      <c r="F103" s="3">
        <f t="shared" si="94"/>
        <v>-2117976.0000000047</v>
      </c>
      <c r="G103" s="3">
        <f t="shared" si="94"/>
        <v>1173600.0000000009</v>
      </c>
      <c r="H103" s="122">
        <f t="shared" si="94"/>
        <v>8035.5472445175983</v>
      </c>
      <c r="I103" s="122">
        <f t="shared" si="94"/>
        <v>-110603.47302667802</v>
      </c>
      <c r="J103" s="122">
        <f t="shared" si="94"/>
        <v>-239417.92279796471</v>
      </c>
      <c r="K103" s="122">
        <f t="shared" si="94"/>
        <v>6905.6761060861172</v>
      </c>
      <c r="L103" s="122">
        <f t="shared" si="94"/>
        <v>650582.04763599648</v>
      </c>
      <c r="M103" s="1"/>
      <c r="N103" s="1"/>
      <c r="O103" s="1"/>
      <c r="P103" s="166" t="s">
        <v>151</v>
      </c>
      <c r="Q103" s="163"/>
      <c r="R103" s="163">
        <f t="shared" ref="R103:AB103" si="95">R101+R102</f>
        <v>2454159.0000000033</v>
      </c>
      <c r="S103" s="163">
        <f t="shared" si="95"/>
        <v>2323649.9999999944</v>
      </c>
      <c r="T103" s="163">
        <f t="shared" si="95"/>
        <v>4039775.0000000047</v>
      </c>
      <c r="U103" s="163">
        <f t="shared" si="95"/>
        <v>1921799.9999999953</v>
      </c>
      <c r="V103" s="163">
        <f t="shared" si="95"/>
        <v>3095300.0000000009</v>
      </c>
      <c r="W103" s="163">
        <f t="shared" si="95"/>
        <v>2667200</v>
      </c>
      <c r="X103" s="163">
        <f t="shared" si="95"/>
        <v>-4031942.4850185178</v>
      </c>
      <c r="Y103" s="163">
        <f t="shared" si="95"/>
        <v>-262584.83142847056</v>
      </c>
      <c r="Z103" s="163">
        <f t="shared" si="95"/>
        <v>2072174.2836944256</v>
      </c>
      <c r="AA103" s="163">
        <f t="shared" si="95"/>
        <v>5031947.3672120618</v>
      </c>
      <c r="AB103" s="163">
        <f t="shared" si="95"/>
        <v>7437107.4077596515</v>
      </c>
      <c r="AC103" s="1"/>
      <c r="AD103" s="1"/>
    </row>
    <row r="104" spans="1:30" ht="15.75" customHeight="1" x14ac:dyDescent="0.45">
      <c r="A104" s="166" t="s">
        <v>151</v>
      </c>
      <c r="B104" s="162"/>
      <c r="C104" s="163">
        <f t="shared" ref="C104:L104" si="96">C102+C103</f>
        <v>2454159.0000000033</v>
      </c>
      <c r="D104" s="163">
        <f t="shared" si="96"/>
        <v>2323649.9999999944</v>
      </c>
      <c r="E104" s="163">
        <f t="shared" si="96"/>
        <v>4039775.0000000047</v>
      </c>
      <c r="F104" s="163">
        <f t="shared" si="96"/>
        <v>1921799.9999999953</v>
      </c>
      <c r="G104" s="163">
        <f t="shared" si="96"/>
        <v>3095300.0000000009</v>
      </c>
      <c r="H104" s="124">
        <f t="shared" si="96"/>
        <v>3103635.5472445176</v>
      </c>
      <c r="I104" s="124">
        <f t="shared" si="96"/>
        <v>2992832.074217841</v>
      </c>
      <c r="J104" s="124">
        <f t="shared" si="96"/>
        <v>2753414.1514198724</v>
      </c>
      <c r="K104" s="124">
        <f t="shared" si="96"/>
        <v>2760319.8275259603</v>
      </c>
      <c r="L104" s="124">
        <f t="shared" si="96"/>
        <v>3410901.8751619589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46" t="s">
        <v>427</v>
      </c>
      <c r="X104" s="47">
        <f t="shared" ref="X104:AA104" si="97">X103-Y101</f>
        <v>-100</v>
      </c>
      <c r="Y104" s="47">
        <f t="shared" si="97"/>
        <v>4.6566128730773926E-10</v>
      </c>
      <c r="Z104" s="47">
        <f t="shared" si="97"/>
        <v>0</v>
      </c>
      <c r="AA104" s="47">
        <f t="shared" si="97"/>
        <v>0</v>
      </c>
      <c r="AB104" s="47"/>
      <c r="AC104" s="1"/>
      <c r="AD104" s="1"/>
    </row>
    <row r="105" spans="1:30" ht="15.75" customHeight="1" x14ac:dyDescent="0.45">
      <c r="A105" s="1"/>
      <c r="B105" s="1"/>
      <c r="C105" s="1"/>
      <c r="D105" s="1"/>
      <c r="E105" s="1"/>
      <c r="F105" s="1"/>
      <c r="G105" s="46" t="s">
        <v>427</v>
      </c>
      <c r="H105" s="47">
        <f t="shared" ref="H105:K105" si="98">H104-I102</f>
        <v>199.99999999860302</v>
      </c>
      <c r="I105" s="47">
        <f t="shared" si="98"/>
        <v>3.7252902984619141E-9</v>
      </c>
      <c r="J105" s="47">
        <f t="shared" si="98"/>
        <v>0</v>
      </c>
      <c r="K105" s="47">
        <f t="shared" si="98"/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</sheetData>
  <mergeCells count="29">
    <mergeCell ref="Q86:W86"/>
    <mergeCell ref="X86:AB86"/>
    <mergeCell ref="B56:G56"/>
    <mergeCell ref="H56:L56"/>
    <mergeCell ref="Q56:W56"/>
    <mergeCell ref="X56:AB56"/>
    <mergeCell ref="A74:L74"/>
    <mergeCell ref="P74:AB74"/>
    <mergeCell ref="B75:G75"/>
    <mergeCell ref="X75:AB75"/>
    <mergeCell ref="H86:L86"/>
    <mergeCell ref="A55:L55"/>
    <mergeCell ref="P55:AB55"/>
    <mergeCell ref="H75:L75"/>
    <mergeCell ref="Q75:W75"/>
    <mergeCell ref="A85:L85"/>
    <mergeCell ref="P85:AB85"/>
    <mergeCell ref="P42:AB42"/>
    <mergeCell ref="A42:L42"/>
    <mergeCell ref="B43:G43"/>
    <mergeCell ref="H43:L43"/>
    <mergeCell ref="Q43:W43"/>
    <mergeCell ref="X43:AB43"/>
    <mergeCell ref="A1:L1"/>
    <mergeCell ref="P1:AB1"/>
    <mergeCell ref="B2:F2"/>
    <mergeCell ref="H2:L2"/>
    <mergeCell ref="Q2:W2"/>
    <mergeCell ref="X2:AB2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FD612D3FDCC54AB0867F0997DA0A34" ma:contentTypeVersion="13" ma:contentTypeDescription="Opprett et nytt dokument." ma:contentTypeScope="" ma:versionID="ee4f4f112a379ffbdecef03c74e5f50b">
  <xsd:schema xmlns:xsd="http://www.w3.org/2001/XMLSchema" xmlns:xs="http://www.w3.org/2001/XMLSchema" xmlns:p="http://schemas.microsoft.com/office/2006/metadata/properties" xmlns:ns2="9e06d9b7-fa57-492d-879c-c63ae699c196" xmlns:ns3="263ca01a-a29a-4a2b-9879-77f8d21a8c38" targetNamespace="http://schemas.microsoft.com/office/2006/metadata/properties" ma:root="true" ma:fieldsID="779b4fabaeaedc7356c240cee1b415a5" ns2:_="" ns3:_="">
    <xsd:import namespace="9e06d9b7-fa57-492d-879c-c63ae699c196"/>
    <xsd:import namespace="263ca01a-a29a-4a2b-9879-77f8d21a8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6d9b7-fa57-492d-879c-c63ae699c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ca01a-a29a-4a2b-9879-77f8d21a8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18E034-9A95-4A12-A7AC-2BE5ED66F21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e06d9b7-fa57-492d-879c-c63ae699c19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263ca01a-a29a-4a2b-9879-77f8d21a8c3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2D6864F-4FAD-43F2-8C9E-26693663B4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6d9b7-fa57-492d-879c-c63ae699c196"/>
    <ds:schemaRef ds:uri="263ca01a-a29a-4a2b-9879-77f8d21a8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A135C7-2A1F-4CD6-953E-18085560DE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Income statement</vt:lpstr>
      <vt:lpstr>Balance sheet</vt:lpstr>
      <vt:lpstr>Cash flow analysis</vt:lpstr>
      <vt:lpstr>Assessment and adjustments</vt:lpstr>
      <vt:lpstr>Beta</vt:lpstr>
      <vt:lpstr>Profitability</vt:lpstr>
      <vt:lpstr>Growth</vt:lpstr>
      <vt:lpstr>Liquidity&amp;Solvency</vt:lpstr>
      <vt:lpstr>Forecasting</vt:lpstr>
      <vt:lpstr>Valuation</vt:lpstr>
      <vt:lpstr>Sensitivity analysis</vt:lpstr>
      <vt:lpstr>SAS - Lufthansa</vt:lpstr>
      <vt:lpstr>Relative valuation</vt:lpstr>
      <vt:lpstr>Liquidation valuation</vt:lpstr>
      <vt:lpstr>Extra 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ingerlouiselyngstad@gmail.com</dc:creator>
  <cp:keywords/>
  <dc:description/>
  <cp:lastModifiedBy>Wilhelmsen, Lise Marie</cp:lastModifiedBy>
  <cp:revision/>
  <dcterms:created xsi:type="dcterms:W3CDTF">2020-12-27T14:53:04Z</dcterms:created>
  <dcterms:modified xsi:type="dcterms:W3CDTF">2021-10-11T07:29:19Z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0x01010074FD612D3FDCC54AB0867F0997DA0A34</vt:lpwstr>
  </property>
</Properties>
</file>